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fileSharing readOnlyRecommended="1" userName="Nathany Lima Gonçalves Wojcik" algorithmName="SHA-512" hashValue="1YVJSFLm47IkmJyxiLB+hhyYPf0y9foh3r3YeNFXEkCO/Mn+8CIjFKsTSGISoPacTsSEktvrR8riaaP7QquR3w==" saltValue="p6/FSaXBOkMUjnV9RdxjOg==" spinCount="100000"/>
  <workbookPr backupFile="1" codeName="ThisWorkbook" hidePivotFieldList="1" defaultThemeVersion="166925"/>
  <mc:AlternateContent xmlns:mc="http://schemas.openxmlformats.org/markup-compatibility/2006">
    <mc:Choice Requires="x15">
      <x15ac:absPath xmlns:x15ac="http://schemas.microsoft.com/office/spreadsheetml/2010/11/ac" url="N:\Supply Chain\Gestão\Papel\"/>
    </mc:Choice>
  </mc:AlternateContent>
  <xr:revisionPtr revIDLastSave="0" documentId="13_ncr:10001_{3437A7A6-4E14-494F-9123-869E4EBDDE7E}" xr6:coauthVersionLast="47" xr6:coauthVersionMax="47" xr10:uidLastSave="{00000000-0000-0000-0000-000000000000}"/>
  <bookViews>
    <workbookView xWindow="28680" yWindow="-120" windowWidth="29040" windowHeight="15720" tabRatio="718" activeTab="1" xr2:uid="{00000000-000D-0000-FFFF-FFFF00000000}"/>
  </bookViews>
  <sheets>
    <sheet name="Premissas" sheetId="15" r:id="rId1"/>
    <sheet name="Cockpit" sheetId="11" r:id="rId2"/>
    <sheet name="Preços e Condições" sheetId="2" r:id="rId3"/>
    <sheet name="Impostos e Frete" sheetId="6" r:id="rId4"/>
    <sheet name="PaperBase Dashboard" sheetId="14" r:id="rId5"/>
    <sheet name="CNY" sheetId="16" r:id="rId6"/>
  </sheets>
  <externalReferences>
    <externalReference r:id="rId7"/>
  </externalReferences>
  <definedNames>
    <definedName name="_xlnm._FilterDatabase" localSheetId="5" hidden="1">CNY!$A$38:$G$62</definedName>
    <definedName name="_xlnm._FilterDatabase" localSheetId="1" hidden="1">Cockpit!$B$5:$Q$434</definedName>
    <definedName name="_xlnm._FilterDatabase" localSheetId="2" hidden="1">'Preços e Condições'!$A$3:$CK$512</definedName>
    <definedName name="_xlpm.header_date" hidden="1" xlm="1">#NAME?</definedName>
    <definedName name="_xlpm.header_val" hidden="1" xlm="1">#NAME?</definedName>
    <definedName name="_xlpm.last_col_idx" hidden="1" xlm="1">#NAME?</definedName>
    <definedName name="_xlpm.last_val_date" hidden="1" xlm="1">#NAME?</definedName>
    <definedName name="ExternalData_1" localSheetId="3" hidden="1">'Impostos e Frete'!#REF!</definedName>
    <definedName name="Slicer_Currency">#N/A</definedName>
    <definedName name="Slicer_g_m21">#N/A</definedName>
    <definedName name="Slicer_Impress_Type1">#N/A</definedName>
    <definedName name="Slicer_Lot__ton1">#N/A</definedName>
    <definedName name="Slicer_Paper_bonus__t">#N/A</definedName>
    <definedName name="Slicer_Supplier1">#N/A</definedName>
    <definedName name="Slicer_Width__mm1">#N/A</definedName>
  </definedNames>
  <calcPr calcId="191029"/>
  <pivotCaches>
    <pivotCache cacheId="0" r:id="rId8"/>
    <pivotCache cacheId="1" r:id="rId9"/>
    <pivotCache cacheId="2" r:id="rId10"/>
    <pivotCache cacheId="3" r:id="rId11"/>
    <pivotCache cacheId="4" r:id="rId12"/>
  </pivotCaches>
  <extLst>
    <ext xmlns:x14="http://schemas.microsoft.com/office/spreadsheetml/2009/9/main" uri="{BBE1A952-AA13-448e-AADC-164F8A28A991}">
      <x14:slicerCaches>
        <x14:slicerCache r:id="rId13"/>
        <x14:slicerCache r:id="rId14"/>
        <x14:slicerCache r:id="rId15"/>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ocument_b64e4a61-9a22-485c-8614-2af6b9af288f" name="Document" connection="Query - Documen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A5" i="2" l="1"/>
  <c r="CA6" i="2"/>
  <c r="CA7" i="2"/>
  <c r="CA8" i="2"/>
  <c r="CA9" i="2"/>
  <c r="CA10" i="2"/>
  <c r="CA11" i="2"/>
  <c r="CA12" i="2"/>
  <c r="CA13" i="2"/>
  <c r="CA14" i="2"/>
  <c r="CA15" i="2"/>
  <c r="CA16" i="2"/>
  <c r="CA17" i="2"/>
  <c r="CA18" i="2"/>
  <c r="CA19" i="2"/>
  <c r="CA20" i="2"/>
  <c r="CA21" i="2"/>
  <c r="CA22" i="2"/>
  <c r="CA23" i="2"/>
  <c r="CA24" i="2"/>
  <c r="CA25" i="2"/>
  <c r="CA26" i="2"/>
  <c r="CA27" i="2"/>
  <c r="CA28" i="2"/>
  <c r="CA29" i="2"/>
  <c r="CA30" i="2"/>
  <c r="CA31" i="2"/>
  <c r="CA32" i="2"/>
  <c r="CA33" i="2"/>
  <c r="CA34" i="2"/>
  <c r="CA35" i="2"/>
  <c r="CA36" i="2"/>
  <c r="CA37" i="2"/>
  <c r="CA38" i="2"/>
  <c r="CA39" i="2"/>
  <c r="CA40" i="2"/>
  <c r="CA41" i="2"/>
  <c r="CA42" i="2"/>
  <c r="CA43" i="2"/>
  <c r="CA44" i="2"/>
  <c r="CA45" i="2"/>
  <c r="CA46" i="2"/>
  <c r="CA47" i="2"/>
  <c r="CA48" i="2"/>
  <c r="CA49" i="2"/>
  <c r="CA50" i="2"/>
  <c r="CA51" i="2"/>
  <c r="CA52" i="2"/>
  <c r="CA53" i="2"/>
  <c r="CA54" i="2"/>
  <c r="CA55" i="2"/>
  <c r="CA56" i="2"/>
  <c r="CA57" i="2"/>
  <c r="CA58" i="2"/>
  <c r="CA59" i="2"/>
  <c r="CA60" i="2"/>
  <c r="CA61" i="2"/>
  <c r="CA62" i="2"/>
  <c r="CA63" i="2"/>
  <c r="CA64" i="2"/>
  <c r="CA65" i="2"/>
  <c r="CA66" i="2"/>
  <c r="CA67" i="2"/>
  <c r="CA68" i="2"/>
  <c r="CA69" i="2"/>
  <c r="CA70" i="2"/>
  <c r="CA71" i="2"/>
  <c r="CA72" i="2"/>
  <c r="CA73" i="2"/>
  <c r="CA74" i="2"/>
  <c r="CA75" i="2"/>
  <c r="CA76" i="2"/>
  <c r="CA77" i="2"/>
  <c r="CA78" i="2"/>
  <c r="CA79" i="2"/>
  <c r="CA80" i="2"/>
  <c r="CA81" i="2"/>
  <c r="CA82" i="2"/>
  <c r="CA83" i="2"/>
  <c r="CA84" i="2"/>
  <c r="CA85" i="2"/>
  <c r="CA86" i="2"/>
  <c r="CA87" i="2"/>
  <c r="CA88" i="2"/>
  <c r="CA89" i="2"/>
  <c r="CA90" i="2"/>
  <c r="CA91" i="2"/>
  <c r="CA92" i="2"/>
  <c r="CA93" i="2"/>
  <c r="CA94" i="2"/>
  <c r="CA95" i="2"/>
  <c r="CA96" i="2"/>
  <c r="CA97" i="2"/>
  <c r="CA98" i="2"/>
  <c r="CA99" i="2"/>
  <c r="CA100" i="2"/>
  <c r="CA101" i="2"/>
  <c r="CA102" i="2"/>
  <c r="CA103" i="2"/>
  <c r="CA104" i="2"/>
  <c r="CA105" i="2"/>
  <c r="CA106" i="2"/>
  <c r="CA107" i="2"/>
  <c r="CA108" i="2"/>
  <c r="CA109" i="2"/>
  <c r="CA110" i="2"/>
  <c r="CA111" i="2"/>
  <c r="CA112" i="2"/>
  <c r="CA113" i="2"/>
  <c r="CA114" i="2"/>
  <c r="CA115" i="2"/>
  <c r="CA116" i="2"/>
  <c r="CA117" i="2"/>
  <c r="CA118" i="2"/>
  <c r="CA119" i="2"/>
  <c r="CA120" i="2"/>
  <c r="CA121" i="2"/>
  <c r="CA122" i="2"/>
  <c r="CA123" i="2"/>
  <c r="CA124" i="2"/>
  <c r="CA125" i="2"/>
  <c r="CA126" i="2"/>
  <c r="CA127" i="2"/>
  <c r="CA128" i="2"/>
  <c r="CA129" i="2"/>
  <c r="CA130" i="2"/>
  <c r="CA131" i="2"/>
  <c r="CA132" i="2"/>
  <c r="CA133" i="2"/>
  <c r="CA134" i="2"/>
  <c r="CA135" i="2"/>
  <c r="CA136" i="2"/>
  <c r="CA137" i="2"/>
  <c r="CA138" i="2"/>
  <c r="CA139" i="2"/>
  <c r="CA140" i="2"/>
  <c r="CA141" i="2"/>
  <c r="CA142" i="2"/>
  <c r="CA143" i="2"/>
  <c r="CA144" i="2"/>
  <c r="CA145" i="2"/>
  <c r="CA146" i="2"/>
  <c r="CA147" i="2"/>
  <c r="CA148" i="2"/>
  <c r="CA149" i="2"/>
  <c r="CA150" i="2"/>
  <c r="CA151" i="2"/>
  <c r="CA152" i="2"/>
  <c r="CA153" i="2"/>
  <c r="CA154" i="2"/>
  <c r="CA155" i="2"/>
  <c r="CA156" i="2"/>
  <c r="CA157" i="2"/>
  <c r="CA158" i="2"/>
  <c r="CA159" i="2"/>
  <c r="CA160" i="2"/>
  <c r="CA161" i="2"/>
  <c r="CA162" i="2"/>
  <c r="CA163" i="2"/>
  <c r="CA164" i="2"/>
  <c r="CA165" i="2"/>
  <c r="CA166" i="2"/>
  <c r="CA167" i="2"/>
  <c r="CA168" i="2"/>
  <c r="CA169" i="2"/>
  <c r="CA170" i="2"/>
  <c r="CA171" i="2"/>
  <c r="CA172" i="2"/>
  <c r="CA173" i="2"/>
  <c r="CA174" i="2"/>
  <c r="CA175" i="2"/>
  <c r="CA176" i="2"/>
  <c r="CA177" i="2"/>
  <c r="CA178" i="2"/>
  <c r="CA179" i="2"/>
  <c r="CA180" i="2"/>
  <c r="CA181" i="2"/>
  <c r="CA182" i="2"/>
  <c r="CA183" i="2"/>
  <c r="CA184" i="2"/>
  <c r="CA185" i="2"/>
  <c r="CA186" i="2"/>
  <c r="CA187" i="2"/>
  <c r="CA188" i="2"/>
  <c r="CA189" i="2"/>
  <c r="CA190" i="2"/>
  <c r="CA191" i="2"/>
  <c r="CA192" i="2"/>
  <c r="CA193" i="2"/>
  <c r="CA194" i="2"/>
  <c r="CA195" i="2"/>
  <c r="CA196" i="2"/>
  <c r="CA197" i="2"/>
  <c r="CA198" i="2"/>
  <c r="CA199" i="2"/>
  <c r="CA200" i="2"/>
  <c r="CA201" i="2"/>
  <c r="CA202" i="2"/>
  <c r="CA203" i="2"/>
  <c r="CA204" i="2"/>
  <c r="CA205" i="2"/>
  <c r="CA206" i="2"/>
  <c r="CA207" i="2"/>
  <c r="CA208" i="2"/>
  <c r="CA209" i="2"/>
  <c r="CA210" i="2"/>
  <c r="CA211" i="2"/>
  <c r="CA212" i="2"/>
  <c r="CA213" i="2"/>
  <c r="CA214" i="2"/>
  <c r="CA215" i="2"/>
  <c r="CA216" i="2"/>
  <c r="CA217" i="2"/>
  <c r="CA218" i="2"/>
  <c r="CA219" i="2"/>
  <c r="CA220" i="2"/>
  <c r="CA221" i="2"/>
  <c r="CA222" i="2"/>
  <c r="CA223" i="2"/>
  <c r="CA224" i="2"/>
  <c r="CA225" i="2"/>
  <c r="CA226" i="2"/>
  <c r="CA227" i="2"/>
  <c r="CA228" i="2"/>
  <c r="CA229" i="2"/>
  <c r="CA230" i="2"/>
  <c r="CA231" i="2"/>
  <c r="CA232" i="2"/>
  <c r="CA233" i="2"/>
  <c r="CA234" i="2"/>
  <c r="CA235" i="2"/>
  <c r="CA236" i="2"/>
  <c r="CA237" i="2"/>
  <c r="CA238" i="2"/>
  <c r="CA239" i="2"/>
  <c r="CA240" i="2"/>
  <c r="CA241" i="2"/>
  <c r="CA242" i="2"/>
  <c r="CA243" i="2"/>
  <c r="CA244" i="2"/>
  <c r="CA245" i="2"/>
  <c r="CA246" i="2"/>
  <c r="CA247" i="2"/>
  <c r="CA248" i="2"/>
  <c r="CA249" i="2"/>
  <c r="CA250" i="2"/>
  <c r="CA251" i="2"/>
  <c r="CA252" i="2"/>
  <c r="CA253" i="2"/>
  <c r="CA254" i="2"/>
  <c r="CA255" i="2"/>
  <c r="CA256" i="2"/>
  <c r="CA257" i="2"/>
  <c r="CA258" i="2"/>
  <c r="CA259" i="2"/>
  <c r="CA260" i="2"/>
  <c r="CA261" i="2"/>
  <c r="CA262" i="2"/>
  <c r="CA263" i="2"/>
  <c r="CA264" i="2"/>
  <c r="CA265" i="2"/>
  <c r="CA266" i="2"/>
  <c r="CA267" i="2"/>
  <c r="CA268" i="2"/>
  <c r="CA269" i="2"/>
  <c r="CA270" i="2"/>
  <c r="CA271" i="2"/>
  <c r="CA272" i="2"/>
  <c r="CA273" i="2"/>
  <c r="CA274" i="2"/>
  <c r="CA275" i="2"/>
  <c r="CA276" i="2"/>
  <c r="CA277" i="2"/>
  <c r="CA278" i="2"/>
  <c r="CA279" i="2"/>
  <c r="CA280" i="2"/>
  <c r="CA281" i="2"/>
  <c r="CA282" i="2"/>
  <c r="CA283" i="2"/>
  <c r="CA284" i="2"/>
  <c r="CA285" i="2"/>
  <c r="CA286" i="2"/>
  <c r="CA287" i="2"/>
  <c r="CA288" i="2"/>
  <c r="CA289" i="2"/>
  <c r="CA290" i="2"/>
  <c r="CA291" i="2"/>
  <c r="CA292" i="2"/>
  <c r="CA293" i="2"/>
  <c r="CA294" i="2"/>
  <c r="CA295" i="2"/>
  <c r="CA296" i="2"/>
  <c r="CA297" i="2"/>
  <c r="CA298" i="2"/>
  <c r="CA299" i="2"/>
  <c r="CA300" i="2"/>
  <c r="CA301" i="2"/>
  <c r="CA302" i="2"/>
  <c r="CA303" i="2"/>
  <c r="CA304" i="2"/>
  <c r="CA305" i="2"/>
  <c r="CA306" i="2"/>
  <c r="CA307" i="2"/>
  <c r="CA308" i="2"/>
  <c r="CA309" i="2"/>
  <c r="CA310" i="2"/>
  <c r="CA311" i="2"/>
  <c r="CA312" i="2"/>
  <c r="CA313" i="2"/>
  <c r="CA314" i="2"/>
  <c r="CA315" i="2"/>
  <c r="CA316" i="2"/>
  <c r="CA317" i="2"/>
  <c r="CA318" i="2"/>
  <c r="CA319" i="2"/>
  <c r="CA320" i="2"/>
  <c r="CA321" i="2"/>
  <c r="CA322" i="2"/>
  <c r="CA323" i="2"/>
  <c r="CA324" i="2"/>
  <c r="CA325" i="2"/>
  <c r="CA326" i="2"/>
  <c r="CA327" i="2"/>
  <c r="CA328" i="2"/>
  <c r="CA329" i="2"/>
  <c r="CA330" i="2"/>
  <c r="CA331" i="2"/>
  <c r="CA332" i="2"/>
  <c r="CA333" i="2"/>
  <c r="CA334" i="2"/>
  <c r="CA335" i="2"/>
  <c r="CA336" i="2"/>
  <c r="CA337" i="2"/>
  <c r="CA338" i="2"/>
  <c r="CA339" i="2"/>
  <c r="CA340" i="2"/>
  <c r="CA341" i="2"/>
  <c r="CA342" i="2"/>
  <c r="CA343" i="2"/>
  <c r="CA344" i="2"/>
  <c r="CA345" i="2"/>
  <c r="CA346" i="2"/>
  <c r="CA347" i="2"/>
  <c r="CA348" i="2"/>
  <c r="CA349" i="2"/>
  <c r="CA350" i="2"/>
  <c r="CA351" i="2"/>
  <c r="CA352" i="2"/>
  <c r="CA353" i="2"/>
  <c r="CA354" i="2"/>
  <c r="CA355" i="2"/>
  <c r="CA356" i="2"/>
  <c r="CA357" i="2"/>
  <c r="CA358" i="2"/>
  <c r="CA359" i="2"/>
  <c r="CA360" i="2"/>
  <c r="CA361" i="2"/>
  <c r="CA362" i="2"/>
  <c r="CA363" i="2"/>
  <c r="CA364" i="2"/>
  <c r="CA365" i="2"/>
  <c r="CA366" i="2"/>
  <c r="CA367" i="2"/>
  <c r="CA368" i="2"/>
  <c r="CA369" i="2"/>
  <c r="CA370" i="2"/>
  <c r="CA371" i="2"/>
  <c r="CA372" i="2"/>
  <c r="CA373" i="2"/>
  <c r="CA374" i="2"/>
  <c r="CA375" i="2"/>
  <c r="CA376" i="2"/>
  <c r="CA377" i="2"/>
  <c r="CA378" i="2"/>
  <c r="CA379" i="2"/>
  <c r="CA380" i="2"/>
  <c r="CA381" i="2"/>
  <c r="CA382" i="2"/>
  <c r="CA383" i="2"/>
  <c r="CA384" i="2"/>
  <c r="CA385" i="2"/>
  <c r="CA386" i="2"/>
  <c r="CA387" i="2"/>
  <c r="CA388" i="2"/>
  <c r="CA389" i="2"/>
  <c r="CA390" i="2"/>
  <c r="CA391" i="2"/>
  <c r="CA392" i="2"/>
  <c r="CA393" i="2"/>
  <c r="CA394" i="2"/>
  <c r="CA395" i="2"/>
  <c r="CA396" i="2"/>
  <c r="CA397" i="2"/>
  <c r="CA398" i="2"/>
  <c r="CA399" i="2"/>
  <c r="CA400" i="2"/>
  <c r="CA401" i="2"/>
  <c r="CA402" i="2"/>
  <c r="CA403" i="2"/>
  <c r="CA404" i="2"/>
  <c r="CA405" i="2"/>
  <c r="CA406" i="2"/>
  <c r="CA407" i="2"/>
  <c r="CA408" i="2"/>
  <c r="CA409" i="2"/>
  <c r="CA410" i="2"/>
  <c r="CA411" i="2"/>
  <c r="CA412" i="2"/>
  <c r="CA413" i="2"/>
  <c r="CA414" i="2"/>
  <c r="CA415" i="2"/>
  <c r="CA416" i="2"/>
  <c r="CA417" i="2"/>
  <c r="CA418" i="2"/>
  <c r="CA419" i="2"/>
  <c r="CA420" i="2"/>
  <c r="CA421" i="2"/>
  <c r="CA422" i="2"/>
  <c r="CA423" i="2"/>
  <c r="CA424" i="2"/>
  <c r="CA425" i="2"/>
  <c r="CA426" i="2"/>
  <c r="CA427" i="2"/>
  <c r="CA428" i="2"/>
  <c r="CA429" i="2"/>
  <c r="CA430" i="2"/>
  <c r="CA431" i="2"/>
  <c r="CA432" i="2"/>
  <c r="CA433" i="2"/>
  <c r="CA434" i="2"/>
  <c r="CA435" i="2"/>
  <c r="CA436" i="2"/>
  <c r="CA437" i="2"/>
  <c r="CA438" i="2"/>
  <c r="CA439" i="2"/>
  <c r="CA440" i="2"/>
  <c r="CA441" i="2"/>
  <c r="CA442" i="2"/>
  <c r="CA443" i="2"/>
  <c r="CA444" i="2"/>
  <c r="CA445" i="2"/>
  <c r="CA446" i="2"/>
  <c r="CA447" i="2"/>
  <c r="CA448" i="2"/>
  <c r="CA449" i="2"/>
  <c r="CA450" i="2"/>
  <c r="CA451" i="2"/>
  <c r="CA452" i="2"/>
  <c r="CA453" i="2"/>
  <c r="CA454" i="2"/>
  <c r="CA455" i="2"/>
  <c r="CA456" i="2"/>
  <c r="CA457" i="2"/>
  <c r="CA458" i="2"/>
  <c r="CA459" i="2"/>
  <c r="CA460" i="2"/>
  <c r="CA461" i="2"/>
  <c r="CA462" i="2"/>
  <c r="CA463" i="2"/>
  <c r="CA464" i="2"/>
  <c r="CA465" i="2"/>
  <c r="CA466" i="2"/>
  <c r="CA467" i="2"/>
  <c r="CA468" i="2"/>
  <c r="CA469" i="2"/>
  <c r="CA470" i="2"/>
  <c r="CA471" i="2"/>
  <c r="CA472" i="2"/>
  <c r="CA473" i="2"/>
  <c r="CA474" i="2"/>
  <c r="CA475" i="2"/>
  <c r="CA476" i="2"/>
  <c r="CA477" i="2"/>
  <c r="CA478" i="2"/>
  <c r="CA479" i="2"/>
  <c r="CA480" i="2"/>
  <c r="CA481" i="2"/>
  <c r="CA482" i="2"/>
  <c r="CA483" i="2"/>
  <c r="CA484" i="2"/>
  <c r="CA485" i="2"/>
  <c r="CA486" i="2"/>
  <c r="CA487" i="2"/>
  <c r="CA488" i="2"/>
  <c r="CA489" i="2"/>
  <c r="CA490" i="2"/>
  <c r="CA491" i="2"/>
  <c r="CA492" i="2"/>
  <c r="CA493" i="2"/>
  <c r="CA494" i="2"/>
  <c r="CA495" i="2"/>
  <c r="CA496" i="2"/>
  <c r="CA497" i="2"/>
  <c r="CA498" i="2"/>
  <c r="CA499" i="2"/>
  <c r="CA500" i="2"/>
  <c r="CA501" i="2"/>
  <c r="CA502" i="2"/>
  <c r="CA503" i="2"/>
  <c r="CA504" i="2"/>
  <c r="CA4" i="2"/>
  <c r="BU432" i="2" a="1"/>
  <c r="BU432" i="2" s="1"/>
  <c r="BX432" i="2" s="1"/>
  <c r="BY432" i="2" s="1"/>
  <c r="BV432" i="2" a="1"/>
  <c r="BV432" i="2" s="1"/>
  <c r="BW432" i="2" a="1"/>
  <c r="BW432" i="2" s="1"/>
  <c r="BZ432" i="2"/>
  <c r="CB432" i="2"/>
  <c r="CC432" i="2"/>
  <c r="CF432" i="2"/>
  <c r="CG432" i="2"/>
  <c r="BU466" i="2" a="1"/>
  <c r="BU466" i="2" s="1"/>
  <c r="BX466" i="2" s="1"/>
  <c r="BY466" i="2" s="1"/>
  <c r="BV466" i="2" a="1"/>
  <c r="BV466" i="2" s="1"/>
  <c r="BW466" i="2" a="1"/>
  <c r="BW466" i="2" s="1"/>
  <c r="BZ466" i="2"/>
  <c r="CB466" i="2"/>
  <c r="CC466" i="2"/>
  <c r="CF466" i="2"/>
  <c r="CG466" i="2"/>
  <c r="CG431" i="2"/>
  <c r="CF431" i="2"/>
  <c r="CC431" i="2"/>
  <c r="CB431" i="2"/>
  <c r="BZ431" i="2"/>
  <c r="BW431" i="2" a="1"/>
  <c r="BW431" i="2" s="1"/>
  <c r="BV431" i="2" a="1"/>
  <c r="BV431" i="2" s="1"/>
  <c r="BU431" i="2" a="1"/>
  <c r="BU431" i="2" s="1"/>
  <c r="BX431" i="2" s="1"/>
  <c r="BY431" i="2" s="1"/>
  <c r="CG430" i="2"/>
  <c r="CF430" i="2"/>
  <c r="CC430" i="2"/>
  <c r="CB430" i="2"/>
  <c r="BZ430" i="2"/>
  <c r="BW430" i="2" a="1"/>
  <c r="BW430" i="2" s="1"/>
  <c r="BV430" i="2" a="1"/>
  <c r="BV430" i="2" s="1"/>
  <c r="BU430" i="2" a="1"/>
  <c r="BU430" i="2" s="1"/>
  <c r="BX430" i="2" s="1"/>
  <c r="BY430" i="2" s="1"/>
  <c r="BU467" i="2" a="1"/>
  <c r="BU467" i="2" s="1"/>
  <c r="BX467" i="2" s="1"/>
  <c r="BY467" i="2" s="1"/>
  <c r="BV467" i="2" a="1"/>
  <c r="BV467" i="2" s="1"/>
  <c r="BW467" i="2" a="1"/>
  <c r="BW467" i="2" s="1"/>
  <c r="BZ467" i="2"/>
  <c r="CB467" i="2"/>
  <c r="CC467" i="2"/>
  <c r="CF467" i="2"/>
  <c r="CG467" i="2"/>
  <c r="CH432" i="2" l="1"/>
  <c r="CH466" i="2"/>
  <c r="CH431" i="2"/>
  <c r="CH430" i="2"/>
  <c r="CH467" i="2"/>
  <c r="CG424" i="2" l="1"/>
  <c r="CF424" i="2"/>
  <c r="CC424" i="2"/>
  <c r="CB424" i="2"/>
  <c r="BW424" i="2" a="1"/>
  <c r="BW424" i="2" s="1"/>
  <c r="BV424" i="2" a="1"/>
  <c r="BV424" i="2" s="1"/>
  <c r="BU424" i="2" a="1"/>
  <c r="BU424" i="2" s="1"/>
  <c r="BX424" i="2" s="1"/>
  <c r="CH424" i="2" l="1"/>
  <c r="BU400" i="2" l="1" a="1"/>
  <c r="BU400" i="2" s="1"/>
  <c r="BX400" i="2" s="1"/>
  <c r="BV400" i="2" a="1"/>
  <c r="BV400" i="2" s="1"/>
  <c r="BW400" i="2" a="1"/>
  <c r="BW400" i="2" s="1"/>
  <c r="CB400" i="2"/>
  <c r="CC400" i="2"/>
  <c r="CF400" i="2"/>
  <c r="CG400" i="2"/>
  <c r="BU401" i="2" a="1"/>
  <c r="BU401" i="2" s="1"/>
  <c r="BX401" i="2" s="1"/>
  <c r="BY401" i="2" s="1"/>
  <c r="BV401" i="2" a="1"/>
  <c r="BV401" i="2" s="1"/>
  <c r="BW401" i="2" a="1"/>
  <c r="BW401" i="2" s="1"/>
  <c r="CB401" i="2"/>
  <c r="CC401" i="2"/>
  <c r="CF401" i="2"/>
  <c r="CG401" i="2"/>
  <c r="BU402" i="2" a="1"/>
  <c r="BU402" i="2" s="1"/>
  <c r="BX402" i="2" s="1"/>
  <c r="BV402" i="2" a="1"/>
  <c r="BV402" i="2" s="1"/>
  <c r="BW402" i="2" a="1"/>
  <c r="BW402" i="2" s="1"/>
  <c r="CB402" i="2"/>
  <c r="CC402" i="2"/>
  <c r="CF402" i="2"/>
  <c r="CG402" i="2"/>
  <c r="BU403" i="2" a="1"/>
  <c r="BU403" i="2" s="1"/>
  <c r="BX403" i="2" s="1"/>
  <c r="BV403" i="2" a="1"/>
  <c r="BV403" i="2" s="1"/>
  <c r="BW403" i="2" a="1"/>
  <c r="BW403" i="2" s="1"/>
  <c r="CB403" i="2"/>
  <c r="CC403" i="2"/>
  <c r="CF403" i="2"/>
  <c r="CG403" i="2"/>
  <c r="BU404" i="2" a="1"/>
  <c r="BU404" i="2" s="1"/>
  <c r="BX404" i="2" s="1"/>
  <c r="BV404" i="2" a="1"/>
  <c r="BV404" i="2" s="1"/>
  <c r="BW404" i="2" a="1"/>
  <c r="BW404" i="2" s="1"/>
  <c r="CB404" i="2"/>
  <c r="CC404" i="2"/>
  <c r="CF404" i="2"/>
  <c r="CG404" i="2"/>
  <c r="BU405" i="2" a="1"/>
  <c r="BU405" i="2" s="1"/>
  <c r="BX405" i="2" s="1"/>
  <c r="BV405" i="2" a="1"/>
  <c r="BV405" i="2" s="1"/>
  <c r="BW405" i="2" a="1"/>
  <c r="BW405" i="2" s="1"/>
  <c r="CB405" i="2"/>
  <c r="CC405" i="2"/>
  <c r="CF405" i="2"/>
  <c r="CG405" i="2"/>
  <c r="BU406" i="2" a="1"/>
  <c r="BU406" i="2" s="1"/>
  <c r="BX406" i="2" s="1"/>
  <c r="BV406" i="2" a="1"/>
  <c r="BV406" i="2" s="1"/>
  <c r="BW406" i="2" a="1"/>
  <c r="BW406" i="2" s="1"/>
  <c r="CB406" i="2"/>
  <c r="CC406" i="2"/>
  <c r="CF406" i="2"/>
  <c r="CG406" i="2"/>
  <c r="BU473" i="2" a="1"/>
  <c r="BU473" i="2" s="1"/>
  <c r="BX473" i="2" s="1"/>
  <c r="BV473" i="2" a="1"/>
  <c r="BV473" i="2" s="1"/>
  <c r="BW473" i="2" a="1"/>
  <c r="BW473" i="2" s="1"/>
  <c r="CC473" i="2"/>
  <c r="CF473" i="2"/>
  <c r="CG473" i="2"/>
  <c r="BU474" i="2" a="1"/>
  <c r="BU474" i="2" s="1"/>
  <c r="BX474" i="2" s="1"/>
  <c r="BY474" i="2" s="1"/>
  <c r="BV474" i="2" a="1"/>
  <c r="BV474" i="2" s="1"/>
  <c r="BW474" i="2" a="1"/>
  <c r="BW474" i="2" s="1"/>
  <c r="CC474" i="2"/>
  <c r="CF474" i="2"/>
  <c r="CG474" i="2"/>
  <c r="BU475" i="2" a="1"/>
  <c r="BU475" i="2" s="1"/>
  <c r="BX475" i="2" s="1"/>
  <c r="BV475" i="2" a="1"/>
  <c r="BV475" i="2" s="1"/>
  <c r="BW475" i="2" a="1"/>
  <c r="BW475" i="2" s="1"/>
  <c r="CC475" i="2"/>
  <c r="CF475" i="2"/>
  <c r="CG475" i="2"/>
  <c r="BU476" i="2" a="1"/>
  <c r="BU476" i="2" s="1"/>
  <c r="BX476" i="2" s="1"/>
  <c r="BV476" i="2" a="1"/>
  <c r="BV476" i="2" s="1"/>
  <c r="BW476" i="2" a="1"/>
  <c r="BW476" i="2" s="1"/>
  <c r="CC476" i="2"/>
  <c r="CF476" i="2"/>
  <c r="CG476" i="2"/>
  <c r="CG479" i="2"/>
  <c r="CF479" i="2"/>
  <c r="CC479" i="2"/>
  <c r="BW479" i="2" a="1"/>
  <c r="BW479" i="2" s="1"/>
  <c r="BV479" i="2" a="1"/>
  <c r="BV479" i="2" s="1"/>
  <c r="BU479" i="2" a="1"/>
  <c r="BU479" i="2" s="1"/>
  <c r="BX479" i="2" s="1"/>
  <c r="BU505" i="2" a="1"/>
  <c r="BU505" i="2" s="1"/>
  <c r="BX505" i="2" s="1"/>
  <c r="BV505" i="2" a="1"/>
  <c r="BV505" i="2" s="1"/>
  <c r="BW505" i="2" a="1"/>
  <c r="BW505" i="2" s="1"/>
  <c r="BY505" i="2"/>
  <c r="CA505" i="2" s="1"/>
  <c r="BZ505" i="2"/>
  <c r="CB505" i="2"/>
  <c r="CC505" i="2"/>
  <c r="CE505" i="2"/>
  <c r="CF505" i="2"/>
  <c r="CG505" i="2"/>
  <c r="CK505" i="2"/>
  <c r="BU506" i="2" a="1"/>
  <c r="BU506" i="2" s="1"/>
  <c r="BX506" i="2" s="1"/>
  <c r="BV506" i="2" a="1"/>
  <c r="BV506" i="2" s="1"/>
  <c r="BW506" i="2" a="1"/>
  <c r="BW506" i="2" s="1"/>
  <c r="BY506" i="2"/>
  <c r="CA506" i="2" s="1"/>
  <c r="BZ506" i="2"/>
  <c r="CB506" i="2"/>
  <c r="CC506" i="2"/>
  <c r="CE506" i="2"/>
  <c r="CF506" i="2"/>
  <c r="CG506" i="2"/>
  <c r="CK506" i="2"/>
  <c r="BU507" i="2" a="1"/>
  <c r="BU507" i="2" s="1"/>
  <c r="BX507" i="2" s="1"/>
  <c r="BV507" i="2" a="1"/>
  <c r="BV507" i="2" s="1"/>
  <c r="BW507" i="2" a="1"/>
  <c r="BW507" i="2" s="1"/>
  <c r="BY507" i="2"/>
  <c r="CA507" i="2" s="1"/>
  <c r="BZ507" i="2"/>
  <c r="CB507" i="2"/>
  <c r="CC507" i="2"/>
  <c r="CE507" i="2"/>
  <c r="CF507" i="2"/>
  <c r="CG507" i="2"/>
  <c r="CK507" i="2"/>
  <c r="BU508" i="2" a="1"/>
  <c r="BU508" i="2" s="1"/>
  <c r="BX508" i="2" s="1"/>
  <c r="BV508" i="2" a="1"/>
  <c r="BV508" i="2" s="1"/>
  <c r="BW508" i="2" a="1"/>
  <c r="BW508" i="2" s="1"/>
  <c r="BY508" i="2"/>
  <c r="BZ508" i="2"/>
  <c r="CB508" i="2"/>
  <c r="CC508" i="2"/>
  <c r="CE508" i="2"/>
  <c r="CF508" i="2"/>
  <c r="CG508" i="2"/>
  <c r="CK508" i="2"/>
  <c r="BU509" i="2" a="1"/>
  <c r="BU509" i="2" s="1"/>
  <c r="BX509" i="2" s="1"/>
  <c r="BV509" i="2" a="1"/>
  <c r="BV509" i="2" s="1"/>
  <c r="BW509" i="2" a="1"/>
  <c r="BW509" i="2" s="1"/>
  <c r="BY509" i="2"/>
  <c r="CA509" i="2" s="1"/>
  <c r="BZ509" i="2"/>
  <c r="CB509" i="2"/>
  <c r="CC509" i="2"/>
  <c r="CE509" i="2"/>
  <c r="CF509" i="2"/>
  <c r="CG509" i="2"/>
  <c r="CK509" i="2"/>
  <c r="BU510" i="2" a="1"/>
  <c r="BU510" i="2" s="1"/>
  <c r="BX510" i="2" s="1"/>
  <c r="BV510" i="2" a="1"/>
  <c r="BV510" i="2" s="1"/>
  <c r="BW510" i="2" a="1"/>
  <c r="BW510" i="2" s="1"/>
  <c r="BY510" i="2"/>
  <c r="CA510" i="2" s="1"/>
  <c r="BZ510" i="2"/>
  <c r="CB510" i="2"/>
  <c r="CC510" i="2"/>
  <c r="CE510" i="2"/>
  <c r="CF510" i="2"/>
  <c r="CG510" i="2"/>
  <c r="CK510" i="2"/>
  <c r="BU511" i="2" a="1"/>
  <c r="BU511" i="2" s="1"/>
  <c r="BX511" i="2" s="1"/>
  <c r="BV511" i="2" a="1"/>
  <c r="BV511" i="2" s="1"/>
  <c r="BW511" i="2" a="1"/>
  <c r="BW511" i="2" s="1"/>
  <c r="BY511" i="2"/>
  <c r="CA511" i="2" s="1"/>
  <c r="BZ511" i="2"/>
  <c r="CB511" i="2"/>
  <c r="CC511" i="2"/>
  <c r="CE511" i="2"/>
  <c r="CF511" i="2"/>
  <c r="CG511" i="2"/>
  <c r="CK511" i="2"/>
  <c r="CG478" i="2"/>
  <c r="CF478" i="2"/>
  <c r="CC478" i="2"/>
  <c r="BW478" i="2" a="1"/>
  <c r="BW478" i="2" s="1"/>
  <c r="BV478" i="2" a="1"/>
  <c r="BV478" i="2" s="1"/>
  <c r="BU478" i="2" a="1"/>
  <c r="BU478" i="2" s="1"/>
  <c r="BX478" i="2" s="1"/>
  <c r="CG477" i="2"/>
  <c r="CF477" i="2"/>
  <c r="CC477" i="2"/>
  <c r="BW477" i="2" a="1"/>
  <c r="BW477" i="2" s="1"/>
  <c r="BV477" i="2" a="1"/>
  <c r="BV477" i="2" s="1"/>
  <c r="BU477" i="2" a="1"/>
  <c r="BU477" i="2" s="1"/>
  <c r="BX477" i="2" s="1"/>
  <c r="BU472" i="2" a="1"/>
  <c r="BU472" i="2" s="1"/>
  <c r="BX472" i="2" s="1"/>
  <c r="BV472" i="2" a="1"/>
  <c r="BV472" i="2" s="1"/>
  <c r="BW472" i="2" a="1"/>
  <c r="BW472" i="2" s="1"/>
  <c r="CC472" i="2"/>
  <c r="CF472" i="2"/>
  <c r="CG472" i="2"/>
  <c r="CG465" i="2"/>
  <c r="CF465" i="2"/>
  <c r="CC465" i="2"/>
  <c r="CB465" i="2"/>
  <c r="BW465" i="2" a="1"/>
  <c r="BW465" i="2" s="1"/>
  <c r="BV465" i="2" a="1"/>
  <c r="BV465" i="2" s="1"/>
  <c r="BU465" i="2" a="1"/>
  <c r="BU465" i="2" s="1"/>
  <c r="BX465" i="2" s="1"/>
  <c r="BU482" i="2" a="1"/>
  <c r="BU482" i="2" s="1"/>
  <c r="BX482" i="2" s="1"/>
  <c r="BV482" i="2" a="1"/>
  <c r="BV482" i="2" s="1"/>
  <c r="BW482" i="2" a="1"/>
  <c r="BW482" i="2" s="1"/>
  <c r="CB482" i="2"/>
  <c r="CC482" i="2"/>
  <c r="CF482" i="2"/>
  <c r="CG482" i="2"/>
  <c r="BU481" i="2" a="1"/>
  <c r="BU481" i="2" s="1"/>
  <c r="BX481" i="2" s="1"/>
  <c r="BV481" i="2" a="1"/>
  <c r="BV481" i="2" s="1"/>
  <c r="BW481" i="2" a="1"/>
  <c r="BW481" i="2" s="1"/>
  <c r="CB481" i="2"/>
  <c r="CC481" i="2"/>
  <c r="CF481" i="2"/>
  <c r="CG481" i="2"/>
  <c r="BU480" i="2" a="1"/>
  <c r="BU480" i="2" s="1"/>
  <c r="BX480" i="2" s="1"/>
  <c r="BV480" i="2" a="1"/>
  <c r="BV480" i="2" s="1"/>
  <c r="BW480" i="2" a="1"/>
  <c r="BW480" i="2" s="1"/>
  <c r="CB480" i="2"/>
  <c r="CC480" i="2"/>
  <c r="CF480" i="2"/>
  <c r="CG480" i="2"/>
  <c r="D16" i="15"/>
  <c r="D14" i="15"/>
  <c r="D12" i="15"/>
  <c r="BU455" i="2" a="1"/>
  <c r="BU455" i="2" s="1"/>
  <c r="BX455" i="2" s="1"/>
  <c r="BV455" i="2" a="1"/>
  <c r="BV455" i="2" s="1"/>
  <c r="BW455" i="2" a="1"/>
  <c r="BW455" i="2" s="1"/>
  <c r="CK2" i="2"/>
  <c r="CB455" i="2"/>
  <c r="CF455" i="2"/>
  <c r="CG455" i="2"/>
  <c r="CI2" i="2"/>
  <c r="BU456" i="2" a="1"/>
  <c r="BU456" i="2" s="1"/>
  <c r="BX456" i="2" s="1"/>
  <c r="BV456" i="2" a="1"/>
  <c r="BV456" i="2" s="1"/>
  <c r="BW456" i="2" a="1"/>
  <c r="BW456" i="2" s="1"/>
  <c r="CB456" i="2"/>
  <c r="CF456" i="2"/>
  <c r="CG456" i="2"/>
  <c r="BU457" i="2" a="1"/>
  <c r="BU457" i="2" s="1"/>
  <c r="BX457" i="2" s="1"/>
  <c r="BV457" i="2" a="1"/>
  <c r="BV457" i="2" s="1"/>
  <c r="BW457" i="2" a="1"/>
  <c r="BW457" i="2" s="1"/>
  <c r="CB457" i="2"/>
  <c r="CF457" i="2"/>
  <c r="CG457" i="2"/>
  <c r="BU458" i="2" a="1"/>
  <c r="BU458" i="2" s="1"/>
  <c r="BX458" i="2" s="1"/>
  <c r="BV458" i="2" a="1"/>
  <c r="BV458" i="2" s="1"/>
  <c r="BW458" i="2" a="1"/>
  <c r="BW458" i="2" s="1"/>
  <c r="CB458" i="2"/>
  <c r="CF458" i="2"/>
  <c r="CG458" i="2"/>
  <c r="BU453" i="2" a="1"/>
  <c r="BU453" i="2" s="1"/>
  <c r="BX453" i="2" s="1"/>
  <c r="CB453" i="2"/>
  <c r="CG453" i="2"/>
  <c r="CF453" i="2"/>
  <c r="BW453" i="2" a="1"/>
  <c r="BW453" i="2" s="1"/>
  <c r="BV453" i="2" a="1"/>
  <c r="BV453" i="2" s="1"/>
  <c r="BU452" i="2" a="1"/>
  <c r="BU452" i="2" s="1"/>
  <c r="BX452" i="2" s="1"/>
  <c r="CB452" i="2"/>
  <c r="CG452" i="2"/>
  <c r="CF452" i="2"/>
  <c r="BW452" i="2" a="1"/>
  <c r="BW452" i="2" s="1"/>
  <c r="BV452" i="2" a="1"/>
  <c r="BV452" i="2" s="1"/>
  <c r="BU468" i="2" a="1"/>
  <c r="BU468" i="2" s="1"/>
  <c r="BX468" i="2" s="1"/>
  <c r="BV468" i="2" a="1"/>
  <c r="BV468" i="2" s="1"/>
  <c r="BW468" i="2" a="1"/>
  <c r="BW468" i="2" s="1"/>
  <c r="CB468" i="2"/>
  <c r="CF468" i="2"/>
  <c r="CG468" i="2"/>
  <c r="BU469" i="2" a="1"/>
  <c r="BU469" i="2" s="1"/>
  <c r="BX469" i="2" s="1"/>
  <c r="BV469" i="2" a="1"/>
  <c r="BV469" i="2" s="1"/>
  <c r="BW469" i="2" a="1"/>
  <c r="BW469" i="2" s="1"/>
  <c r="CB469" i="2"/>
  <c r="CF469" i="2"/>
  <c r="CG469" i="2"/>
  <c r="C7" i="15"/>
  <c r="D455" i="14"/>
  <c r="D454" i="14"/>
  <c r="D453" i="14"/>
  <c r="D452" i="14"/>
  <c r="D451" i="14"/>
  <c r="D450" i="14"/>
  <c r="D449" i="14"/>
  <c r="D448" i="14"/>
  <c r="D447" i="14"/>
  <c r="D446" i="14"/>
  <c r="CG503" i="2"/>
  <c r="CF503" i="2"/>
  <c r="E12" i="6"/>
  <c r="B12" i="6" s="1"/>
  <c r="CB503" i="2"/>
  <c r="BW503" i="2" a="1"/>
  <c r="BW503" i="2" s="1"/>
  <c r="BV503" i="2" a="1"/>
  <c r="BV503" i="2" s="1"/>
  <c r="BU503" i="2" a="1"/>
  <c r="BU503" i="2" s="1"/>
  <c r="BX503" i="2" s="1"/>
  <c r="CG471" i="2"/>
  <c r="CF471" i="2"/>
  <c r="CB471" i="2"/>
  <c r="BW471" i="2" a="1"/>
  <c r="BW471" i="2" s="1"/>
  <c r="BV471" i="2" a="1"/>
  <c r="BV471" i="2" s="1"/>
  <c r="BU471" i="2" a="1"/>
  <c r="BU471" i="2" s="1"/>
  <c r="BX471" i="2" s="1"/>
  <c r="CG512" i="2"/>
  <c r="CF512" i="2"/>
  <c r="CB512" i="2"/>
  <c r="BW512" i="2" a="1"/>
  <c r="BW512" i="2" s="1"/>
  <c r="BV512" i="2" a="1"/>
  <c r="BV512" i="2" s="1"/>
  <c r="BU512" i="2" a="1"/>
  <c r="BU512" i="2" s="1"/>
  <c r="BX512" i="2" s="1"/>
  <c r="J79" i="14"/>
  <c r="D445" i="14"/>
  <c r="D444" i="14"/>
  <c r="D443" i="14"/>
  <c r="D442" i="14"/>
  <c r="D441" i="14"/>
  <c r="D440" i="14"/>
  <c r="D439" i="14"/>
  <c r="D438" i="14"/>
  <c r="D437" i="14"/>
  <c r="D436" i="14"/>
  <c r="CF35" i="2"/>
  <c r="CF36" i="2"/>
  <c r="CF38" i="2"/>
  <c r="CF39" i="2"/>
  <c r="CF40" i="2"/>
  <c r="CF41" i="2"/>
  <c r="CF42" i="2"/>
  <c r="CF43" i="2"/>
  <c r="CF44" i="2"/>
  <c r="CF45" i="2"/>
  <c r="CF46" i="2"/>
  <c r="CF47" i="2"/>
  <c r="CF48" i="2"/>
  <c r="CF49" i="2"/>
  <c r="CF50" i="2"/>
  <c r="CF51" i="2"/>
  <c r="CF52" i="2"/>
  <c r="CF53" i="2"/>
  <c r="CF54" i="2"/>
  <c r="CF55" i="2"/>
  <c r="CF283" i="2"/>
  <c r="CF284" i="2"/>
  <c r="CF285" i="2"/>
  <c r="CF286" i="2"/>
  <c r="CF287" i="2"/>
  <c r="CF288" i="2"/>
  <c r="CF289" i="2"/>
  <c r="CF290" i="2"/>
  <c r="CF291" i="2"/>
  <c r="CF292" i="2"/>
  <c r="CF293" i="2"/>
  <c r="CF294" i="2"/>
  <c r="CF295" i="2"/>
  <c r="CF296" i="2"/>
  <c r="CF297" i="2"/>
  <c r="CF298" i="2"/>
  <c r="CF299" i="2"/>
  <c r="CF301" i="2"/>
  <c r="CF484" i="2"/>
  <c r="CF485" i="2"/>
  <c r="CF486" i="2"/>
  <c r="CF304" i="2"/>
  <c r="CF305" i="2"/>
  <c r="CF302" i="2"/>
  <c r="CF487" i="2"/>
  <c r="CF303" i="2"/>
  <c r="CF306" i="2"/>
  <c r="CF300" i="2"/>
  <c r="CF488" i="2"/>
  <c r="CF275" i="2"/>
  <c r="CF276" i="2"/>
  <c r="CF277" i="2"/>
  <c r="CF278" i="2"/>
  <c r="CF279" i="2"/>
  <c r="CF280" i="2"/>
  <c r="CF281" i="2"/>
  <c r="CF489" i="2"/>
  <c r="CF282" i="2"/>
  <c r="CF66" i="2"/>
  <c r="CF67" i="2"/>
  <c r="CF68" i="2"/>
  <c r="CF69" i="2"/>
  <c r="CF70" i="2"/>
  <c r="CF71" i="2"/>
  <c r="CF72" i="2"/>
  <c r="CF73" i="2"/>
  <c r="CF74" i="2"/>
  <c r="CF75" i="2"/>
  <c r="CF76" i="2"/>
  <c r="CF77" i="2"/>
  <c r="CF89" i="2"/>
  <c r="CF90" i="2"/>
  <c r="CF91" i="2"/>
  <c r="CF92" i="2"/>
  <c r="CF93" i="2"/>
  <c r="CF94" i="2"/>
  <c r="CF95" i="2"/>
  <c r="CF96" i="2"/>
  <c r="CF78" i="2"/>
  <c r="CF79" i="2"/>
  <c r="CF80" i="2"/>
  <c r="CF81" i="2"/>
  <c r="CF85" i="2"/>
  <c r="CF86" i="2"/>
  <c r="CF87" i="2"/>
  <c r="CF88" i="2"/>
  <c r="CF97" i="2"/>
  <c r="CF98" i="2"/>
  <c r="CF99" i="2"/>
  <c r="CF100" i="2"/>
  <c r="CF82" i="2"/>
  <c r="CF117" i="2"/>
  <c r="CF118" i="2"/>
  <c r="CF119" i="2"/>
  <c r="CF120" i="2"/>
  <c r="CF113" i="2"/>
  <c r="CF114" i="2"/>
  <c r="CF115" i="2"/>
  <c r="CF116" i="2"/>
  <c r="CF83" i="2"/>
  <c r="CF84" i="2"/>
  <c r="CF101" i="2"/>
  <c r="CF102" i="2"/>
  <c r="CF103" i="2"/>
  <c r="CF104" i="2"/>
  <c r="CF105" i="2"/>
  <c r="CF106" i="2"/>
  <c r="CF107" i="2"/>
  <c r="CF108" i="2"/>
  <c r="CF109" i="2"/>
  <c r="CF110" i="2"/>
  <c r="CF111" i="2"/>
  <c r="CF112" i="2"/>
  <c r="CF327" i="2"/>
  <c r="CF328" i="2"/>
  <c r="CF329" i="2"/>
  <c r="CF340" i="2"/>
  <c r="CF341" i="2"/>
  <c r="CF342" i="2"/>
  <c r="CF359" i="2"/>
  <c r="CF360" i="2"/>
  <c r="CF361" i="2"/>
  <c r="CF313" i="2"/>
  <c r="CF314" i="2"/>
  <c r="CF315" i="2"/>
  <c r="CF346" i="2"/>
  <c r="CF347" i="2"/>
  <c r="CF348" i="2"/>
  <c r="CF323" i="2"/>
  <c r="CF324" i="2"/>
  <c r="CF325" i="2"/>
  <c r="CF326" i="2"/>
  <c r="CF334" i="2"/>
  <c r="CF335" i="2"/>
  <c r="CF336" i="2"/>
  <c r="CF319" i="2"/>
  <c r="CF320" i="2"/>
  <c r="CF321" i="2"/>
  <c r="CF322" i="2"/>
  <c r="CF330" i="2"/>
  <c r="CF331" i="2"/>
  <c r="CF332" i="2"/>
  <c r="CF333" i="2"/>
  <c r="CF349" i="2"/>
  <c r="CF350" i="2"/>
  <c r="CF351" i="2"/>
  <c r="CF352" i="2"/>
  <c r="CF353" i="2"/>
  <c r="CF354" i="2"/>
  <c r="CF355" i="2"/>
  <c r="CF370" i="2"/>
  <c r="CF307" i="2"/>
  <c r="CF308" i="2"/>
  <c r="CF309" i="2"/>
  <c r="CF337" i="2"/>
  <c r="CF338" i="2"/>
  <c r="CF339" i="2"/>
  <c r="CF356" i="2"/>
  <c r="CF357" i="2"/>
  <c r="CF358" i="2"/>
  <c r="CF310" i="2"/>
  <c r="CF311" i="2"/>
  <c r="CF312" i="2"/>
  <c r="CF343" i="2"/>
  <c r="CF344" i="2"/>
  <c r="CF345" i="2"/>
  <c r="CF316" i="2"/>
  <c r="CF317" i="2"/>
  <c r="CF318" i="2"/>
  <c r="CF362" i="2"/>
  <c r="CF363" i="2"/>
  <c r="CF364" i="2"/>
  <c r="CF365" i="2"/>
  <c r="CF366" i="2"/>
  <c r="CF367" i="2"/>
  <c r="CF368" i="2"/>
  <c r="CF369" i="2"/>
  <c r="CF231" i="2"/>
  <c r="CF232" i="2"/>
  <c r="CF233" i="2"/>
  <c r="CF226" i="2"/>
  <c r="CF227" i="2"/>
  <c r="CF228" i="2"/>
  <c r="CF229" i="2"/>
  <c r="CF230" i="2"/>
  <c r="CF235" i="2"/>
  <c r="CF236" i="2"/>
  <c r="CF237" i="2"/>
  <c r="CF17" i="2"/>
  <c r="CF18" i="2"/>
  <c r="CF19" i="2"/>
  <c r="CF20" i="2"/>
  <c r="CF21" i="2"/>
  <c r="CF22" i="2"/>
  <c r="CF11" i="2"/>
  <c r="CF12" i="2"/>
  <c r="CF13" i="2"/>
  <c r="CF14" i="2"/>
  <c r="CF15" i="2"/>
  <c r="CF23" i="2"/>
  <c r="CF24" i="2"/>
  <c r="CF25" i="2"/>
  <c r="CF26" i="2"/>
  <c r="CF8" i="2"/>
  <c r="CF9" i="2"/>
  <c r="CF10" i="2"/>
  <c r="CF234" i="2"/>
  <c r="CF490" i="2"/>
  <c r="CF491" i="2"/>
  <c r="CF492" i="2"/>
  <c r="CF65" i="2"/>
  <c r="CF122" i="2"/>
  <c r="CF123" i="2"/>
  <c r="CF121" i="2"/>
  <c r="CF124" i="2"/>
  <c r="CF125" i="2"/>
  <c r="CF126" i="2"/>
  <c r="CF127" i="2"/>
  <c r="CF128" i="2"/>
  <c r="CF129" i="2"/>
  <c r="CF130" i="2"/>
  <c r="CF131" i="2"/>
  <c r="CF132" i="2"/>
  <c r="CF133" i="2"/>
  <c r="CF134" i="2"/>
  <c r="CF135" i="2"/>
  <c r="CF136" i="2"/>
  <c r="CF137" i="2"/>
  <c r="CF138" i="2"/>
  <c r="CF139" i="2"/>
  <c r="CF140" i="2"/>
  <c r="CF141" i="2"/>
  <c r="CF142" i="2"/>
  <c r="CF143" i="2"/>
  <c r="CF144" i="2"/>
  <c r="CF145" i="2"/>
  <c r="CF146" i="2"/>
  <c r="CF493" i="2"/>
  <c r="CF4" i="2"/>
  <c r="CF5" i="2"/>
  <c r="CF6" i="2"/>
  <c r="CF37" i="2"/>
  <c r="CF483" i="2"/>
  <c r="CF238" i="2"/>
  <c r="CF239" i="2"/>
  <c r="CF246" i="2"/>
  <c r="CF247" i="2"/>
  <c r="CF248" i="2"/>
  <c r="CF249" i="2"/>
  <c r="CF256" i="2"/>
  <c r="CF257" i="2"/>
  <c r="CF240" i="2"/>
  <c r="CF241" i="2"/>
  <c r="CF254" i="2"/>
  <c r="CF255" i="2"/>
  <c r="CF242" i="2"/>
  <c r="CF243" i="2"/>
  <c r="CF244" i="2"/>
  <c r="CF245" i="2"/>
  <c r="CF252" i="2"/>
  <c r="CF253" i="2"/>
  <c r="CF250" i="2"/>
  <c r="CF251" i="2"/>
  <c r="CF259" i="2"/>
  <c r="CF271" i="2"/>
  <c r="CF272" i="2"/>
  <c r="CF258" i="2"/>
  <c r="CF260" i="2"/>
  <c r="CF261" i="2"/>
  <c r="CF262" i="2"/>
  <c r="CF263" i="2"/>
  <c r="CF264" i="2"/>
  <c r="CF267" i="2"/>
  <c r="CF268" i="2"/>
  <c r="CF269" i="2"/>
  <c r="CF270" i="2"/>
  <c r="CF494" i="2"/>
  <c r="CF495" i="2"/>
  <c r="CF496" i="2"/>
  <c r="CF265" i="2"/>
  <c r="CF266" i="2"/>
  <c r="CF273" i="2"/>
  <c r="CF274" i="2"/>
  <c r="CF151" i="2"/>
  <c r="CF152" i="2"/>
  <c r="CF153" i="2"/>
  <c r="CF154" i="2"/>
  <c r="CF164" i="2"/>
  <c r="CF165" i="2"/>
  <c r="CF166" i="2"/>
  <c r="CF167" i="2"/>
  <c r="CF199" i="2"/>
  <c r="CF200" i="2"/>
  <c r="CF201" i="2"/>
  <c r="CF202" i="2"/>
  <c r="CF497" i="2"/>
  <c r="CF498" i="2"/>
  <c r="CF499" i="2"/>
  <c r="CF500" i="2"/>
  <c r="CF168" i="2"/>
  <c r="CF169" i="2"/>
  <c r="CF170" i="2"/>
  <c r="CF171" i="2"/>
  <c r="CF172" i="2"/>
  <c r="CF155" i="2"/>
  <c r="CF156" i="2"/>
  <c r="CF157" i="2"/>
  <c r="CF158" i="2"/>
  <c r="CF159" i="2"/>
  <c r="CF173" i="2"/>
  <c r="CF174" i="2"/>
  <c r="CF175" i="2"/>
  <c r="CF176" i="2"/>
  <c r="CF177" i="2"/>
  <c r="CF203" i="2"/>
  <c r="CF204" i="2"/>
  <c r="CF205" i="2"/>
  <c r="CF206" i="2"/>
  <c r="CF207" i="2"/>
  <c r="CF208" i="2"/>
  <c r="CF209" i="2"/>
  <c r="CF210" i="2"/>
  <c r="CF186" i="2"/>
  <c r="CF187" i="2"/>
  <c r="CF188" i="2"/>
  <c r="CF189" i="2"/>
  <c r="CF190" i="2"/>
  <c r="CF191" i="2"/>
  <c r="CF192" i="2"/>
  <c r="CF193" i="2"/>
  <c r="CF147" i="2"/>
  <c r="CF148" i="2"/>
  <c r="CF149" i="2"/>
  <c r="CF150" i="2"/>
  <c r="CF178" i="2"/>
  <c r="CF179" i="2"/>
  <c r="CF180" i="2"/>
  <c r="CF181" i="2"/>
  <c r="CF182" i="2"/>
  <c r="CF183" i="2"/>
  <c r="CF184" i="2"/>
  <c r="CF185" i="2"/>
  <c r="CF194" i="2"/>
  <c r="CF195" i="2"/>
  <c r="CF196" i="2"/>
  <c r="CF197" i="2"/>
  <c r="CF198" i="2"/>
  <c r="CF211" i="2"/>
  <c r="CF212" i="2"/>
  <c r="CF213" i="2"/>
  <c r="CF214" i="2"/>
  <c r="CF215" i="2"/>
  <c r="CF216" i="2"/>
  <c r="CF217" i="2"/>
  <c r="CF218" i="2"/>
  <c r="CF219" i="2"/>
  <c r="CF220" i="2"/>
  <c r="CF221" i="2"/>
  <c r="CF222" i="2"/>
  <c r="CF223" i="2"/>
  <c r="CF224" i="2"/>
  <c r="CF160" i="2"/>
  <c r="CF161" i="2"/>
  <c r="CF162" i="2"/>
  <c r="CF163" i="2"/>
  <c r="CF56" i="2"/>
  <c r="CF57" i="2"/>
  <c r="CF64" i="2"/>
  <c r="CF58" i="2"/>
  <c r="CF59" i="2"/>
  <c r="CF60" i="2"/>
  <c r="CF61" i="2"/>
  <c r="CF62" i="2"/>
  <c r="CF63" i="2"/>
  <c r="CF225" i="2"/>
  <c r="CF16" i="2"/>
  <c r="CF7" i="2"/>
  <c r="CF501" i="2"/>
  <c r="CF502" i="2"/>
  <c r="CF27" i="2"/>
  <c r="CF28" i="2"/>
  <c r="CF29" i="2"/>
  <c r="CF31" i="2"/>
  <c r="CF32" i="2"/>
  <c r="CF30" i="2"/>
  <c r="CF34" i="2"/>
  <c r="CF33" i="2"/>
  <c r="CF504" i="2"/>
  <c r="CF426" i="2"/>
  <c r="CF429" i="2"/>
  <c r="CF423" i="2"/>
  <c r="CF427" i="2"/>
  <c r="CF422" i="2"/>
  <c r="CF428" i="2"/>
  <c r="CF435" i="2"/>
  <c r="CF409" i="2"/>
  <c r="CF383" i="2"/>
  <c r="CF434" i="2"/>
  <c r="CF386" i="2"/>
  <c r="CF387" i="2"/>
  <c r="CF388" i="2"/>
  <c r="CF389" i="2"/>
  <c r="CF399" i="2"/>
  <c r="CF382" i="2"/>
  <c r="CF459" i="2"/>
  <c r="CF371" i="2"/>
  <c r="CF454" i="2"/>
  <c r="CF372" i="2"/>
  <c r="CF373" i="2"/>
  <c r="CF374" i="2"/>
  <c r="CF375" i="2"/>
  <c r="CF377" i="2"/>
  <c r="CF378" i="2"/>
  <c r="CF379" i="2"/>
  <c r="CF380" i="2"/>
  <c r="CF381" i="2"/>
  <c r="CF393" i="2"/>
  <c r="CF394" i="2"/>
  <c r="CF395" i="2"/>
  <c r="CF396" i="2"/>
  <c r="CF397" i="2"/>
  <c r="CF398" i="2"/>
  <c r="CF411" i="2"/>
  <c r="CF412" i="2"/>
  <c r="CF413" i="2"/>
  <c r="CF414" i="2"/>
  <c r="CF390" i="2"/>
  <c r="CF436" i="2"/>
  <c r="CF391" i="2"/>
  <c r="CF407" i="2"/>
  <c r="CF439" i="2"/>
  <c r="CF408" i="2"/>
  <c r="CF376" i="2"/>
  <c r="CF438" i="2"/>
  <c r="CF385" i="2"/>
  <c r="CF447" i="2"/>
  <c r="CF448" i="2"/>
  <c r="CF449" i="2"/>
  <c r="CF450" i="2"/>
  <c r="CF451" i="2"/>
  <c r="CF392" i="2"/>
  <c r="CF437" i="2"/>
  <c r="CF442" i="2"/>
  <c r="CF443" i="2"/>
  <c r="CF444" i="2"/>
  <c r="CF445" i="2"/>
  <c r="CF446" i="2"/>
  <c r="CF384" i="2"/>
  <c r="CF410" i="2"/>
  <c r="CF415" i="2"/>
  <c r="CF416" i="2"/>
  <c r="CF417" i="2"/>
  <c r="CF460" i="2"/>
  <c r="CF433" i="2"/>
  <c r="CF418" i="2"/>
  <c r="CF419" i="2"/>
  <c r="CF420" i="2"/>
  <c r="CF421" i="2"/>
  <c r="CF470" i="2"/>
  <c r="CF461" i="2"/>
  <c r="CF464" i="2"/>
  <c r="CF425" i="2"/>
  <c r="CF462" i="2"/>
  <c r="CF440" i="2"/>
  <c r="CF441" i="2"/>
  <c r="CF463" i="2"/>
  <c r="BZ490" i="2"/>
  <c r="BZ491" i="2"/>
  <c r="BZ492" i="2"/>
  <c r="BZ65" i="2"/>
  <c r="BZ122" i="2"/>
  <c r="BZ123" i="2"/>
  <c r="BZ121" i="2"/>
  <c r="BZ124" i="2"/>
  <c r="BZ125" i="2"/>
  <c r="BZ126" i="2"/>
  <c r="BZ127" i="2"/>
  <c r="BZ128" i="2"/>
  <c r="BZ129" i="2"/>
  <c r="BZ130" i="2"/>
  <c r="BZ131" i="2"/>
  <c r="BZ132" i="2"/>
  <c r="BZ133" i="2"/>
  <c r="BZ134" i="2"/>
  <c r="BZ135" i="2"/>
  <c r="BZ136" i="2"/>
  <c r="BZ137" i="2"/>
  <c r="BZ138" i="2"/>
  <c r="BZ139" i="2"/>
  <c r="BZ140" i="2"/>
  <c r="BZ141" i="2"/>
  <c r="BZ142" i="2"/>
  <c r="BZ143" i="2"/>
  <c r="BZ144" i="2"/>
  <c r="BZ145" i="2"/>
  <c r="BZ146" i="2"/>
  <c r="BZ493" i="2"/>
  <c r="BZ4" i="2"/>
  <c r="BZ5" i="2"/>
  <c r="BZ6" i="2"/>
  <c r="BZ37" i="2"/>
  <c r="BZ483" i="2"/>
  <c r="BZ27" i="2"/>
  <c r="BZ28" i="2"/>
  <c r="BZ29" i="2"/>
  <c r="BZ31" i="2"/>
  <c r="BZ32" i="2"/>
  <c r="BZ30" i="2"/>
  <c r="BZ34" i="2"/>
  <c r="BZ33" i="2"/>
  <c r="BZ429" i="2"/>
  <c r="BZ423" i="2"/>
  <c r="BZ383" i="2"/>
  <c r="BZ391" i="2"/>
  <c r="BZ384" i="2"/>
  <c r="BZ418" i="2"/>
  <c r="BZ419" i="2"/>
  <c r="BZ420" i="2"/>
  <c r="BZ421" i="2"/>
  <c r="BZ463" i="2"/>
  <c r="E27" i="15" a="1"/>
  <c r="E27" i="15" s="1"/>
  <c r="CG425" i="2"/>
  <c r="CB425" i="2"/>
  <c r="BW425" i="2" a="1"/>
  <c r="BW425" i="2" s="1"/>
  <c r="BV425" i="2" a="1"/>
  <c r="BV425" i="2" s="1"/>
  <c r="BU425" i="2" a="1"/>
  <c r="BU425" i="2" s="1"/>
  <c r="BX425" i="2" s="1"/>
  <c r="CG441" i="2"/>
  <c r="CB441" i="2"/>
  <c r="BW441" i="2" a="1"/>
  <c r="BW441" i="2" s="1"/>
  <c r="BV441" i="2" a="1"/>
  <c r="BV441" i="2" s="1"/>
  <c r="BU441" i="2" a="1"/>
  <c r="BU441" i="2" s="1"/>
  <c r="BX441" i="2" s="1"/>
  <c r="CG464" i="2"/>
  <c r="CB464" i="2"/>
  <c r="BW464" i="2" a="1"/>
  <c r="BW464" i="2" s="1"/>
  <c r="BV464" i="2" a="1"/>
  <c r="BV464" i="2" s="1"/>
  <c r="BU464" i="2" a="1"/>
  <c r="BU464" i="2" s="1"/>
  <c r="BX464" i="2" s="1"/>
  <c r="CG440" i="2"/>
  <c r="CB440" i="2"/>
  <c r="BW440" i="2" a="1"/>
  <c r="BW440" i="2" s="1"/>
  <c r="BV440" i="2" a="1"/>
  <c r="BV440" i="2" s="1"/>
  <c r="BU440" i="2" a="1"/>
  <c r="BU440" i="2" s="1"/>
  <c r="BX440" i="2" s="1"/>
  <c r="CG462" i="2"/>
  <c r="CB462" i="2"/>
  <c r="BW462" i="2" a="1"/>
  <c r="BW462" i="2" s="1"/>
  <c r="BV462" i="2" a="1"/>
  <c r="BV462" i="2" s="1"/>
  <c r="BU462" i="2" a="1"/>
  <c r="BU462" i="2" s="1"/>
  <c r="BX462" i="2" s="1"/>
  <c r="CG461" i="2"/>
  <c r="CB461" i="2"/>
  <c r="BW461" i="2" a="1"/>
  <c r="BW461" i="2" s="1"/>
  <c r="BV461" i="2" a="1"/>
  <c r="BV461" i="2" s="1"/>
  <c r="BU461" i="2" a="1"/>
  <c r="BU461" i="2" s="1"/>
  <c r="BX461" i="2" s="1"/>
  <c r="BU463" i="2" a="1"/>
  <c r="BU463" i="2" s="1"/>
  <c r="BX463" i="2" s="1"/>
  <c r="BY463" i="2" s="1"/>
  <c r="BV463" i="2" a="1"/>
  <c r="BV463" i="2" s="1"/>
  <c r="BW463" i="2" a="1"/>
  <c r="BW463" i="2" s="1"/>
  <c r="CG463" i="2"/>
  <c r="CG416" i="2"/>
  <c r="CB416" i="2"/>
  <c r="BW416" i="2" a="1"/>
  <c r="BW416" i="2" s="1"/>
  <c r="BV416" i="2" a="1"/>
  <c r="BV416" i="2" s="1"/>
  <c r="BU416" i="2" a="1"/>
  <c r="BU416" i="2" s="1"/>
  <c r="BX416" i="2" s="1"/>
  <c r="CG489" i="2"/>
  <c r="CB489" i="2"/>
  <c r="BW489" i="2" a="1"/>
  <c r="BW489" i="2" s="1"/>
  <c r="BV489" i="2" a="1"/>
  <c r="BV489" i="2" s="1"/>
  <c r="BU489" i="2" a="1"/>
  <c r="BU489" i="2" s="1"/>
  <c r="BX489" i="2" s="1"/>
  <c r="CG487" i="2"/>
  <c r="CB487" i="2"/>
  <c r="BW487" i="2" a="1"/>
  <c r="BW487" i="2" s="1"/>
  <c r="BV487" i="2" a="1"/>
  <c r="BV487" i="2" s="1"/>
  <c r="BU487" i="2" a="1"/>
  <c r="BU487" i="2" s="1"/>
  <c r="BX487" i="2" s="1"/>
  <c r="J78" i="14"/>
  <c r="D435" i="14"/>
  <c r="D434" i="14"/>
  <c r="D433" i="14"/>
  <c r="D432" i="14"/>
  <c r="D431" i="14"/>
  <c r="D430" i="14"/>
  <c r="D429" i="14"/>
  <c r="D428" i="14"/>
  <c r="D427" i="14"/>
  <c r="D426" i="14"/>
  <c r="CG423" i="2"/>
  <c r="CB423" i="2"/>
  <c r="BW423" i="2" a="1"/>
  <c r="BW423" i="2" s="1"/>
  <c r="BV423" i="2" a="1"/>
  <c r="BV423" i="2" s="1"/>
  <c r="BU423" i="2" a="1"/>
  <c r="BU423" i="2" s="1"/>
  <c r="BX423" i="2" s="1"/>
  <c r="BY423" i="2" s="1"/>
  <c r="CG399" i="2"/>
  <c r="BW399" i="2" a="1"/>
  <c r="BW399" i="2" s="1"/>
  <c r="BV399" i="2" a="1"/>
  <c r="BV399" i="2" s="1"/>
  <c r="BU399" i="2" a="1"/>
  <c r="BU399" i="2" s="1"/>
  <c r="BX399" i="2" s="1"/>
  <c r="CG451" i="2"/>
  <c r="BW451" i="2" a="1"/>
  <c r="BW451" i="2" s="1"/>
  <c r="BV451" i="2" a="1"/>
  <c r="BV451" i="2" s="1"/>
  <c r="BU451" i="2" a="1"/>
  <c r="BU451" i="2" s="1"/>
  <c r="BX451" i="2" s="1"/>
  <c r="CG450" i="2"/>
  <c r="BW450" i="2" a="1"/>
  <c r="BW450" i="2" s="1"/>
  <c r="BV450" i="2" a="1"/>
  <c r="BV450" i="2" s="1"/>
  <c r="BU450" i="2" a="1"/>
  <c r="BU450" i="2" s="1"/>
  <c r="BX450" i="2" s="1"/>
  <c r="CG449" i="2"/>
  <c r="BW449" i="2" a="1"/>
  <c r="BW449" i="2" s="1"/>
  <c r="BV449" i="2" a="1"/>
  <c r="BV449" i="2" s="1"/>
  <c r="BU449" i="2" a="1"/>
  <c r="BU449" i="2" s="1"/>
  <c r="BX449" i="2" s="1"/>
  <c r="CG396" i="2"/>
  <c r="BW396" i="2" a="1"/>
  <c r="BW396" i="2" s="1"/>
  <c r="BV396" i="2" a="1"/>
  <c r="BV396" i="2" s="1"/>
  <c r="BU396" i="2" a="1"/>
  <c r="BU396" i="2" s="1"/>
  <c r="BX396" i="2" s="1"/>
  <c r="CG395" i="2"/>
  <c r="BW395" i="2" a="1"/>
  <c r="BW395" i="2" s="1"/>
  <c r="BV395" i="2" a="1"/>
  <c r="BV395" i="2" s="1"/>
  <c r="BU395" i="2" a="1"/>
  <c r="BU395" i="2" s="1"/>
  <c r="BX395" i="2" s="1"/>
  <c r="CG394" i="2"/>
  <c r="BW394" i="2" a="1"/>
  <c r="BW394" i="2" s="1"/>
  <c r="BV394" i="2" a="1"/>
  <c r="BV394" i="2" s="1"/>
  <c r="BU394" i="2" a="1"/>
  <c r="BU394" i="2" s="1"/>
  <c r="BX394" i="2" s="1"/>
  <c r="CG375" i="2"/>
  <c r="BW375" i="2" a="1"/>
  <c r="BW375" i="2" s="1"/>
  <c r="BV375" i="2" a="1"/>
  <c r="BV375" i="2" s="1"/>
  <c r="BU375" i="2" a="1"/>
  <c r="BU375" i="2" s="1"/>
  <c r="BX375" i="2" s="1"/>
  <c r="CG374" i="2"/>
  <c r="BW374" i="2" a="1"/>
  <c r="BW374" i="2" s="1"/>
  <c r="BV374" i="2" a="1"/>
  <c r="BV374" i="2" s="1"/>
  <c r="BU374" i="2" a="1"/>
  <c r="BU374" i="2" s="1"/>
  <c r="BX374" i="2" s="1"/>
  <c r="CG373" i="2"/>
  <c r="BW373" i="2" a="1"/>
  <c r="BW373" i="2" s="1"/>
  <c r="BV373" i="2" a="1"/>
  <c r="BV373" i="2" s="1"/>
  <c r="BU373" i="2" a="1"/>
  <c r="BU373" i="2" s="1"/>
  <c r="BX373" i="2" s="1"/>
  <c r="BW470" i="2" a="1"/>
  <c r="BW470" i="2" s="1"/>
  <c r="BW420" i="2" a="1"/>
  <c r="BW420" i="2" s="1"/>
  <c r="BV470" i="2" a="1"/>
  <c r="BV470" i="2" s="1"/>
  <c r="CG470" i="2"/>
  <c r="CB470" i="2"/>
  <c r="BU470" i="2" a="1"/>
  <c r="BU470" i="2" s="1"/>
  <c r="BX470" i="2" s="1"/>
  <c r="CG194" i="2"/>
  <c r="CB194" i="2"/>
  <c r="BW194" i="2" a="1"/>
  <c r="BW194" i="2" s="1"/>
  <c r="BV194" i="2" a="1"/>
  <c r="BV194" i="2" s="1"/>
  <c r="BU194" i="2" a="1"/>
  <c r="BU194" i="2" s="1"/>
  <c r="BX194" i="2" s="1"/>
  <c r="CG380" i="2"/>
  <c r="CB380" i="2"/>
  <c r="BW380" i="2" a="1"/>
  <c r="BW380" i="2" s="1"/>
  <c r="BV380" i="2" a="1"/>
  <c r="BV380" i="2" s="1"/>
  <c r="BU380" i="2" a="1"/>
  <c r="BU380" i="2" s="1"/>
  <c r="BX380" i="2" s="1"/>
  <c r="CG379" i="2"/>
  <c r="CB379" i="2"/>
  <c r="BW379" i="2" a="1"/>
  <c r="BW379" i="2" s="1"/>
  <c r="BV379" i="2" a="1"/>
  <c r="BV379" i="2" s="1"/>
  <c r="BU379" i="2" a="1"/>
  <c r="BU379" i="2" s="1"/>
  <c r="BX379" i="2" s="1"/>
  <c r="CG378" i="2"/>
  <c r="CB378" i="2"/>
  <c r="BW378" i="2" a="1"/>
  <c r="BW378" i="2" s="1"/>
  <c r="BV378" i="2" a="1"/>
  <c r="BV378" i="2" s="1"/>
  <c r="BU378" i="2" a="1"/>
  <c r="BU378" i="2" s="1"/>
  <c r="BX378" i="2" s="1"/>
  <c r="CG377" i="2"/>
  <c r="CB377" i="2"/>
  <c r="BW377" i="2" a="1"/>
  <c r="BW377" i="2" s="1"/>
  <c r="BV377" i="2" a="1"/>
  <c r="BV377" i="2" s="1"/>
  <c r="BU377" i="2" a="1"/>
  <c r="BU377" i="2" s="1"/>
  <c r="BX377" i="2" s="1"/>
  <c r="CG413" i="2"/>
  <c r="CB413" i="2"/>
  <c r="BW413" i="2" a="1"/>
  <c r="BW413" i="2" s="1"/>
  <c r="BV413" i="2" a="1"/>
  <c r="BV413" i="2" s="1"/>
  <c r="BU413" i="2" a="1"/>
  <c r="BU413" i="2" s="1"/>
  <c r="BX413" i="2" s="1"/>
  <c r="CG412" i="2"/>
  <c r="CB412" i="2"/>
  <c r="BW412" i="2" a="1"/>
  <c r="BW412" i="2" s="1"/>
  <c r="BV412" i="2" a="1"/>
  <c r="BV412" i="2" s="1"/>
  <c r="BU412" i="2" a="1"/>
  <c r="BU412" i="2" s="1"/>
  <c r="BX412" i="2" s="1"/>
  <c r="CG411" i="2"/>
  <c r="CB411" i="2"/>
  <c r="BW411" i="2" a="1"/>
  <c r="BW411" i="2" s="1"/>
  <c r="BV411" i="2" a="1"/>
  <c r="BV411" i="2" s="1"/>
  <c r="BU411" i="2" a="1"/>
  <c r="BU411" i="2" s="1"/>
  <c r="BX411" i="2" s="1"/>
  <c r="CG442" i="2"/>
  <c r="CB442" i="2"/>
  <c r="BW442" i="2" a="1"/>
  <c r="BW442" i="2" s="1"/>
  <c r="BV442" i="2" a="1"/>
  <c r="BV442" i="2" s="1"/>
  <c r="BU442" i="2" a="1"/>
  <c r="BU442" i="2" s="1"/>
  <c r="BX442" i="2" s="1"/>
  <c r="CG445" i="2"/>
  <c r="CB445" i="2"/>
  <c r="BW445" i="2" a="1"/>
  <c r="BW445" i="2" s="1"/>
  <c r="BV445" i="2" a="1"/>
  <c r="BV445" i="2" s="1"/>
  <c r="BU445" i="2" a="1"/>
  <c r="BU445" i="2" s="1"/>
  <c r="BX445" i="2" s="1"/>
  <c r="CG444" i="2"/>
  <c r="CB444" i="2"/>
  <c r="BW444" i="2" a="1"/>
  <c r="BW444" i="2" s="1"/>
  <c r="BV444" i="2" a="1"/>
  <c r="BV444" i="2" s="1"/>
  <c r="BU444" i="2" a="1"/>
  <c r="BU444" i="2" s="1"/>
  <c r="BX444" i="2" s="1"/>
  <c r="CG443" i="2"/>
  <c r="CB443" i="2"/>
  <c r="BW443" i="2" a="1"/>
  <c r="BW443" i="2" s="1"/>
  <c r="BV443" i="2" a="1"/>
  <c r="BV443" i="2" s="1"/>
  <c r="BU443" i="2" a="1"/>
  <c r="BU443" i="2" s="1"/>
  <c r="BX443" i="2" s="1"/>
  <c r="CG388" i="2"/>
  <c r="CB388" i="2"/>
  <c r="BW388" i="2" a="1"/>
  <c r="BW388" i="2" s="1"/>
  <c r="BV388" i="2" a="1"/>
  <c r="BV388" i="2" s="1"/>
  <c r="BU388" i="2" a="1"/>
  <c r="BU388" i="2" s="1"/>
  <c r="BX388" i="2" s="1"/>
  <c r="CG387" i="2"/>
  <c r="CB387" i="2"/>
  <c r="BW387" i="2" a="1"/>
  <c r="BW387" i="2" s="1"/>
  <c r="BV387" i="2" a="1"/>
  <c r="BV387" i="2" s="1"/>
  <c r="BU387" i="2" a="1"/>
  <c r="BU387" i="2" s="1"/>
  <c r="BX387" i="2" s="1"/>
  <c r="CG386" i="2"/>
  <c r="CB386" i="2"/>
  <c r="BW386" i="2" a="1"/>
  <c r="BW386" i="2" s="1"/>
  <c r="BV386" i="2" a="1"/>
  <c r="BV386" i="2" s="1"/>
  <c r="BU386" i="2" a="1"/>
  <c r="BU386" i="2" s="1"/>
  <c r="BX386" i="2" s="1"/>
  <c r="CB36" i="2"/>
  <c r="CG36" i="2"/>
  <c r="CB38" i="2"/>
  <c r="CG38" i="2"/>
  <c r="CB39" i="2"/>
  <c r="CG39" i="2"/>
  <c r="CB40" i="2"/>
  <c r="CG40" i="2"/>
  <c r="CB41" i="2"/>
  <c r="CG41" i="2"/>
  <c r="CB42" i="2"/>
  <c r="CG42" i="2"/>
  <c r="CB43" i="2"/>
  <c r="CG43" i="2"/>
  <c r="CG44" i="2"/>
  <c r="CB45" i="2"/>
  <c r="CG45" i="2"/>
  <c r="CB46" i="2"/>
  <c r="CG46" i="2"/>
  <c r="CB47" i="2"/>
  <c r="CG47" i="2"/>
  <c r="CB48" i="2"/>
  <c r="CG48" i="2"/>
  <c r="CB49" i="2"/>
  <c r="CG49" i="2"/>
  <c r="CB50" i="2"/>
  <c r="CG50" i="2"/>
  <c r="CB51" i="2"/>
  <c r="CG51" i="2"/>
  <c r="CB52" i="2"/>
  <c r="CG52" i="2"/>
  <c r="CB53" i="2"/>
  <c r="CG53" i="2"/>
  <c r="CB54" i="2"/>
  <c r="CG54" i="2"/>
  <c r="CB55" i="2"/>
  <c r="CG55" i="2"/>
  <c r="CB283" i="2"/>
  <c r="CG283" i="2"/>
  <c r="CB284" i="2"/>
  <c r="CG284" i="2"/>
  <c r="CB285" i="2"/>
  <c r="CG285" i="2"/>
  <c r="CB286" i="2"/>
  <c r="CG286" i="2"/>
  <c r="CB287" i="2"/>
  <c r="CG287" i="2"/>
  <c r="CB288" i="2"/>
  <c r="CG288" i="2"/>
  <c r="CB289" i="2"/>
  <c r="CG289" i="2"/>
  <c r="CB290" i="2"/>
  <c r="CG290" i="2"/>
  <c r="CB291" i="2"/>
  <c r="CG291" i="2"/>
  <c r="CB292" i="2"/>
  <c r="CG292" i="2"/>
  <c r="CB293" i="2"/>
  <c r="CG293" i="2"/>
  <c r="CB294" i="2"/>
  <c r="CG294" i="2"/>
  <c r="CB295" i="2"/>
  <c r="CG295" i="2"/>
  <c r="CB296" i="2"/>
  <c r="CG296" i="2"/>
  <c r="CB297" i="2"/>
  <c r="CG297" i="2"/>
  <c r="CB298" i="2"/>
  <c r="CG298" i="2"/>
  <c r="CB299" i="2"/>
  <c r="CG299" i="2"/>
  <c r="CB301" i="2"/>
  <c r="CG301" i="2"/>
  <c r="CB484" i="2"/>
  <c r="CG484" i="2"/>
  <c r="CB485" i="2"/>
  <c r="CG485" i="2"/>
  <c r="CB486" i="2"/>
  <c r="CG486" i="2"/>
  <c r="CB304" i="2"/>
  <c r="CG304" i="2"/>
  <c r="CB305" i="2"/>
  <c r="CG305" i="2"/>
  <c r="CB302" i="2"/>
  <c r="CG302" i="2"/>
  <c r="CB303" i="2"/>
  <c r="CG303" i="2"/>
  <c r="CB306" i="2"/>
  <c r="CG306" i="2"/>
  <c r="CB300" i="2"/>
  <c r="CG300" i="2"/>
  <c r="CB488" i="2"/>
  <c r="CG488" i="2"/>
  <c r="CB275" i="2"/>
  <c r="CG275" i="2"/>
  <c r="CB276" i="2"/>
  <c r="CG276" i="2"/>
  <c r="CB277" i="2"/>
  <c r="CG277" i="2"/>
  <c r="CB278" i="2"/>
  <c r="CG278" i="2"/>
  <c r="CB279" i="2"/>
  <c r="CG279" i="2"/>
  <c r="CB280" i="2"/>
  <c r="CG280" i="2"/>
  <c r="CB281" i="2"/>
  <c r="CG281" i="2"/>
  <c r="CB282" i="2"/>
  <c r="CG282" i="2"/>
  <c r="CG66" i="2"/>
  <c r="CG67" i="2"/>
  <c r="CG68" i="2"/>
  <c r="CG69" i="2"/>
  <c r="CG70" i="2"/>
  <c r="CG71" i="2"/>
  <c r="CG72" i="2"/>
  <c r="CG73" i="2"/>
  <c r="CG74" i="2"/>
  <c r="CG75" i="2"/>
  <c r="CG76" i="2"/>
  <c r="CG77" i="2"/>
  <c r="CG89" i="2"/>
  <c r="CG90" i="2"/>
  <c r="CG91" i="2"/>
  <c r="CG92" i="2"/>
  <c r="CG93" i="2"/>
  <c r="CG94" i="2"/>
  <c r="CG95" i="2"/>
  <c r="CG96" i="2"/>
  <c r="CG78" i="2"/>
  <c r="CG79" i="2"/>
  <c r="CG80" i="2"/>
  <c r="CG81" i="2"/>
  <c r="CG85" i="2"/>
  <c r="CG86" i="2"/>
  <c r="CG87" i="2"/>
  <c r="CG88" i="2"/>
  <c r="CG97" i="2"/>
  <c r="CG98" i="2"/>
  <c r="CG99" i="2"/>
  <c r="CG100" i="2"/>
  <c r="CG82" i="2"/>
  <c r="CG117" i="2"/>
  <c r="CG118" i="2"/>
  <c r="CG119" i="2"/>
  <c r="CG120" i="2"/>
  <c r="CG113" i="2"/>
  <c r="CG114" i="2"/>
  <c r="CG115" i="2"/>
  <c r="CG116" i="2"/>
  <c r="CG83" i="2"/>
  <c r="CG84" i="2"/>
  <c r="CG101" i="2"/>
  <c r="CG102" i="2"/>
  <c r="CG103" i="2"/>
  <c r="CG104" i="2"/>
  <c r="CG105" i="2"/>
  <c r="CG106" i="2"/>
  <c r="CG107" i="2"/>
  <c r="CG108" i="2"/>
  <c r="CG109" i="2"/>
  <c r="CG110" i="2"/>
  <c r="CG111" i="2"/>
  <c r="CG112" i="2"/>
  <c r="CB327" i="2"/>
  <c r="CG327" i="2"/>
  <c r="CB328" i="2"/>
  <c r="CG328" i="2"/>
  <c r="CB329" i="2"/>
  <c r="CG329" i="2"/>
  <c r="CB340" i="2"/>
  <c r="CG340" i="2"/>
  <c r="CB341" i="2"/>
  <c r="CG341" i="2"/>
  <c r="CB342" i="2"/>
  <c r="CG342" i="2"/>
  <c r="CB359" i="2"/>
  <c r="CG359" i="2"/>
  <c r="CB360" i="2"/>
  <c r="CG360" i="2"/>
  <c r="CB361" i="2"/>
  <c r="CG361" i="2"/>
  <c r="CB313" i="2"/>
  <c r="CG313" i="2"/>
  <c r="CB314" i="2"/>
  <c r="CG314" i="2"/>
  <c r="CB315" i="2"/>
  <c r="CG315" i="2"/>
  <c r="CB346" i="2"/>
  <c r="CG346" i="2"/>
  <c r="CB347" i="2"/>
  <c r="CG347" i="2"/>
  <c r="CB348" i="2"/>
  <c r="CG348" i="2"/>
  <c r="CB323" i="2"/>
  <c r="CG323" i="2"/>
  <c r="CB324" i="2"/>
  <c r="CG324" i="2"/>
  <c r="CB325" i="2"/>
  <c r="CG325" i="2"/>
  <c r="CB326" i="2"/>
  <c r="CG326" i="2"/>
  <c r="CB334" i="2"/>
  <c r="CG334" i="2"/>
  <c r="CB335" i="2"/>
  <c r="CG335" i="2"/>
  <c r="CB336" i="2"/>
  <c r="CG336" i="2"/>
  <c r="CB319" i="2"/>
  <c r="CG319" i="2"/>
  <c r="CB320" i="2"/>
  <c r="CG320" i="2"/>
  <c r="CB321" i="2"/>
  <c r="CG321" i="2"/>
  <c r="CB322" i="2"/>
  <c r="CG322" i="2"/>
  <c r="CB330" i="2"/>
  <c r="CG330" i="2"/>
  <c r="CB331" i="2"/>
  <c r="CG331" i="2"/>
  <c r="CB332" i="2"/>
  <c r="CG332" i="2"/>
  <c r="CB333" i="2"/>
  <c r="CG333" i="2"/>
  <c r="CB349" i="2"/>
  <c r="CG349" i="2"/>
  <c r="CB350" i="2"/>
  <c r="CG350" i="2"/>
  <c r="CB351" i="2"/>
  <c r="CG351" i="2"/>
  <c r="CB352" i="2"/>
  <c r="CG352" i="2"/>
  <c r="CB353" i="2"/>
  <c r="CG353" i="2"/>
  <c r="CB354" i="2"/>
  <c r="CG354" i="2"/>
  <c r="CB355" i="2"/>
  <c r="CG355" i="2"/>
  <c r="CB370" i="2"/>
  <c r="CG370" i="2"/>
  <c r="CB307" i="2"/>
  <c r="CG307" i="2"/>
  <c r="CB308" i="2"/>
  <c r="CG308" i="2"/>
  <c r="CB309" i="2"/>
  <c r="CG309" i="2"/>
  <c r="CB337" i="2"/>
  <c r="CG337" i="2"/>
  <c r="CB338" i="2"/>
  <c r="CG338" i="2"/>
  <c r="CB339" i="2"/>
  <c r="CG339" i="2"/>
  <c r="CB356" i="2"/>
  <c r="CG356" i="2"/>
  <c r="CB357" i="2"/>
  <c r="CG357" i="2"/>
  <c r="CB358" i="2"/>
  <c r="CG358" i="2"/>
  <c r="CB310" i="2"/>
  <c r="CG310" i="2"/>
  <c r="CB311" i="2"/>
  <c r="CG311" i="2"/>
  <c r="CB312" i="2"/>
  <c r="CG312" i="2"/>
  <c r="CB343" i="2"/>
  <c r="CG343" i="2"/>
  <c r="CB344" i="2"/>
  <c r="CG344" i="2"/>
  <c r="CB345" i="2"/>
  <c r="CG345" i="2"/>
  <c r="CB316" i="2"/>
  <c r="CG316" i="2"/>
  <c r="CB317" i="2"/>
  <c r="CG317" i="2"/>
  <c r="CB318" i="2"/>
  <c r="CG318" i="2"/>
  <c r="CB362" i="2"/>
  <c r="CG362" i="2"/>
  <c r="CB363" i="2"/>
  <c r="CG363" i="2"/>
  <c r="CB364" i="2"/>
  <c r="CG364" i="2"/>
  <c r="CB365" i="2"/>
  <c r="CG365" i="2"/>
  <c r="CB366" i="2"/>
  <c r="CG366" i="2"/>
  <c r="CB367" i="2"/>
  <c r="CG367" i="2"/>
  <c r="CB368" i="2"/>
  <c r="CG368" i="2"/>
  <c r="CB369" i="2"/>
  <c r="CG369" i="2"/>
  <c r="CB231" i="2"/>
  <c r="CG231" i="2"/>
  <c r="CB232" i="2"/>
  <c r="CG232" i="2"/>
  <c r="CB233" i="2"/>
  <c r="CG233" i="2"/>
  <c r="CB226" i="2"/>
  <c r="CG226" i="2"/>
  <c r="CB227" i="2"/>
  <c r="CG227" i="2"/>
  <c r="CB228" i="2"/>
  <c r="CG228" i="2"/>
  <c r="CB229" i="2"/>
  <c r="CG229" i="2"/>
  <c r="CB230" i="2"/>
  <c r="CG230" i="2"/>
  <c r="CB235" i="2"/>
  <c r="CG235" i="2"/>
  <c r="CB236" i="2"/>
  <c r="CG236" i="2"/>
  <c r="CB237" i="2"/>
  <c r="CG237" i="2"/>
  <c r="CB17" i="2"/>
  <c r="CG17" i="2"/>
  <c r="CB18" i="2"/>
  <c r="CG18" i="2"/>
  <c r="CB19" i="2"/>
  <c r="CG19" i="2"/>
  <c r="CB20" i="2"/>
  <c r="CG20" i="2"/>
  <c r="CB21" i="2"/>
  <c r="CG21" i="2"/>
  <c r="CB22" i="2"/>
  <c r="CG22" i="2"/>
  <c r="CB11" i="2"/>
  <c r="CG11" i="2"/>
  <c r="CB12" i="2"/>
  <c r="CG12" i="2"/>
  <c r="CB13" i="2"/>
  <c r="CG13" i="2"/>
  <c r="CB14" i="2"/>
  <c r="CG14" i="2"/>
  <c r="CB15" i="2"/>
  <c r="CG15" i="2"/>
  <c r="CB23" i="2"/>
  <c r="CG23" i="2"/>
  <c r="CB24" i="2"/>
  <c r="CG24" i="2"/>
  <c r="CB25" i="2"/>
  <c r="CG25" i="2"/>
  <c r="CB26" i="2"/>
  <c r="CG26" i="2"/>
  <c r="CB8" i="2"/>
  <c r="CG8" i="2"/>
  <c r="CB10" i="2"/>
  <c r="CG10" i="2"/>
  <c r="CB9" i="2"/>
  <c r="CG9" i="2"/>
  <c r="CB234" i="2"/>
  <c r="CG234" i="2"/>
  <c r="CB490" i="2"/>
  <c r="CG490" i="2"/>
  <c r="CB491" i="2"/>
  <c r="CG491" i="2"/>
  <c r="CB492" i="2"/>
  <c r="CG492" i="2"/>
  <c r="CB65" i="2"/>
  <c r="CG65" i="2"/>
  <c r="CB122" i="2"/>
  <c r="CG122" i="2"/>
  <c r="CB123" i="2"/>
  <c r="CG123" i="2"/>
  <c r="CB121" i="2"/>
  <c r="CG121" i="2"/>
  <c r="CB124" i="2"/>
  <c r="CG124" i="2"/>
  <c r="CB125" i="2"/>
  <c r="CG125" i="2"/>
  <c r="CB126" i="2"/>
  <c r="CG126" i="2"/>
  <c r="CB127" i="2"/>
  <c r="CG127" i="2"/>
  <c r="CB128" i="2"/>
  <c r="CG128" i="2"/>
  <c r="CB129" i="2"/>
  <c r="CG129" i="2"/>
  <c r="CB130" i="2"/>
  <c r="CG130" i="2"/>
  <c r="CB131" i="2"/>
  <c r="CG131" i="2"/>
  <c r="CB132" i="2"/>
  <c r="CG132" i="2"/>
  <c r="CB133" i="2"/>
  <c r="CG133" i="2"/>
  <c r="CB134" i="2"/>
  <c r="CG134" i="2"/>
  <c r="CB135" i="2"/>
  <c r="CG135" i="2"/>
  <c r="CB136" i="2"/>
  <c r="CG136" i="2"/>
  <c r="CB137" i="2"/>
  <c r="CG137" i="2"/>
  <c r="CB138" i="2"/>
  <c r="CG138" i="2"/>
  <c r="CB139" i="2"/>
  <c r="CG139" i="2"/>
  <c r="CB140" i="2"/>
  <c r="CG140" i="2"/>
  <c r="CB141" i="2"/>
  <c r="CG141" i="2"/>
  <c r="CB142" i="2"/>
  <c r="CG142" i="2"/>
  <c r="CB143" i="2"/>
  <c r="CG143" i="2"/>
  <c r="CB144" i="2"/>
  <c r="CG144" i="2"/>
  <c r="CB145" i="2"/>
  <c r="CG145" i="2"/>
  <c r="CB146" i="2"/>
  <c r="CG146" i="2"/>
  <c r="CB493" i="2"/>
  <c r="CG493" i="2"/>
  <c r="CB4" i="2"/>
  <c r="CG4" i="2"/>
  <c r="CB5" i="2"/>
  <c r="CG5" i="2"/>
  <c r="CB6" i="2"/>
  <c r="CG6" i="2"/>
  <c r="CB37" i="2"/>
  <c r="CG37" i="2"/>
  <c r="CB483" i="2"/>
  <c r="CG483" i="2"/>
  <c r="CB238" i="2"/>
  <c r="CG238" i="2"/>
  <c r="CB239" i="2"/>
  <c r="CG239" i="2"/>
  <c r="CB246" i="2"/>
  <c r="CG246" i="2"/>
  <c r="CB247" i="2"/>
  <c r="CG247" i="2"/>
  <c r="CB248" i="2"/>
  <c r="CG248" i="2"/>
  <c r="CB249" i="2"/>
  <c r="CG249" i="2"/>
  <c r="CB256" i="2"/>
  <c r="CG256" i="2"/>
  <c r="CB257" i="2"/>
  <c r="CG257" i="2"/>
  <c r="CB240" i="2"/>
  <c r="CG240" i="2"/>
  <c r="CB241" i="2"/>
  <c r="CG241" i="2"/>
  <c r="CB254" i="2"/>
  <c r="CG254" i="2"/>
  <c r="CB255" i="2"/>
  <c r="CG255" i="2"/>
  <c r="CB242" i="2"/>
  <c r="CG242" i="2"/>
  <c r="CB243" i="2"/>
  <c r="CG243" i="2"/>
  <c r="CB244" i="2"/>
  <c r="CG244" i="2"/>
  <c r="CB245" i="2"/>
  <c r="CG245" i="2"/>
  <c r="CB252" i="2"/>
  <c r="CG252" i="2"/>
  <c r="CB253" i="2"/>
  <c r="CG253" i="2"/>
  <c r="CB250" i="2"/>
  <c r="CG250" i="2"/>
  <c r="CB251" i="2"/>
  <c r="CG251" i="2"/>
  <c r="CB259" i="2"/>
  <c r="CG259" i="2"/>
  <c r="CB271" i="2"/>
  <c r="CG271" i="2"/>
  <c r="CB272" i="2"/>
  <c r="CG272" i="2"/>
  <c r="CB258" i="2"/>
  <c r="CG258" i="2"/>
  <c r="CB260" i="2"/>
  <c r="CG260" i="2"/>
  <c r="CB261" i="2"/>
  <c r="CG261" i="2"/>
  <c r="CB262" i="2"/>
  <c r="CG262" i="2"/>
  <c r="CB263" i="2"/>
  <c r="CG263" i="2"/>
  <c r="CB264" i="2"/>
  <c r="CG264" i="2"/>
  <c r="CB267" i="2"/>
  <c r="CG267" i="2"/>
  <c r="CB268" i="2"/>
  <c r="CG268" i="2"/>
  <c r="CB269" i="2"/>
  <c r="CG269" i="2"/>
  <c r="CB270" i="2"/>
  <c r="CG270" i="2"/>
  <c r="CB494" i="2"/>
  <c r="CG494" i="2"/>
  <c r="CB495" i="2"/>
  <c r="CG495" i="2"/>
  <c r="CB496" i="2"/>
  <c r="CG496" i="2"/>
  <c r="CB265" i="2"/>
  <c r="CG265" i="2"/>
  <c r="CB266" i="2"/>
  <c r="CG266" i="2"/>
  <c r="CB273" i="2"/>
  <c r="CG273" i="2"/>
  <c r="CB274" i="2"/>
  <c r="CG274" i="2"/>
  <c r="CB151" i="2"/>
  <c r="CG151" i="2"/>
  <c r="CB152" i="2"/>
  <c r="CG152" i="2"/>
  <c r="CB153" i="2"/>
  <c r="CG153" i="2"/>
  <c r="CB154" i="2"/>
  <c r="CG154" i="2"/>
  <c r="CB164" i="2"/>
  <c r="CG164" i="2"/>
  <c r="CB165" i="2"/>
  <c r="CG165" i="2"/>
  <c r="CB166" i="2"/>
  <c r="CG166" i="2"/>
  <c r="CB167" i="2"/>
  <c r="CG167" i="2"/>
  <c r="CB199" i="2"/>
  <c r="CG199" i="2"/>
  <c r="CB200" i="2"/>
  <c r="CG200" i="2"/>
  <c r="CB201" i="2"/>
  <c r="CG201" i="2"/>
  <c r="CB202" i="2"/>
  <c r="CG202" i="2"/>
  <c r="CB497" i="2"/>
  <c r="CG497" i="2"/>
  <c r="CB498" i="2"/>
  <c r="CG498" i="2"/>
  <c r="CB499" i="2"/>
  <c r="CG499" i="2"/>
  <c r="CB500" i="2"/>
  <c r="CG500" i="2"/>
  <c r="CB168" i="2"/>
  <c r="CG168" i="2"/>
  <c r="CB169" i="2"/>
  <c r="CG169" i="2"/>
  <c r="CB170" i="2"/>
  <c r="CG170" i="2"/>
  <c r="CB171" i="2"/>
  <c r="CG171" i="2"/>
  <c r="CB172" i="2"/>
  <c r="CG172" i="2"/>
  <c r="CB155" i="2"/>
  <c r="CG155" i="2"/>
  <c r="CB156" i="2"/>
  <c r="CG156" i="2"/>
  <c r="CB157" i="2"/>
  <c r="CG157" i="2"/>
  <c r="CB158" i="2"/>
  <c r="CG158" i="2"/>
  <c r="CB159" i="2"/>
  <c r="CG159" i="2"/>
  <c r="CB173" i="2"/>
  <c r="CG173" i="2"/>
  <c r="CB174" i="2"/>
  <c r="CG174" i="2"/>
  <c r="CB175" i="2"/>
  <c r="CG175" i="2"/>
  <c r="CB176" i="2"/>
  <c r="CG176" i="2"/>
  <c r="CB177" i="2"/>
  <c r="CG177" i="2"/>
  <c r="CB203" i="2"/>
  <c r="CG203" i="2"/>
  <c r="CB204" i="2"/>
  <c r="CG204" i="2"/>
  <c r="CB205" i="2"/>
  <c r="CG205" i="2"/>
  <c r="CB206" i="2"/>
  <c r="CG206" i="2"/>
  <c r="CB207" i="2"/>
  <c r="CG207" i="2"/>
  <c r="CB208" i="2"/>
  <c r="CG208" i="2"/>
  <c r="CB209" i="2"/>
  <c r="CG209" i="2"/>
  <c r="CB210" i="2"/>
  <c r="CG210" i="2"/>
  <c r="CB186" i="2"/>
  <c r="CG186" i="2"/>
  <c r="CB187" i="2"/>
  <c r="CG187" i="2"/>
  <c r="CB188" i="2"/>
  <c r="CG188" i="2"/>
  <c r="CB189" i="2"/>
  <c r="CG189" i="2"/>
  <c r="CB190" i="2"/>
  <c r="CG190" i="2"/>
  <c r="CB191" i="2"/>
  <c r="CG191" i="2"/>
  <c r="CB192" i="2"/>
  <c r="CG192" i="2"/>
  <c r="CB193" i="2"/>
  <c r="CG193" i="2"/>
  <c r="CB147" i="2"/>
  <c r="CG147" i="2"/>
  <c r="CB148" i="2"/>
  <c r="CG148" i="2"/>
  <c r="CB149" i="2"/>
  <c r="CG149" i="2"/>
  <c r="CB150" i="2"/>
  <c r="CG150" i="2"/>
  <c r="CB178" i="2"/>
  <c r="CG178" i="2"/>
  <c r="CB179" i="2"/>
  <c r="CG179" i="2"/>
  <c r="CB180" i="2"/>
  <c r="CG180" i="2"/>
  <c r="CB181" i="2"/>
  <c r="CG181" i="2"/>
  <c r="CB182" i="2"/>
  <c r="CG182" i="2"/>
  <c r="CB183" i="2"/>
  <c r="CG183" i="2"/>
  <c r="CB184" i="2"/>
  <c r="CG184" i="2"/>
  <c r="CB185" i="2"/>
  <c r="CG185" i="2"/>
  <c r="CB195" i="2"/>
  <c r="CG195" i="2"/>
  <c r="CB196" i="2"/>
  <c r="CG196" i="2"/>
  <c r="CB197" i="2"/>
  <c r="CG197" i="2"/>
  <c r="CB198" i="2"/>
  <c r="CG198" i="2"/>
  <c r="CB211" i="2"/>
  <c r="CG211" i="2"/>
  <c r="CB212" i="2"/>
  <c r="CG212" i="2"/>
  <c r="CB213" i="2"/>
  <c r="CG213" i="2"/>
  <c r="CB214" i="2"/>
  <c r="CG214" i="2"/>
  <c r="CB215" i="2"/>
  <c r="CG215" i="2"/>
  <c r="CB216" i="2"/>
  <c r="CG216" i="2"/>
  <c r="CB217" i="2"/>
  <c r="CG217" i="2"/>
  <c r="CB218" i="2"/>
  <c r="CG218" i="2"/>
  <c r="CB219" i="2"/>
  <c r="CG219" i="2"/>
  <c r="CB220" i="2"/>
  <c r="CG220" i="2"/>
  <c r="CB221" i="2"/>
  <c r="CG221" i="2"/>
  <c r="CB222" i="2"/>
  <c r="CG222" i="2"/>
  <c r="CB223" i="2"/>
  <c r="CG223" i="2"/>
  <c r="CB224" i="2"/>
  <c r="CG224" i="2"/>
  <c r="CB160" i="2"/>
  <c r="CG160" i="2"/>
  <c r="CB161" i="2"/>
  <c r="CG161" i="2"/>
  <c r="CB162" i="2"/>
  <c r="CG162" i="2"/>
  <c r="CB163" i="2"/>
  <c r="CG163" i="2"/>
  <c r="CB56" i="2"/>
  <c r="CG56" i="2"/>
  <c r="CB57" i="2"/>
  <c r="CG57" i="2"/>
  <c r="CB64" i="2"/>
  <c r="CG64" i="2"/>
  <c r="CB58" i="2"/>
  <c r="CG58" i="2"/>
  <c r="CB59" i="2"/>
  <c r="CG59" i="2"/>
  <c r="CB60" i="2"/>
  <c r="CG60" i="2"/>
  <c r="CB61" i="2"/>
  <c r="CG61" i="2"/>
  <c r="CB62" i="2"/>
  <c r="CG62" i="2"/>
  <c r="CB63" i="2"/>
  <c r="CG63" i="2"/>
  <c r="CB225" i="2"/>
  <c r="CG225" i="2"/>
  <c r="CB16" i="2"/>
  <c r="CG16" i="2"/>
  <c r="CB7" i="2"/>
  <c r="CG7" i="2"/>
  <c r="CB501" i="2"/>
  <c r="CG501" i="2"/>
  <c r="CB502" i="2"/>
  <c r="CG502" i="2"/>
  <c r="CB27" i="2"/>
  <c r="CG27" i="2"/>
  <c r="CB28" i="2"/>
  <c r="CG28" i="2"/>
  <c r="CB29" i="2"/>
  <c r="CG29" i="2"/>
  <c r="CB31" i="2"/>
  <c r="CG31" i="2"/>
  <c r="CB32" i="2"/>
  <c r="CG32" i="2"/>
  <c r="CB30" i="2"/>
  <c r="CG30" i="2"/>
  <c r="CB34" i="2"/>
  <c r="CG34" i="2"/>
  <c r="CB33" i="2"/>
  <c r="CG33" i="2"/>
  <c r="CB504" i="2"/>
  <c r="CG504" i="2"/>
  <c r="CB426" i="2"/>
  <c r="CG426" i="2"/>
  <c r="CB429" i="2"/>
  <c r="CG429" i="2"/>
  <c r="CB427" i="2"/>
  <c r="CG427" i="2"/>
  <c r="CB422" i="2"/>
  <c r="CG422" i="2"/>
  <c r="CB428" i="2"/>
  <c r="CG428" i="2"/>
  <c r="CB435" i="2"/>
  <c r="CG435" i="2"/>
  <c r="CB409" i="2"/>
  <c r="CG409" i="2"/>
  <c r="CB383" i="2"/>
  <c r="CG383" i="2"/>
  <c r="CB434" i="2"/>
  <c r="CG434" i="2"/>
  <c r="CB389" i="2"/>
  <c r="CG389" i="2"/>
  <c r="CB382" i="2"/>
  <c r="CG382" i="2"/>
  <c r="CB459" i="2"/>
  <c r="CG459" i="2"/>
  <c r="CB371" i="2"/>
  <c r="CG371" i="2"/>
  <c r="CB454" i="2"/>
  <c r="CG454" i="2"/>
  <c r="CG372" i="2"/>
  <c r="CB381" i="2"/>
  <c r="CG381" i="2"/>
  <c r="CG393" i="2"/>
  <c r="CB397" i="2"/>
  <c r="CG397" i="2"/>
  <c r="CB398" i="2"/>
  <c r="CG398" i="2"/>
  <c r="CB414" i="2"/>
  <c r="CG414" i="2"/>
  <c r="CB390" i="2"/>
  <c r="CG390" i="2"/>
  <c r="CB436" i="2"/>
  <c r="CG436" i="2"/>
  <c r="CB391" i="2"/>
  <c r="CG391" i="2"/>
  <c r="CB407" i="2"/>
  <c r="CG407" i="2"/>
  <c r="CB439" i="2"/>
  <c r="CG439" i="2"/>
  <c r="CB408" i="2"/>
  <c r="CG408" i="2"/>
  <c r="CB376" i="2"/>
  <c r="CG376" i="2"/>
  <c r="CB438" i="2"/>
  <c r="CG438" i="2"/>
  <c r="CB385" i="2"/>
  <c r="CG385" i="2"/>
  <c r="CB447" i="2"/>
  <c r="CG447" i="2"/>
  <c r="CG448" i="2"/>
  <c r="CB392" i="2"/>
  <c r="CG392" i="2"/>
  <c r="CB437" i="2"/>
  <c r="CG437" i="2"/>
  <c r="CB446" i="2"/>
  <c r="CG446" i="2"/>
  <c r="CB384" i="2"/>
  <c r="CG384" i="2"/>
  <c r="CB410" i="2"/>
  <c r="CG410" i="2"/>
  <c r="CB415" i="2"/>
  <c r="CG415" i="2"/>
  <c r="CB417" i="2"/>
  <c r="CG417" i="2"/>
  <c r="CB460" i="2"/>
  <c r="CG460" i="2"/>
  <c r="CB433" i="2"/>
  <c r="CG433" i="2"/>
  <c r="CB418" i="2"/>
  <c r="CG418" i="2"/>
  <c r="CB419" i="2"/>
  <c r="CG419" i="2"/>
  <c r="CB420" i="2"/>
  <c r="CG420" i="2"/>
  <c r="CB421" i="2"/>
  <c r="CG421" i="2"/>
  <c r="BU36" i="2" a="1"/>
  <c r="BU36" i="2" s="1"/>
  <c r="BX36" i="2" s="1"/>
  <c r="BU38" i="2" a="1"/>
  <c r="BU38" i="2" s="1"/>
  <c r="BX38" i="2" s="1"/>
  <c r="BU39" i="2" a="1"/>
  <c r="BU39" i="2" s="1"/>
  <c r="BX39" i="2" s="1"/>
  <c r="BU40" i="2" a="1"/>
  <c r="BU40" i="2" s="1"/>
  <c r="BX40" i="2" s="1"/>
  <c r="BU41" i="2" a="1"/>
  <c r="BU41" i="2" s="1"/>
  <c r="BX41" i="2" s="1"/>
  <c r="BU42" i="2" a="1"/>
  <c r="BU42" i="2" s="1"/>
  <c r="BX42" i="2" s="1"/>
  <c r="BU43" i="2" a="1"/>
  <c r="BU43" i="2" s="1"/>
  <c r="BX43" i="2" s="1"/>
  <c r="BU44" i="2" a="1"/>
  <c r="BU44" i="2" s="1"/>
  <c r="BX44" i="2" s="1"/>
  <c r="BU45" i="2" a="1"/>
  <c r="BU45" i="2" s="1"/>
  <c r="BX45" i="2" s="1"/>
  <c r="BU46" i="2" a="1"/>
  <c r="BU46" i="2" s="1"/>
  <c r="BX46" i="2" s="1"/>
  <c r="BU47" i="2" a="1"/>
  <c r="BU47" i="2" s="1"/>
  <c r="BX47" i="2" s="1"/>
  <c r="BU48" i="2" a="1"/>
  <c r="BU48" i="2" s="1"/>
  <c r="BX48" i="2" s="1"/>
  <c r="BU49" i="2" a="1"/>
  <c r="BU49" i="2" s="1"/>
  <c r="BX49" i="2" s="1"/>
  <c r="BU50" i="2" a="1"/>
  <c r="BU50" i="2" s="1"/>
  <c r="BX50" i="2" s="1"/>
  <c r="BU51" i="2" a="1"/>
  <c r="BU51" i="2" s="1"/>
  <c r="BX51" i="2" s="1"/>
  <c r="BU52" i="2" a="1"/>
  <c r="BU52" i="2" s="1"/>
  <c r="BX52" i="2" s="1"/>
  <c r="BU53" i="2" a="1"/>
  <c r="BU53" i="2" s="1"/>
  <c r="BX53" i="2" s="1"/>
  <c r="BU54" i="2" a="1"/>
  <c r="BU54" i="2" s="1"/>
  <c r="BX54" i="2" s="1"/>
  <c r="BU55" i="2" a="1"/>
  <c r="BU55" i="2" s="1"/>
  <c r="BX55" i="2" s="1"/>
  <c r="BU283" i="2" a="1"/>
  <c r="BU283" i="2" s="1"/>
  <c r="BX283" i="2" s="1"/>
  <c r="BU284" i="2" a="1"/>
  <c r="BU284" i="2" s="1"/>
  <c r="BX284" i="2" s="1"/>
  <c r="BU285" i="2" a="1"/>
  <c r="BU285" i="2" s="1"/>
  <c r="BX285" i="2" s="1"/>
  <c r="BU286" i="2" a="1"/>
  <c r="BU286" i="2" s="1"/>
  <c r="BX286" i="2" s="1"/>
  <c r="BU287" i="2" a="1"/>
  <c r="BU287" i="2" s="1"/>
  <c r="BX287" i="2" s="1"/>
  <c r="BU288" i="2" a="1"/>
  <c r="BU288" i="2" s="1"/>
  <c r="BX288" i="2" s="1"/>
  <c r="BU289" i="2" a="1"/>
  <c r="BU289" i="2" s="1"/>
  <c r="BX289" i="2" s="1"/>
  <c r="BU290" i="2" a="1"/>
  <c r="BU290" i="2" s="1"/>
  <c r="BX290" i="2" s="1"/>
  <c r="BU291" i="2" a="1"/>
  <c r="BU291" i="2" s="1"/>
  <c r="BX291" i="2" s="1"/>
  <c r="BU292" i="2" a="1"/>
  <c r="BU292" i="2" s="1"/>
  <c r="BX292" i="2" s="1"/>
  <c r="BU293" i="2" a="1"/>
  <c r="BU293" i="2" s="1"/>
  <c r="BX293" i="2" s="1"/>
  <c r="BU294" i="2" a="1"/>
  <c r="BU294" i="2" s="1"/>
  <c r="BX294" i="2" s="1"/>
  <c r="BU295" i="2" a="1"/>
  <c r="BU295" i="2" s="1"/>
  <c r="BX295" i="2" s="1"/>
  <c r="BU296" i="2" a="1"/>
  <c r="BU296" i="2" s="1"/>
  <c r="BX296" i="2" s="1"/>
  <c r="BU297" i="2" a="1"/>
  <c r="BU297" i="2" s="1"/>
  <c r="BX297" i="2" s="1"/>
  <c r="BU298" i="2" a="1"/>
  <c r="BU298" i="2" s="1"/>
  <c r="BX298" i="2" s="1"/>
  <c r="BU299" i="2" a="1"/>
  <c r="BU299" i="2" s="1"/>
  <c r="BX299" i="2" s="1"/>
  <c r="BU301" i="2" a="1"/>
  <c r="BU301" i="2" s="1"/>
  <c r="BX301" i="2" s="1"/>
  <c r="BU484" i="2" a="1"/>
  <c r="BU484" i="2" s="1"/>
  <c r="BX484" i="2" s="1"/>
  <c r="BU485" i="2" a="1"/>
  <c r="BU485" i="2" s="1"/>
  <c r="BX485" i="2" s="1"/>
  <c r="BU486" i="2" a="1"/>
  <c r="BU486" i="2" s="1"/>
  <c r="BX486" i="2" s="1"/>
  <c r="BU304" i="2" a="1"/>
  <c r="BU304" i="2" s="1"/>
  <c r="BX304" i="2" s="1"/>
  <c r="BU305" i="2" a="1"/>
  <c r="BU305" i="2" s="1"/>
  <c r="BX305" i="2" s="1"/>
  <c r="BU302" i="2" a="1"/>
  <c r="BU302" i="2" s="1"/>
  <c r="BX302" i="2" s="1"/>
  <c r="BU303" i="2" a="1"/>
  <c r="BU303" i="2" s="1"/>
  <c r="BX303" i="2" s="1"/>
  <c r="BU306" i="2" a="1"/>
  <c r="BU306" i="2" s="1"/>
  <c r="BX306" i="2" s="1"/>
  <c r="BU300" i="2" a="1"/>
  <c r="BU300" i="2" s="1"/>
  <c r="BX300" i="2" s="1"/>
  <c r="BU488" i="2" a="1"/>
  <c r="BU488" i="2" s="1"/>
  <c r="BX488" i="2" s="1"/>
  <c r="BU275" i="2" a="1"/>
  <c r="BU275" i="2" s="1"/>
  <c r="BX275" i="2" s="1"/>
  <c r="BU276" i="2" a="1"/>
  <c r="BU276" i="2" s="1"/>
  <c r="BX276" i="2" s="1"/>
  <c r="BU277" i="2" a="1"/>
  <c r="BU277" i="2" s="1"/>
  <c r="BX277" i="2" s="1"/>
  <c r="BU278" i="2" a="1"/>
  <c r="BU278" i="2" s="1"/>
  <c r="BX278" i="2" s="1"/>
  <c r="BU279" i="2" a="1"/>
  <c r="BU279" i="2" s="1"/>
  <c r="BX279" i="2" s="1"/>
  <c r="BU280" i="2" a="1"/>
  <c r="BU280" i="2" s="1"/>
  <c r="BX280" i="2" s="1"/>
  <c r="BU281" i="2" a="1"/>
  <c r="BU281" i="2" s="1"/>
  <c r="BX281" i="2" s="1"/>
  <c r="BU282" i="2" a="1"/>
  <c r="BU282" i="2" s="1"/>
  <c r="BX282" i="2" s="1"/>
  <c r="BU66" i="2" a="1"/>
  <c r="BU66" i="2" s="1"/>
  <c r="BX66" i="2" s="1"/>
  <c r="BU67" i="2" a="1"/>
  <c r="BU67" i="2" s="1"/>
  <c r="BX67" i="2" s="1"/>
  <c r="BU68" i="2" a="1"/>
  <c r="BU68" i="2" s="1"/>
  <c r="BX68" i="2" s="1"/>
  <c r="BU69" i="2" a="1"/>
  <c r="BU69" i="2" s="1"/>
  <c r="BX69" i="2" s="1"/>
  <c r="BU70" i="2" a="1"/>
  <c r="BU70" i="2" s="1"/>
  <c r="BX70" i="2" s="1"/>
  <c r="BU71" i="2" a="1"/>
  <c r="BU71" i="2" s="1"/>
  <c r="BX71" i="2" s="1"/>
  <c r="BU72" i="2" a="1"/>
  <c r="BU72" i="2" s="1"/>
  <c r="BX72" i="2" s="1"/>
  <c r="BU73" i="2" a="1"/>
  <c r="BU73" i="2" s="1"/>
  <c r="BX73" i="2" s="1"/>
  <c r="BU74" i="2" a="1"/>
  <c r="BU74" i="2" s="1"/>
  <c r="BX74" i="2" s="1"/>
  <c r="BU75" i="2" a="1"/>
  <c r="BU75" i="2" s="1"/>
  <c r="BX75" i="2" s="1"/>
  <c r="BU76" i="2" a="1"/>
  <c r="BU76" i="2" s="1"/>
  <c r="BX76" i="2" s="1"/>
  <c r="BU77" i="2" a="1"/>
  <c r="BU77" i="2" s="1"/>
  <c r="BX77" i="2" s="1"/>
  <c r="BU89" i="2" a="1"/>
  <c r="BU89" i="2" s="1"/>
  <c r="BX89" i="2" s="1"/>
  <c r="BU90" i="2" a="1"/>
  <c r="BU90" i="2" s="1"/>
  <c r="BX90" i="2" s="1"/>
  <c r="BU91" i="2" a="1"/>
  <c r="BU91" i="2" s="1"/>
  <c r="BX91" i="2" s="1"/>
  <c r="BU92" i="2" a="1"/>
  <c r="BU92" i="2" s="1"/>
  <c r="BX92" i="2" s="1"/>
  <c r="BU93" i="2" a="1"/>
  <c r="BU93" i="2" s="1"/>
  <c r="BX93" i="2" s="1"/>
  <c r="BU94" i="2" a="1"/>
  <c r="BU94" i="2" s="1"/>
  <c r="BX94" i="2" s="1"/>
  <c r="BU95" i="2" a="1"/>
  <c r="BU95" i="2" s="1"/>
  <c r="BX95" i="2" s="1"/>
  <c r="BU96" i="2" a="1"/>
  <c r="BU96" i="2" s="1"/>
  <c r="BX96" i="2" s="1"/>
  <c r="BU78" i="2" a="1"/>
  <c r="BU78" i="2" s="1"/>
  <c r="BX78" i="2" s="1"/>
  <c r="BU79" i="2" a="1"/>
  <c r="BU79" i="2" s="1"/>
  <c r="BX79" i="2" s="1"/>
  <c r="BU80" i="2" a="1"/>
  <c r="BU80" i="2" s="1"/>
  <c r="BX80" i="2" s="1"/>
  <c r="BU81" i="2" a="1"/>
  <c r="BU81" i="2" s="1"/>
  <c r="BX81" i="2" s="1"/>
  <c r="BU85" i="2" a="1"/>
  <c r="BU85" i="2" s="1"/>
  <c r="BX85" i="2" s="1"/>
  <c r="BU86" i="2" a="1"/>
  <c r="BU86" i="2" s="1"/>
  <c r="BX86" i="2" s="1"/>
  <c r="BU87" i="2" a="1"/>
  <c r="BU87" i="2" s="1"/>
  <c r="BX87" i="2" s="1"/>
  <c r="BU88" i="2" a="1"/>
  <c r="BU88" i="2" s="1"/>
  <c r="BX88" i="2" s="1"/>
  <c r="BU97" i="2" a="1"/>
  <c r="BU97" i="2" s="1"/>
  <c r="BX97" i="2" s="1"/>
  <c r="BU98" i="2" a="1"/>
  <c r="BU98" i="2" s="1"/>
  <c r="BX98" i="2" s="1"/>
  <c r="BU99" i="2" a="1"/>
  <c r="BU99" i="2" s="1"/>
  <c r="BX99" i="2" s="1"/>
  <c r="BU100" i="2" a="1"/>
  <c r="BU100" i="2" s="1"/>
  <c r="BX100" i="2" s="1"/>
  <c r="BU82" i="2" a="1"/>
  <c r="BU82" i="2" s="1"/>
  <c r="BX82" i="2" s="1"/>
  <c r="BU117" i="2" a="1"/>
  <c r="BU117" i="2" s="1"/>
  <c r="BX117" i="2" s="1"/>
  <c r="BU118" i="2" a="1"/>
  <c r="BU118" i="2" s="1"/>
  <c r="BX118" i="2" s="1"/>
  <c r="BU119" i="2" a="1"/>
  <c r="BU119" i="2" s="1"/>
  <c r="BX119" i="2" s="1"/>
  <c r="BU120" i="2" a="1"/>
  <c r="BU120" i="2" s="1"/>
  <c r="BX120" i="2" s="1"/>
  <c r="BU113" i="2" a="1"/>
  <c r="BU113" i="2" s="1"/>
  <c r="BX113" i="2" s="1"/>
  <c r="BU114" i="2" a="1"/>
  <c r="BU114" i="2" s="1"/>
  <c r="BX114" i="2" s="1"/>
  <c r="BU115" i="2" a="1"/>
  <c r="BU115" i="2" s="1"/>
  <c r="BX115" i="2" s="1"/>
  <c r="BU116" i="2" a="1"/>
  <c r="BU116" i="2" s="1"/>
  <c r="BX116" i="2" s="1"/>
  <c r="BU83" i="2" a="1"/>
  <c r="BU83" i="2" s="1"/>
  <c r="BX83" i="2" s="1"/>
  <c r="BU84" i="2" a="1"/>
  <c r="BU84" i="2" s="1"/>
  <c r="BX84" i="2" s="1"/>
  <c r="BU101" i="2" a="1"/>
  <c r="BU101" i="2" s="1"/>
  <c r="BX101" i="2" s="1"/>
  <c r="BU102" i="2" a="1"/>
  <c r="BU102" i="2" s="1"/>
  <c r="BX102" i="2" s="1"/>
  <c r="BU103" i="2" a="1"/>
  <c r="BU103" i="2" s="1"/>
  <c r="BX103" i="2" s="1"/>
  <c r="BU104" i="2" a="1"/>
  <c r="BU104" i="2" s="1"/>
  <c r="BX104" i="2" s="1"/>
  <c r="BU105" i="2" a="1"/>
  <c r="BU105" i="2" s="1"/>
  <c r="BX105" i="2" s="1"/>
  <c r="BU106" i="2" a="1"/>
  <c r="BU106" i="2" s="1"/>
  <c r="BX106" i="2" s="1"/>
  <c r="BU107" i="2" a="1"/>
  <c r="BU107" i="2" s="1"/>
  <c r="BX107" i="2" s="1"/>
  <c r="BU108" i="2" a="1"/>
  <c r="BU108" i="2" s="1"/>
  <c r="BX108" i="2" s="1"/>
  <c r="BU109" i="2" a="1"/>
  <c r="BU109" i="2" s="1"/>
  <c r="BX109" i="2" s="1"/>
  <c r="BU110" i="2" a="1"/>
  <c r="BU110" i="2" s="1"/>
  <c r="BX110" i="2" s="1"/>
  <c r="BU111" i="2" a="1"/>
  <c r="BU111" i="2" s="1"/>
  <c r="BX111" i="2" s="1"/>
  <c r="BU112" i="2" a="1"/>
  <c r="BU112" i="2" s="1"/>
  <c r="BX112" i="2" s="1"/>
  <c r="BU327" i="2" a="1"/>
  <c r="BU327" i="2" s="1"/>
  <c r="BX327" i="2" s="1"/>
  <c r="BU328" i="2" a="1"/>
  <c r="BU328" i="2" s="1"/>
  <c r="BX328" i="2" s="1"/>
  <c r="BU329" i="2" a="1"/>
  <c r="BU329" i="2" s="1"/>
  <c r="BX329" i="2" s="1"/>
  <c r="BU340" i="2" a="1"/>
  <c r="BU340" i="2" s="1"/>
  <c r="BX340" i="2" s="1"/>
  <c r="BU341" i="2" a="1"/>
  <c r="BU341" i="2" s="1"/>
  <c r="BX341" i="2" s="1"/>
  <c r="BU342" i="2" a="1"/>
  <c r="BU342" i="2" s="1"/>
  <c r="BX342" i="2" s="1"/>
  <c r="BU359" i="2" a="1"/>
  <c r="BU359" i="2" s="1"/>
  <c r="BX359" i="2" s="1"/>
  <c r="BU360" i="2" a="1"/>
  <c r="BU360" i="2" s="1"/>
  <c r="BX360" i="2" s="1"/>
  <c r="BU361" i="2" a="1"/>
  <c r="BU361" i="2" s="1"/>
  <c r="BX361" i="2" s="1"/>
  <c r="BU313" i="2" a="1"/>
  <c r="BU313" i="2" s="1"/>
  <c r="BX313" i="2" s="1"/>
  <c r="BU314" i="2" a="1"/>
  <c r="BU314" i="2" s="1"/>
  <c r="BX314" i="2" s="1"/>
  <c r="BU315" i="2" a="1"/>
  <c r="BU315" i="2" s="1"/>
  <c r="BX315" i="2" s="1"/>
  <c r="BU346" i="2" a="1"/>
  <c r="BU346" i="2" s="1"/>
  <c r="BX346" i="2" s="1"/>
  <c r="BU347" i="2" a="1"/>
  <c r="BU347" i="2" s="1"/>
  <c r="BX347" i="2" s="1"/>
  <c r="BU348" i="2" a="1"/>
  <c r="BU348" i="2" s="1"/>
  <c r="BX348" i="2" s="1"/>
  <c r="BU324" i="2" a="1"/>
  <c r="BU324" i="2" s="1"/>
  <c r="BX324" i="2" s="1"/>
  <c r="BU325" i="2" a="1"/>
  <c r="BU325" i="2" s="1"/>
  <c r="BX325" i="2" s="1"/>
  <c r="BU326" i="2" a="1"/>
  <c r="BU326" i="2" s="1"/>
  <c r="BX326" i="2" s="1"/>
  <c r="BU334" i="2" a="1"/>
  <c r="BU334" i="2" s="1"/>
  <c r="BX334" i="2" s="1"/>
  <c r="BU335" i="2" a="1"/>
  <c r="BU335" i="2" s="1"/>
  <c r="BX335" i="2" s="1"/>
  <c r="BU336" i="2" a="1"/>
  <c r="BU336" i="2" s="1"/>
  <c r="BX336" i="2" s="1"/>
  <c r="BU320" i="2" a="1"/>
  <c r="BU320" i="2" s="1"/>
  <c r="BX320" i="2" s="1"/>
  <c r="BU321" i="2" a="1"/>
  <c r="BU321" i="2" s="1"/>
  <c r="BX321" i="2" s="1"/>
  <c r="BU322" i="2" a="1"/>
  <c r="BU322" i="2" s="1"/>
  <c r="BX322" i="2" s="1"/>
  <c r="BU331" i="2" a="1"/>
  <c r="BU331" i="2" s="1"/>
  <c r="BX331" i="2" s="1"/>
  <c r="BU332" i="2" a="1"/>
  <c r="BU332" i="2" s="1"/>
  <c r="BX332" i="2" s="1"/>
  <c r="BU333" i="2" a="1"/>
  <c r="BU333" i="2" s="1"/>
  <c r="BX333" i="2" s="1"/>
  <c r="BU349" i="2" a="1"/>
  <c r="BU349" i="2" s="1"/>
  <c r="BX349" i="2" s="1"/>
  <c r="BU350" i="2" a="1"/>
  <c r="BU350" i="2" s="1"/>
  <c r="BX350" i="2" s="1"/>
  <c r="BU351" i="2" a="1"/>
  <c r="BU351" i="2" s="1"/>
  <c r="BX351" i="2" s="1"/>
  <c r="BU353" i="2" a="1"/>
  <c r="BU353" i="2" s="1"/>
  <c r="BX353" i="2" s="1"/>
  <c r="BU354" i="2" a="1"/>
  <c r="BU354" i="2" s="1"/>
  <c r="BX354" i="2" s="1"/>
  <c r="BU355" i="2" a="1"/>
  <c r="BU355" i="2" s="1"/>
  <c r="BX355" i="2" s="1"/>
  <c r="BU370" i="2" a="1"/>
  <c r="BU370" i="2" s="1"/>
  <c r="BX370" i="2" s="1"/>
  <c r="BU307" i="2" a="1"/>
  <c r="BU307" i="2" s="1"/>
  <c r="BX307" i="2" s="1"/>
  <c r="BU308" i="2" a="1"/>
  <c r="BU308" i="2" s="1"/>
  <c r="BX308" i="2" s="1"/>
  <c r="BU309" i="2" a="1"/>
  <c r="BU309" i="2" s="1"/>
  <c r="BX309" i="2" s="1"/>
  <c r="BU337" i="2" a="1"/>
  <c r="BU337" i="2" s="1"/>
  <c r="BX337" i="2" s="1"/>
  <c r="BU338" i="2" a="1"/>
  <c r="BU338" i="2" s="1"/>
  <c r="BX338" i="2" s="1"/>
  <c r="BU339" i="2" a="1"/>
  <c r="BU339" i="2" s="1"/>
  <c r="BX339" i="2" s="1"/>
  <c r="BU356" i="2" a="1"/>
  <c r="BU356" i="2" s="1"/>
  <c r="BX356" i="2" s="1"/>
  <c r="BU357" i="2" a="1"/>
  <c r="BU357" i="2" s="1"/>
  <c r="BX357" i="2" s="1"/>
  <c r="BU358" i="2" a="1"/>
  <c r="BU358" i="2" s="1"/>
  <c r="BX358" i="2" s="1"/>
  <c r="BU310" i="2" a="1"/>
  <c r="BU310" i="2" s="1"/>
  <c r="BX310" i="2" s="1"/>
  <c r="BU311" i="2" a="1"/>
  <c r="BU311" i="2" s="1"/>
  <c r="BX311" i="2" s="1"/>
  <c r="BU312" i="2" a="1"/>
  <c r="BU312" i="2" s="1"/>
  <c r="BX312" i="2" s="1"/>
  <c r="BU343" i="2" a="1"/>
  <c r="BU343" i="2" s="1"/>
  <c r="BX343" i="2" s="1"/>
  <c r="BU344" i="2" a="1"/>
  <c r="BU344" i="2" s="1"/>
  <c r="BX344" i="2" s="1"/>
  <c r="BU345" i="2" a="1"/>
  <c r="BU345" i="2" s="1"/>
  <c r="BX345" i="2" s="1"/>
  <c r="BU316" i="2" a="1"/>
  <c r="BU316" i="2" s="1"/>
  <c r="BX316" i="2" s="1"/>
  <c r="BU317" i="2" a="1"/>
  <c r="BU317" i="2" s="1"/>
  <c r="BX317" i="2" s="1"/>
  <c r="BU318" i="2" a="1"/>
  <c r="BU318" i="2" s="1"/>
  <c r="BX318" i="2" s="1"/>
  <c r="BU362" i="2" a="1"/>
  <c r="BU362" i="2" s="1"/>
  <c r="BX362" i="2" s="1"/>
  <c r="BU363" i="2" a="1"/>
  <c r="BU363" i="2" s="1"/>
  <c r="BX363" i="2" s="1"/>
  <c r="BU364" i="2" a="1"/>
  <c r="BU364" i="2" s="1"/>
  <c r="BX364" i="2" s="1"/>
  <c r="BU365" i="2" a="1"/>
  <c r="BU365" i="2" s="1"/>
  <c r="BX365" i="2" s="1"/>
  <c r="BU366" i="2" a="1"/>
  <c r="BU366" i="2" s="1"/>
  <c r="BX366" i="2" s="1"/>
  <c r="BU367" i="2" a="1"/>
  <c r="BU367" i="2" s="1"/>
  <c r="BX367" i="2" s="1"/>
  <c r="BU368" i="2" a="1"/>
  <c r="BU368" i="2" s="1"/>
  <c r="BX368" i="2" s="1"/>
  <c r="BU369" i="2" a="1"/>
  <c r="BU369" i="2" s="1"/>
  <c r="BX369" i="2" s="1"/>
  <c r="BU231" i="2" a="1"/>
  <c r="BU231" i="2" s="1"/>
  <c r="BX231" i="2" s="1"/>
  <c r="BU232" i="2" a="1"/>
  <c r="BU232" i="2" s="1"/>
  <c r="BX232" i="2" s="1"/>
  <c r="BU233" i="2" a="1"/>
  <c r="BU233" i="2" s="1"/>
  <c r="BX233" i="2" s="1"/>
  <c r="BU226" i="2" a="1"/>
  <c r="BU226" i="2" s="1"/>
  <c r="BX226" i="2" s="1"/>
  <c r="BU227" i="2" a="1"/>
  <c r="BU227" i="2" s="1"/>
  <c r="BX227" i="2" s="1"/>
  <c r="BU228" i="2" a="1"/>
  <c r="BU228" i="2" s="1"/>
  <c r="BX228" i="2" s="1"/>
  <c r="BU229" i="2" a="1"/>
  <c r="BU229" i="2" s="1"/>
  <c r="BX229" i="2" s="1"/>
  <c r="BU230" i="2" a="1"/>
  <c r="BU230" i="2" s="1"/>
  <c r="BX230" i="2" s="1"/>
  <c r="BU235" i="2" a="1"/>
  <c r="BU235" i="2" s="1"/>
  <c r="BX235" i="2" s="1"/>
  <c r="BU236" i="2" a="1"/>
  <c r="BU236" i="2" s="1"/>
  <c r="BX236" i="2" s="1"/>
  <c r="BU237" i="2" a="1"/>
  <c r="BU237" i="2" s="1"/>
  <c r="BX237" i="2" s="1"/>
  <c r="BU17" i="2" a="1"/>
  <c r="BU17" i="2" s="1"/>
  <c r="BX17" i="2" s="1"/>
  <c r="BU18" i="2" a="1"/>
  <c r="BU18" i="2" s="1"/>
  <c r="BX18" i="2" s="1"/>
  <c r="BU19" i="2" a="1"/>
  <c r="BU19" i="2" s="1"/>
  <c r="BX19" i="2" s="1"/>
  <c r="BU20" i="2" a="1"/>
  <c r="BU20" i="2" s="1"/>
  <c r="BX20" i="2" s="1"/>
  <c r="BU21" i="2" a="1"/>
  <c r="BU21" i="2" s="1"/>
  <c r="BX21" i="2" s="1"/>
  <c r="BU22" i="2" a="1"/>
  <c r="BU22" i="2" s="1"/>
  <c r="BX22" i="2" s="1"/>
  <c r="BU11" i="2" a="1"/>
  <c r="BU11" i="2" s="1"/>
  <c r="BX11" i="2" s="1"/>
  <c r="BU12" i="2" a="1"/>
  <c r="BU12" i="2" s="1"/>
  <c r="BX12" i="2" s="1"/>
  <c r="BU13" i="2" a="1"/>
  <c r="BU13" i="2" s="1"/>
  <c r="BX13" i="2" s="1"/>
  <c r="BU14" i="2" a="1"/>
  <c r="BU14" i="2" s="1"/>
  <c r="BX14" i="2" s="1"/>
  <c r="BU15" i="2" a="1"/>
  <c r="BU15" i="2" s="1"/>
  <c r="BX15" i="2" s="1"/>
  <c r="BU23" i="2" a="1"/>
  <c r="BU23" i="2" s="1"/>
  <c r="BX23" i="2" s="1"/>
  <c r="BU24" i="2" a="1"/>
  <c r="BU24" i="2" s="1"/>
  <c r="BX24" i="2" s="1"/>
  <c r="BU25" i="2" a="1"/>
  <c r="BU25" i="2" s="1"/>
  <c r="BX25" i="2" s="1"/>
  <c r="BU26" i="2" a="1"/>
  <c r="BU26" i="2" s="1"/>
  <c r="BX26" i="2" s="1"/>
  <c r="BU8" i="2" a="1"/>
  <c r="BU8" i="2" s="1"/>
  <c r="BX8" i="2" s="1"/>
  <c r="BU10" i="2" a="1"/>
  <c r="BU10" i="2" s="1"/>
  <c r="BX10" i="2" s="1"/>
  <c r="BU9" i="2" a="1"/>
  <c r="BU9" i="2" s="1"/>
  <c r="BX9" i="2" s="1"/>
  <c r="BU234" i="2" a="1"/>
  <c r="BU234" i="2" s="1"/>
  <c r="BX234" i="2" s="1"/>
  <c r="BU490" i="2" a="1"/>
  <c r="BU490" i="2" s="1"/>
  <c r="BX490" i="2" s="1"/>
  <c r="BY490" i="2" s="1"/>
  <c r="BU491" i="2" a="1"/>
  <c r="BU491" i="2" s="1"/>
  <c r="BX491" i="2" s="1"/>
  <c r="BY491" i="2" s="1"/>
  <c r="BU492" i="2" a="1"/>
  <c r="BU492" i="2" s="1"/>
  <c r="BX492" i="2" s="1"/>
  <c r="BY492" i="2" s="1"/>
  <c r="BU65" i="2" a="1"/>
  <c r="BU65" i="2" s="1"/>
  <c r="BX65" i="2" s="1"/>
  <c r="BY65" i="2" s="1"/>
  <c r="BU122" i="2" a="1"/>
  <c r="BU122" i="2" s="1"/>
  <c r="BX122" i="2" s="1"/>
  <c r="BY122" i="2" s="1"/>
  <c r="BU123" i="2" a="1"/>
  <c r="BU123" i="2" s="1"/>
  <c r="BX123" i="2" s="1"/>
  <c r="BY123" i="2" s="1"/>
  <c r="BU121" i="2" a="1"/>
  <c r="BU121" i="2" s="1"/>
  <c r="BX121" i="2" s="1"/>
  <c r="BY121" i="2" s="1"/>
  <c r="BU124" i="2" a="1"/>
  <c r="BU124" i="2" s="1"/>
  <c r="BX124" i="2" s="1"/>
  <c r="BY124" i="2" s="1"/>
  <c r="BU125" i="2" a="1"/>
  <c r="BU125" i="2" s="1"/>
  <c r="BX125" i="2" s="1"/>
  <c r="BY125" i="2" s="1"/>
  <c r="BU126" i="2" a="1"/>
  <c r="BU126" i="2" s="1"/>
  <c r="BX126" i="2" s="1"/>
  <c r="BY126" i="2" s="1"/>
  <c r="BU127" i="2" a="1"/>
  <c r="BU127" i="2" s="1"/>
  <c r="BX127" i="2" s="1"/>
  <c r="BY127" i="2" s="1"/>
  <c r="BU128" i="2" a="1"/>
  <c r="BU128" i="2" s="1"/>
  <c r="BX128" i="2" s="1"/>
  <c r="BY128" i="2" s="1"/>
  <c r="BU129" i="2" a="1"/>
  <c r="BU129" i="2" s="1"/>
  <c r="BX129" i="2" s="1"/>
  <c r="BY129" i="2" s="1"/>
  <c r="BU130" i="2" a="1"/>
  <c r="BU130" i="2" s="1"/>
  <c r="BX130" i="2" s="1"/>
  <c r="BY130" i="2" s="1"/>
  <c r="BU131" i="2" a="1"/>
  <c r="BU131" i="2" s="1"/>
  <c r="BX131" i="2" s="1"/>
  <c r="BY131" i="2" s="1"/>
  <c r="BU132" i="2" a="1"/>
  <c r="BU132" i="2" s="1"/>
  <c r="BX132" i="2" s="1"/>
  <c r="BY132" i="2" s="1"/>
  <c r="BU133" i="2" a="1"/>
  <c r="BU133" i="2" s="1"/>
  <c r="BX133" i="2" s="1"/>
  <c r="BY133" i="2" s="1"/>
  <c r="BU134" i="2" a="1"/>
  <c r="BU134" i="2" s="1"/>
  <c r="BX134" i="2" s="1"/>
  <c r="BY134" i="2" s="1"/>
  <c r="BU135" i="2" a="1"/>
  <c r="BU135" i="2" s="1"/>
  <c r="BX135" i="2" s="1"/>
  <c r="BY135" i="2" s="1"/>
  <c r="BU136" i="2" a="1"/>
  <c r="BU136" i="2" s="1"/>
  <c r="BX136" i="2" s="1"/>
  <c r="BY136" i="2" s="1"/>
  <c r="BU137" i="2" a="1"/>
  <c r="BU137" i="2" s="1"/>
  <c r="BX137" i="2" s="1"/>
  <c r="BY137" i="2" s="1"/>
  <c r="BU139" i="2" a="1"/>
  <c r="BU139" i="2" s="1"/>
  <c r="BX139" i="2" s="1"/>
  <c r="BY139" i="2" s="1"/>
  <c r="BU140" i="2" a="1"/>
  <c r="BU140" i="2" s="1"/>
  <c r="BX140" i="2" s="1"/>
  <c r="BY140" i="2" s="1"/>
  <c r="BU141" i="2" a="1"/>
  <c r="BU141" i="2" s="1"/>
  <c r="BX141" i="2" s="1"/>
  <c r="BY141" i="2" s="1"/>
  <c r="BU142" i="2" a="1"/>
  <c r="BU142" i="2" s="1"/>
  <c r="BX142" i="2" s="1"/>
  <c r="BY142" i="2" s="1"/>
  <c r="BU143" i="2" a="1"/>
  <c r="BU143" i="2" s="1"/>
  <c r="BX143" i="2" s="1"/>
  <c r="BY143" i="2" s="1"/>
  <c r="BU144" i="2" a="1"/>
  <c r="BU144" i="2" s="1"/>
  <c r="BX144" i="2" s="1"/>
  <c r="BY144" i="2" s="1"/>
  <c r="BU145" i="2" a="1"/>
  <c r="BU145" i="2" s="1"/>
  <c r="BX145" i="2" s="1"/>
  <c r="BY145" i="2" s="1"/>
  <c r="BU146" i="2" a="1"/>
  <c r="BU146" i="2" s="1"/>
  <c r="BX146" i="2" s="1"/>
  <c r="BY146" i="2" s="1"/>
  <c r="BU493" i="2" a="1"/>
  <c r="BU493" i="2" s="1"/>
  <c r="BX493" i="2" s="1"/>
  <c r="BY493" i="2" s="1"/>
  <c r="BU4" i="2" a="1"/>
  <c r="BU4" i="2" s="1"/>
  <c r="BX4" i="2" s="1"/>
  <c r="BY4" i="2" s="1"/>
  <c r="BU5" i="2" a="1"/>
  <c r="BU5" i="2" s="1"/>
  <c r="BX5" i="2" s="1"/>
  <c r="BY5" i="2" s="1"/>
  <c r="BU6" i="2" a="1"/>
  <c r="BU6" i="2" s="1"/>
  <c r="BX6" i="2" s="1"/>
  <c r="BY6" i="2" s="1"/>
  <c r="BU37" i="2" a="1"/>
  <c r="BU37" i="2" s="1"/>
  <c r="BX37" i="2" s="1"/>
  <c r="BY37" i="2" s="1"/>
  <c r="BU483" i="2" a="1"/>
  <c r="BU483" i="2" s="1"/>
  <c r="BX483" i="2" s="1"/>
  <c r="BY483" i="2" s="1"/>
  <c r="BU238" i="2" a="1"/>
  <c r="BU238" i="2" s="1"/>
  <c r="BX238" i="2" s="1"/>
  <c r="BU239" i="2" a="1"/>
  <c r="BU239" i="2" s="1"/>
  <c r="BX239" i="2" s="1"/>
  <c r="BU246" i="2" a="1"/>
  <c r="BU246" i="2" s="1"/>
  <c r="BX246" i="2" s="1"/>
  <c r="BU247" i="2" a="1"/>
  <c r="BU247" i="2" s="1"/>
  <c r="BX247" i="2" s="1"/>
  <c r="BU248" i="2" a="1"/>
  <c r="BU248" i="2" s="1"/>
  <c r="BX248" i="2" s="1"/>
  <c r="BU249" i="2" a="1"/>
  <c r="BU249" i="2" s="1"/>
  <c r="BX249" i="2" s="1"/>
  <c r="BU256" i="2" a="1"/>
  <c r="BU256" i="2" s="1"/>
  <c r="BX256" i="2" s="1"/>
  <c r="BU257" i="2" a="1"/>
  <c r="BU257" i="2" s="1"/>
  <c r="BX257" i="2" s="1"/>
  <c r="BU240" i="2" a="1"/>
  <c r="BU240" i="2" s="1"/>
  <c r="BX240" i="2" s="1"/>
  <c r="BU241" i="2" a="1"/>
  <c r="BU241" i="2" s="1"/>
  <c r="BX241" i="2" s="1"/>
  <c r="BU254" i="2" a="1"/>
  <c r="BU254" i="2" s="1"/>
  <c r="BX254" i="2" s="1"/>
  <c r="BU255" i="2" a="1"/>
  <c r="BU255" i="2" s="1"/>
  <c r="BX255" i="2" s="1"/>
  <c r="BU242" i="2" a="1"/>
  <c r="BU242" i="2" s="1"/>
  <c r="BX242" i="2" s="1"/>
  <c r="BU243" i="2" a="1"/>
  <c r="BU243" i="2" s="1"/>
  <c r="BX243" i="2" s="1"/>
  <c r="BU244" i="2" a="1"/>
  <c r="BU244" i="2" s="1"/>
  <c r="BX244" i="2" s="1"/>
  <c r="BU245" i="2" a="1"/>
  <c r="BU245" i="2" s="1"/>
  <c r="BX245" i="2" s="1"/>
  <c r="BU252" i="2" a="1"/>
  <c r="BU252" i="2" s="1"/>
  <c r="BX252" i="2" s="1"/>
  <c r="BU253" i="2" a="1"/>
  <c r="BU253" i="2" s="1"/>
  <c r="BX253" i="2" s="1"/>
  <c r="BU250" i="2" a="1"/>
  <c r="BU250" i="2" s="1"/>
  <c r="BX250" i="2" s="1"/>
  <c r="BU251" i="2" a="1"/>
  <c r="BU251" i="2" s="1"/>
  <c r="BX251" i="2" s="1"/>
  <c r="BU259" i="2" a="1"/>
  <c r="BU259" i="2" s="1"/>
  <c r="BX259" i="2" s="1"/>
  <c r="BU271" i="2" a="1"/>
  <c r="BU271" i="2" s="1"/>
  <c r="BX271" i="2" s="1"/>
  <c r="BU272" i="2" a="1"/>
  <c r="BU272" i="2" s="1"/>
  <c r="BX272" i="2" s="1"/>
  <c r="BU258" i="2" a="1"/>
  <c r="BU258" i="2" s="1"/>
  <c r="BX258" i="2" s="1"/>
  <c r="BU260" i="2" a="1"/>
  <c r="BU260" i="2" s="1"/>
  <c r="BX260" i="2" s="1"/>
  <c r="BU261" i="2" a="1"/>
  <c r="BU261" i="2" s="1"/>
  <c r="BX261" i="2" s="1"/>
  <c r="BU262" i="2" a="1"/>
  <c r="BU262" i="2" s="1"/>
  <c r="BX262" i="2" s="1"/>
  <c r="BU263" i="2" a="1"/>
  <c r="BU263" i="2" s="1"/>
  <c r="BX263" i="2" s="1"/>
  <c r="BU264" i="2" a="1"/>
  <c r="BU264" i="2" s="1"/>
  <c r="BX264" i="2" s="1"/>
  <c r="BU267" i="2" a="1"/>
  <c r="BU267" i="2" s="1"/>
  <c r="BX267" i="2" s="1"/>
  <c r="BU268" i="2" a="1"/>
  <c r="BU268" i="2" s="1"/>
  <c r="BX268" i="2" s="1"/>
  <c r="BU269" i="2" a="1"/>
  <c r="BU269" i="2" s="1"/>
  <c r="BX269" i="2" s="1"/>
  <c r="BU270" i="2" a="1"/>
  <c r="BU270" i="2" s="1"/>
  <c r="BX270" i="2" s="1"/>
  <c r="BU494" i="2" a="1"/>
  <c r="BU494" i="2" s="1"/>
  <c r="BX494" i="2" s="1"/>
  <c r="BU495" i="2" a="1"/>
  <c r="BU495" i="2" s="1"/>
  <c r="BX495" i="2" s="1"/>
  <c r="BU496" i="2" a="1"/>
  <c r="BU496" i="2" s="1"/>
  <c r="BX496" i="2" s="1"/>
  <c r="BU265" i="2" a="1"/>
  <c r="BU265" i="2" s="1"/>
  <c r="BX265" i="2" s="1"/>
  <c r="BU266" i="2" a="1"/>
  <c r="BU266" i="2" s="1"/>
  <c r="BX266" i="2" s="1"/>
  <c r="BU273" i="2" a="1"/>
  <c r="BU273" i="2" s="1"/>
  <c r="BX273" i="2" s="1"/>
  <c r="BU274" i="2" a="1"/>
  <c r="BU274" i="2" s="1"/>
  <c r="BX274" i="2" s="1"/>
  <c r="BU151" i="2" a="1"/>
  <c r="BU151" i="2" s="1"/>
  <c r="BX151" i="2" s="1"/>
  <c r="BU152" i="2" a="1"/>
  <c r="BU152" i="2" s="1"/>
  <c r="BX152" i="2" s="1"/>
  <c r="BU153" i="2" a="1"/>
  <c r="BU153" i="2" s="1"/>
  <c r="BX153" i="2" s="1"/>
  <c r="BU154" i="2" a="1"/>
  <c r="BU154" i="2" s="1"/>
  <c r="BX154" i="2" s="1"/>
  <c r="BU164" i="2" a="1"/>
  <c r="BU164" i="2" s="1"/>
  <c r="BX164" i="2" s="1"/>
  <c r="BU165" i="2" a="1"/>
  <c r="BU165" i="2" s="1"/>
  <c r="BX165" i="2" s="1"/>
  <c r="BU166" i="2" a="1"/>
  <c r="BU166" i="2" s="1"/>
  <c r="BX166" i="2" s="1"/>
  <c r="BU167" i="2" a="1"/>
  <c r="BU167" i="2" s="1"/>
  <c r="BX167" i="2" s="1"/>
  <c r="BU199" i="2" a="1"/>
  <c r="BU199" i="2" s="1"/>
  <c r="BX199" i="2" s="1"/>
  <c r="BU200" i="2" a="1"/>
  <c r="BU200" i="2" s="1"/>
  <c r="BX200" i="2" s="1"/>
  <c r="BU201" i="2" a="1"/>
  <c r="BU201" i="2" s="1"/>
  <c r="BX201" i="2" s="1"/>
  <c r="BU202" i="2" a="1"/>
  <c r="BU202" i="2" s="1"/>
  <c r="BX202" i="2" s="1"/>
  <c r="BU497" i="2" a="1"/>
  <c r="BU497" i="2" s="1"/>
  <c r="BX497" i="2" s="1"/>
  <c r="BU498" i="2" a="1"/>
  <c r="BU498" i="2" s="1"/>
  <c r="BX498" i="2" s="1"/>
  <c r="BU499" i="2" a="1"/>
  <c r="BU499" i="2" s="1"/>
  <c r="BX499" i="2" s="1"/>
  <c r="BU500" i="2" a="1"/>
  <c r="BU500" i="2" s="1"/>
  <c r="BX500" i="2" s="1"/>
  <c r="BU168" i="2" a="1"/>
  <c r="BU168" i="2" s="1"/>
  <c r="BX168" i="2" s="1"/>
  <c r="BU169" i="2" a="1"/>
  <c r="BU169" i="2" s="1"/>
  <c r="BX169" i="2" s="1"/>
  <c r="BU170" i="2" a="1"/>
  <c r="BU170" i="2" s="1"/>
  <c r="BX170" i="2" s="1"/>
  <c r="BU171" i="2" a="1"/>
  <c r="BU171" i="2" s="1"/>
  <c r="BX171" i="2" s="1"/>
  <c r="BU172" i="2" a="1"/>
  <c r="BU172" i="2" s="1"/>
  <c r="BX172" i="2" s="1"/>
  <c r="BU155" i="2" a="1"/>
  <c r="BU155" i="2" s="1"/>
  <c r="BX155" i="2" s="1"/>
  <c r="BU156" i="2" a="1"/>
  <c r="BU156" i="2" s="1"/>
  <c r="BX156" i="2" s="1"/>
  <c r="BU157" i="2" a="1"/>
  <c r="BU157" i="2" s="1"/>
  <c r="BX157" i="2" s="1"/>
  <c r="BU158" i="2" a="1"/>
  <c r="BU158" i="2" s="1"/>
  <c r="BX158" i="2" s="1"/>
  <c r="BU159" i="2" a="1"/>
  <c r="BU159" i="2" s="1"/>
  <c r="BX159" i="2" s="1"/>
  <c r="BU173" i="2" a="1"/>
  <c r="BU173" i="2" s="1"/>
  <c r="BX173" i="2" s="1"/>
  <c r="BU174" i="2" a="1"/>
  <c r="BU174" i="2" s="1"/>
  <c r="BX174" i="2" s="1"/>
  <c r="BU175" i="2" a="1"/>
  <c r="BU175" i="2" s="1"/>
  <c r="BX175" i="2" s="1"/>
  <c r="BU176" i="2" a="1"/>
  <c r="BU176" i="2" s="1"/>
  <c r="BX176" i="2" s="1"/>
  <c r="BU177" i="2" a="1"/>
  <c r="BU177" i="2" s="1"/>
  <c r="BX177" i="2" s="1"/>
  <c r="BU203" i="2" a="1"/>
  <c r="BU203" i="2" s="1"/>
  <c r="BX203" i="2" s="1"/>
  <c r="BU204" i="2" a="1"/>
  <c r="BU204" i="2" s="1"/>
  <c r="BX204" i="2" s="1"/>
  <c r="BU205" i="2" a="1"/>
  <c r="BU205" i="2" s="1"/>
  <c r="BX205" i="2" s="1"/>
  <c r="BU206" i="2" a="1"/>
  <c r="BU206" i="2" s="1"/>
  <c r="BX206" i="2" s="1"/>
  <c r="BU207" i="2" a="1"/>
  <c r="BU207" i="2" s="1"/>
  <c r="BX207" i="2" s="1"/>
  <c r="BU208" i="2" a="1"/>
  <c r="BU208" i="2" s="1"/>
  <c r="BX208" i="2" s="1"/>
  <c r="BU209" i="2" a="1"/>
  <c r="BU209" i="2" s="1"/>
  <c r="BX209" i="2" s="1"/>
  <c r="BU210" i="2" a="1"/>
  <c r="BU210" i="2" s="1"/>
  <c r="BX210" i="2" s="1"/>
  <c r="BU186" i="2" a="1"/>
  <c r="BU186" i="2" s="1"/>
  <c r="BX186" i="2" s="1"/>
  <c r="BU187" i="2" a="1"/>
  <c r="BU187" i="2" s="1"/>
  <c r="BX187" i="2" s="1"/>
  <c r="BU188" i="2" a="1"/>
  <c r="BU188" i="2" s="1"/>
  <c r="BX188" i="2" s="1"/>
  <c r="BU189" i="2" a="1"/>
  <c r="BU189" i="2" s="1"/>
  <c r="BX189" i="2" s="1"/>
  <c r="BU190" i="2" a="1"/>
  <c r="BU190" i="2" s="1"/>
  <c r="BX190" i="2" s="1"/>
  <c r="BU191" i="2" a="1"/>
  <c r="BU191" i="2" s="1"/>
  <c r="BX191" i="2" s="1"/>
  <c r="BU192" i="2" a="1"/>
  <c r="BU192" i="2" s="1"/>
  <c r="BX192" i="2" s="1"/>
  <c r="BU193" i="2" a="1"/>
  <c r="BU193" i="2" s="1"/>
  <c r="BX193" i="2" s="1"/>
  <c r="BU147" i="2" a="1"/>
  <c r="BU147" i="2" s="1"/>
  <c r="BX147" i="2" s="1"/>
  <c r="BU148" i="2" a="1"/>
  <c r="BU148" i="2" s="1"/>
  <c r="BX148" i="2" s="1"/>
  <c r="BU149" i="2" a="1"/>
  <c r="BU149" i="2" s="1"/>
  <c r="BX149" i="2" s="1"/>
  <c r="BU150" i="2" a="1"/>
  <c r="BU150" i="2" s="1"/>
  <c r="BX150" i="2" s="1"/>
  <c r="BU178" i="2" a="1"/>
  <c r="BU178" i="2" s="1"/>
  <c r="BX178" i="2" s="1"/>
  <c r="BU179" i="2" a="1"/>
  <c r="BU179" i="2" s="1"/>
  <c r="BX179" i="2" s="1"/>
  <c r="BU180" i="2" a="1"/>
  <c r="BU180" i="2" s="1"/>
  <c r="BX180" i="2" s="1"/>
  <c r="BU181" i="2" a="1"/>
  <c r="BU181" i="2" s="1"/>
  <c r="BX181" i="2" s="1"/>
  <c r="BU182" i="2" a="1"/>
  <c r="BU182" i="2" s="1"/>
  <c r="BX182" i="2" s="1"/>
  <c r="BU183" i="2" a="1"/>
  <c r="BU183" i="2" s="1"/>
  <c r="BX183" i="2" s="1"/>
  <c r="BU184" i="2" a="1"/>
  <c r="BU184" i="2" s="1"/>
  <c r="BX184" i="2" s="1"/>
  <c r="BU185" i="2" a="1"/>
  <c r="BU185" i="2" s="1"/>
  <c r="BX185" i="2" s="1"/>
  <c r="BU195" i="2" a="1"/>
  <c r="BU195" i="2" s="1"/>
  <c r="BX195" i="2" s="1"/>
  <c r="BU196" i="2" a="1"/>
  <c r="BU196" i="2" s="1"/>
  <c r="BX196" i="2" s="1"/>
  <c r="BU197" i="2" a="1"/>
  <c r="BU197" i="2" s="1"/>
  <c r="BX197" i="2" s="1"/>
  <c r="BU198" i="2" a="1"/>
  <c r="BU198" i="2" s="1"/>
  <c r="BX198" i="2" s="1"/>
  <c r="BU211" i="2" a="1"/>
  <c r="BU211" i="2" s="1"/>
  <c r="BX211" i="2" s="1"/>
  <c r="BU212" i="2" a="1"/>
  <c r="BU212" i="2" s="1"/>
  <c r="BX212" i="2" s="1"/>
  <c r="BU213" i="2" a="1"/>
  <c r="BU213" i="2" s="1"/>
  <c r="BX213" i="2" s="1"/>
  <c r="BU214" i="2" a="1"/>
  <c r="BU214" i="2" s="1"/>
  <c r="BX214" i="2" s="1"/>
  <c r="BU215" i="2" a="1"/>
  <c r="BU215" i="2" s="1"/>
  <c r="BX215" i="2" s="1"/>
  <c r="BU216" i="2" a="1"/>
  <c r="BU216" i="2" s="1"/>
  <c r="BX216" i="2" s="1"/>
  <c r="BU217" i="2" a="1"/>
  <c r="BU217" i="2" s="1"/>
  <c r="BX217" i="2" s="1"/>
  <c r="BU218" i="2" a="1"/>
  <c r="BU218" i="2" s="1"/>
  <c r="BX218" i="2" s="1"/>
  <c r="BU219" i="2" a="1"/>
  <c r="BU219" i="2" s="1"/>
  <c r="BX219" i="2" s="1"/>
  <c r="BU220" i="2" a="1"/>
  <c r="BU220" i="2" s="1"/>
  <c r="BX220" i="2" s="1"/>
  <c r="BU221" i="2" a="1"/>
  <c r="BU221" i="2" s="1"/>
  <c r="BX221" i="2" s="1"/>
  <c r="BU222" i="2" a="1"/>
  <c r="BU222" i="2" s="1"/>
  <c r="BX222" i="2" s="1"/>
  <c r="BU223" i="2" a="1"/>
  <c r="BU223" i="2" s="1"/>
  <c r="BX223" i="2" s="1"/>
  <c r="BU224" i="2" a="1"/>
  <c r="BU224" i="2" s="1"/>
  <c r="BX224" i="2" s="1"/>
  <c r="BU160" i="2" a="1"/>
  <c r="BU160" i="2" s="1"/>
  <c r="BX160" i="2" s="1"/>
  <c r="BU161" i="2" a="1"/>
  <c r="BU161" i="2" s="1"/>
  <c r="BX161" i="2" s="1"/>
  <c r="BU162" i="2" a="1"/>
  <c r="BU162" i="2" s="1"/>
  <c r="BX162" i="2" s="1"/>
  <c r="BU163" i="2" a="1"/>
  <c r="BU163" i="2" s="1"/>
  <c r="BX163" i="2" s="1"/>
  <c r="BU56" i="2" a="1"/>
  <c r="BU56" i="2" s="1"/>
  <c r="BX56" i="2" s="1"/>
  <c r="BU57" i="2" a="1"/>
  <c r="BU57" i="2" s="1"/>
  <c r="BX57" i="2" s="1"/>
  <c r="BU64" i="2" a="1"/>
  <c r="BU64" i="2" s="1"/>
  <c r="BX64" i="2" s="1"/>
  <c r="BU58" i="2" a="1"/>
  <c r="BU58" i="2" s="1"/>
  <c r="BX58" i="2" s="1"/>
  <c r="BU59" i="2" a="1"/>
  <c r="BU59" i="2" s="1"/>
  <c r="BX59" i="2" s="1"/>
  <c r="BU60" i="2" a="1"/>
  <c r="BU60" i="2" s="1"/>
  <c r="BX60" i="2" s="1"/>
  <c r="BU61" i="2" a="1"/>
  <c r="BU61" i="2" s="1"/>
  <c r="BX61" i="2" s="1"/>
  <c r="BU62" i="2" a="1"/>
  <c r="BU62" i="2" s="1"/>
  <c r="BX62" i="2" s="1"/>
  <c r="BU63" i="2" a="1"/>
  <c r="BU63" i="2" s="1"/>
  <c r="BX63" i="2" s="1"/>
  <c r="BU225" i="2" a="1"/>
  <c r="BU225" i="2" s="1"/>
  <c r="BX225" i="2" s="1"/>
  <c r="BU16" i="2" a="1"/>
  <c r="BU16" i="2" s="1"/>
  <c r="BX16" i="2" s="1"/>
  <c r="BU7" i="2" a="1"/>
  <c r="BU7" i="2" s="1"/>
  <c r="BX7" i="2" s="1"/>
  <c r="BU501" i="2" a="1"/>
  <c r="BU501" i="2" s="1"/>
  <c r="BX501" i="2" s="1"/>
  <c r="BU502" i="2" a="1"/>
  <c r="BU502" i="2" s="1"/>
  <c r="BX502" i="2" s="1"/>
  <c r="BU27" i="2" a="1"/>
  <c r="BU27" i="2" s="1"/>
  <c r="BX27" i="2" s="1"/>
  <c r="BY27" i="2" s="1"/>
  <c r="BU28" i="2" a="1"/>
  <c r="BU28" i="2" s="1"/>
  <c r="BX28" i="2" s="1"/>
  <c r="BY28" i="2" s="1"/>
  <c r="BU29" i="2" a="1"/>
  <c r="BU29" i="2" s="1"/>
  <c r="BX29" i="2" s="1"/>
  <c r="BY29" i="2" s="1"/>
  <c r="BU31" i="2" a="1"/>
  <c r="BU31" i="2" s="1"/>
  <c r="BX31" i="2" s="1"/>
  <c r="BY31" i="2" s="1"/>
  <c r="BU32" i="2" a="1"/>
  <c r="BU32" i="2" s="1"/>
  <c r="BX32" i="2" s="1"/>
  <c r="BY32" i="2" s="1"/>
  <c r="BU30" i="2" a="1"/>
  <c r="BU30" i="2" s="1"/>
  <c r="BX30" i="2" s="1"/>
  <c r="BY30" i="2" s="1"/>
  <c r="BU34" i="2" a="1"/>
  <c r="BU34" i="2" s="1"/>
  <c r="BX34" i="2" s="1"/>
  <c r="BY34" i="2" s="1"/>
  <c r="BU33" i="2" a="1"/>
  <c r="BU33" i="2" s="1"/>
  <c r="BX33" i="2" s="1"/>
  <c r="BY33" i="2" s="1"/>
  <c r="BU504" i="2" a="1"/>
  <c r="BU504" i="2" s="1"/>
  <c r="BX504" i="2" s="1"/>
  <c r="BU426" i="2" a="1"/>
  <c r="BU426" i="2" s="1"/>
  <c r="BX426" i="2" s="1"/>
  <c r="BU429" i="2" a="1"/>
  <c r="BU429" i="2" s="1"/>
  <c r="BX429" i="2" s="1"/>
  <c r="BY429" i="2" s="1"/>
  <c r="BU427" i="2" a="1"/>
  <c r="BU427" i="2" s="1"/>
  <c r="BX427" i="2" s="1"/>
  <c r="BU422" i="2" a="1"/>
  <c r="BU422" i="2" s="1"/>
  <c r="BX422" i="2" s="1"/>
  <c r="BU428" i="2" a="1"/>
  <c r="BU428" i="2" s="1"/>
  <c r="BX428" i="2" s="1"/>
  <c r="BU435" i="2" a="1"/>
  <c r="BU435" i="2" s="1"/>
  <c r="BX435" i="2" s="1"/>
  <c r="BU409" i="2" a="1"/>
  <c r="BU409" i="2" s="1"/>
  <c r="BX409" i="2" s="1"/>
  <c r="BU383" i="2" a="1"/>
  <c r="BU383" i="2" s="1"/>
  <c r="BX383" i="2" s="1"/>
  <c r="BY383" i="2" s="1"/>
  <c r="BU434" i="2" a="1"/>
  <c r="BU434" i="2" s="1"/>
  <c r="BX434" i="2" s="1"/>
  <c r="BU389" i="2" a="1"/>
  <c r="BU389" i="2" s="1"/>
  <c r="BX389" i="2" s="1"/>
  <c r="BU382" i="2" a="1"/>
  <c r="BU382" i="2" s="1"/>
  <c r="BX382" i="2" s="1"/>
  <c r="BU459" i="2" a="1"/>
  <c r="BU459" i="2" s="1"/>
  <c r="BX459" i="2" s="1"/>
  <c r="BU371" i="2" a="1"/>
  <c r="BU371" i="2" s="1"/>
  <c r="BX371" i="2" s="1"/>
  <c r="BU454" i="2" a="1"/>
  <c r="BU454" i="2" s="1"/>
  <c r="BX454" i="2" s="1"/>
  <c r="BU372" i="2" a="1"/>
  <c r="BU372" i="2" s="1"/>
  <c r="BX372" i="2" s="1"/>
  <c r="BU381" i="2" a="1"/>
  <c r="BU381" i="2" s="1"/>
  <c r="BX381" i="2" s="1"/>
  <c r="BU393" i="2" a="1"/>
  <c r="BU393" i="2" s="1"/>
  <c r="BX393" i="2" s="1"/>
  <c r="BU397" i="2" a="1"/>
  <c r="BU397" i="2" s="1"/>
  <c r="BX397" i="2" s="1"/>
  <c r="BU398" i="2" a="1"/>
  <c r="BU398" i="2" s="1"/>
  <c r="BX398" i="2" s="1"/>
  <c r="BU414" i="2" a="1"/>
  <c r="BU414" i="2" s="1"/>
  <c r="BX414" i="2" s="1"/>
  <c r="BU390" i="2" a="1"/>
  <c r="BU390" i="2" s="1"/>
  <c r="BX390" i="2" s="1"/>
  <c r="BU436" i="2" a="1"/>
  <c r="BU436" i="2" s="1"/>
  <c r="BX436" i="2" s="1"/>
  <c r="BU391" i="2" a="1"/>
  <c r="BU391" i="2" s="1"/>
  <c r="BX391" i="2" s="1"/>
  <c r="BY391" i="2" s="1"/>
  <c r="BU407" i="2" a="1"/>
  <c r="BU407" i="2" s="1"/>
  <c r="BX407" i="2" s="1"/>
  <c r="BU439" i="2" a="1"/>
  <c r="BU439" i="2" s="1"/>
  <c r="BX439" i="2" s="1"/>
  <c r="BU408" i="2" a="1"/>
  <c r="BU408" i="2" s="1"/>
  <c r="BX408" i="2" s="1"/>
  <c r="BU376" i="2" a="1"/>
  <c r="BU376" i="2" s="1"/>
  <c r="BX376" i="2" s="1"/>
  <c r="BU438" i="2" a="1"/>
  <c r="BU438" i="2" s="1"/>
  <c r="BX438" i="2" s="1"/>
  <c r="BU385" i="2" a="1"/>
  <c r="BU385" i="2" s="1"/>
  <c r="BX385" i="2" s="1"/>
  <c r="BU447" i="2" a="1"/>
  <c r="BU447" i="2" s="1"/>
  <c r="BX447" i="2" s="1"/>
  <c r="BU448" i="2" a="1"/>
  <c r="BU448" i="2" s="1"/>
  <c r="BX448" i="2" s="1"/>
  <c r="BU392" i="2" a="1"/>
  <c r="BU392" i="2" s="1"/>
  <c r="BX392" i="2" s="1"/>
  <c r="BU437" i="2" a="1"/>
  <c r="BU437" i="2" s="1"/>
  <c r="BX437" i="2" s="1"/>
  <c r="BU446" i="2" a="1"/>
  <c r="BU446" i="2" s="1"/>
  <c r="BX446" i="2" s="1"/>
  <c r="BU384" i="2" a="1"/>
  <c r="BU384" i="2" s="1"/>
  <c r="BX384" i="2" s="1"/>
  <c r="BY384" i="2" s="1"/>
  <c r="BU410" i="2" a="1"/>
  <c r="BU410" i="2" s="1"/>
  <c r="BX410" i="2" s="1"/>
  <c r="BU415" i="2" a="1"/>
  <c r="BU415" i="2" s="1"/>
  <c r="BX415" i="2" s="1"/>
  <c r="BU417" i="2" a="1"/>
  <c r="BU417" i="2" s="1"/>
  <c r="BX417" i="2" s="1"/>
  <c r="BU460" i="2" a="1"/>
  <c r="BU460" i="2" s="1"/>
  <c r="BX460" i="2" s="1"/>
  <c r="BU433" i="2" a="1"/>
  <c r="BU433" i="2" s="1"/>
  <c r="BX433" i="2" s="1"/>
  <c r="BU418" i="2" a="1"/>
  <c r="BU418" i="2" s="1"/>
  <c r="BX418" i="2" s="1"/>
  <c r="BY418" i="2" s="1"/>
  <c r="BU419" i="2" a="1"/>
  <c r="BU419" i="2" s="1"/>
  <c r="BX419" i="2" s="1"/>
  <c r="BY419" i="2" s="1"/>
  <c r="BU420" i="2" a="1"/>
  <c r="BU420" i="2" s="1"/>
  <c r="BX420" i="2" s="1"/>
  <c r="BY420" i="2" s="1"/>
  <c r="BU421" i="2" a="1"/>
  <c r="BU421" i="2" s="1"/>
  <c r="BX421" i="2" s="1"/>
  <c r="BY421" i="2" s="1"/>
  <c r="BW36" i="2" a="1"/>
  <c r="BW36" i="2" s="1"/>
  <c r="BW38" i="2" a="1"/>
  <c r="BW38" i="2" s="1"/>
  <c r="BW39" i="2" a="1"/>
  <c r="BW39" i="2" s="1"/>
  <c r="BW40" i="2" a="1"/>
  <c r="BW40" i="2" s="1"/>
  <c r="BW41" i="2" a="1"/>
  <c r="BW41" i="2" s="1"/>
  <c r="BW42" i="2" a="1"/>
  <c r="BW42" i="2" s="1"/>
  <c r="BW43" i="2" a="1"/>
  <c r="BW43" i="2" s="1"/>
  <c r="BW44" i="2" a="1"/>
  <c r="BW44" i="2" s="1"/>
  <c r="BW45" i="2" a="1"/>
  <c r="BW45" i="2" s="1"/>
  <c r="BW46" i="2" a="1"/>
  <c r="BW46" i="2" s="1"/>
  <c r="BW47" i="2" a="1"/>
  <c r="BW47" i="2" s="1"/>
  <c r="BW48" i="2" a="1"/>
  <c r="BW48" i="2" s="1"/>
  <c r="BW49" i="2" a="1"/>
  <c r="BW49" i="2" s="1"/>
  <c r="BW50" i="2" a="1"/>
  <c r="BW50" i="2" s="1"/>
  <c r="BW51" i="2" a="1"/>
  <c r="BW51" i="2" s="1"/>
  <c r="BW52" i="2" a="1"/>
  <c r="BW52" i="2" s="1"/>
  <c r="BW53" i="2" a="1"/>
  <c r="BW53" i="2" s="1"/>
  <c r="BW54" i="2" a="1"/>
  <c r="BW54" i="2" s="1"/>
  <c r="BW55" i="2" a="1"/>
  <c r="BW55" i="2" s="1"/>
  <c r="BW283" i="2" a="1"/>
  <c r="BW283" i="2" s="1"/>
  <c r="BW284" i="2" a="1"/>
  <c r="BW284" i="2" s="1"/>
  <c r="BW285" i="2" a="1"/>
  <c r="BW285" i="2" s="1"/>
  <c r="BW286" i="2" a="1"/>
  <c r="BW286" i="2" s="1"/>
  <c r="BW287" i="2" a="1"/>
  <c r="BW287" i="2" s="1"/>
  <c r="BW288" i="2" a="1"/>
  <c r="BW288" i="2" s="1"/>
  <c r="BW289" i="2" a="1"/>
  <c r="BW289" i="2" s="1"/>
  <c r="BW290" i="2" a="1"/>
  <c r="BW290" i="2" s="1"/>
  <c r="BW291" i="2" a="1"/>
  <c r="BW291" i="2" s="1"/>
  <c r="BW292" i="2" a="1"/>
  <c r="BW292" i="2" s="1"/>
  <c r="BW293" i="2" a="1"/>
  <c r="BW293" i="2" s="1"/>
  <c r="BW294" i="2" a="1"/>
  <c r="BW294" i="2" s="1"/>
  <c r="BW295" i="2" a="1"/>
  <c r="BW295" i="2" s="1"/>
  <c r="BW296" i="2" a="1"/>
  <c r="BW296" i="2" s="1"/>
  <c r="BW297" i="2" a="1"/>
  <c r="BW297" i="2" s="1"/>
  <c r="BW298" i="2" a="1"/>
  <c r="BW298" i="2" s="1"/>
  <c r="BW299" i="2" a="1"/>
  <c r="BW299" i="2" s="1"/>
  <c r="BW301" i="2" a="1"/>
  <c r="BW301" i="2" s="1"/>
  <c r="BW484" i="2" a="1"/>
  <c r="BW484" i="2" s="1"/>
  <c r="BW485" i="2" a="1"/>
  <c r="BW485" i="2" s="1"/>
  <c r="BW486" i="2" a="1"/>
  <c r="BW486" i="2" s="1"/>
  <c r="BW304" i="2" a="1"/>
  <c r="BW304" i="2" s="1"/>
  <c r="BW305" i="2" a="1"/>
  <c r="BW305" i="2" s="1"/>
  <c r="BW302" i="2" a="1"/>
  <c r="BW302" i="2" s="1"/>
  <c r="BW303" i="2" a="1"/>
  <c r="BW303" i="2" s="1"/>
  <c r="BW306" i="2" a="1"/>
  <c r="BW306" i="2" s="1"/>
  <c r="BW300" i="2" a="1"/>
  <c r="BW300" i="2" s="1"/>
  <c r="BW488" i="2" a="1"/>
  <c r="BW488" i="2" s="1"/>
  <c r="BW275" i="2" a="1"/>
  <c r="BW275" i="2" s="1"/>
  <c r="BW276" i="2" a="1"/>
  <c r="BW276" i="2" s="1"/>
  <c r="BW277" i="2" a="1"/>
  <c r="BW277" i="2" s="1"/>
  <c r="BW278" i="2" a="1"/>
  <c r="BW278" i="2" s="1"/>
  <c r="BW279" i="2" a="1"/>
  <c r="BW279" i="2" s="1"/>
  <c r="BW280" i="2" a="1"/>
  <c r="BW280" i="2" s="1"/>
  <c r="BW281" i="2" a="1"/>
  <c r="BW281" i="2" s="1"/>
  <c r="BW282" i="2" a="1"/>
  <c r="BW282" i="2" s="1"/>
  <c r="BW66" i="2" a="1"/>
  <c r="BW66" i="2" s="1"/>
  <c r="BW67" i="2" a="1"/>
  <c r="BW67" i="2" s="1"/>
  <c r="BW68" i="2" a="1"/>
  <c r="BW68" i="2" s="1"/>
  <c r="BW69" i="2" a="1"/>
  <c r="BW69" i="2" s="1"/>
  <c r="BW70" i="2" a="1"/>
  <c r="BW70" i="2" s="1"/>
  <c r="BW71" i="2" a="1"/>
  <c r="BW71" i="2" s="1"/>
  <c r="BW72" i="2" a="1"/>
  <c r="BW72" i="2" s="1"/>
  <c r="BW73" i="2" a="1"/>
  <c r="BW73" i="2" s="1"/>
  <c r="BW74" i="2" a="1"/>
  <c r="BW74" i="2" s="1"/>
  <c r="BW75" i="2" a="1"/>
  <c r="BW75" i="2" s="1"/>
  <c r="BW76" i="2" a="1"/>
  <c r="BW76" i="2" s="1"/>
  <c r="BW77" i="2" a="1"/>
  <c r="BW77" i="2" s="1"/>
  <c r="BW89" i="2" a="1"/>
  <c r="BW89" i="2" s="1"/>
  <c r="BW90" i="2" a="1"/>
  <c r="BW90" i="2" s="1"/>
  <c r="BW91" i="2" a="1"/>
  <c r="BW91" i="2" s="1"/>
  <c r="BW92" i="2" a="1"/>
  <c r="BW92" i="2" s="1"/>
  <c r="BW93" i="2" a="1"/>
  <c r="BW93" i="2" s="1"/>
  <c r="BW94" i="2" a="1"/>
  <c r="BW94" i="2" s="1"/>
  <c r="BW95" i="2" a="1"/>
  <c r="BW95" i="2" s="1"/>
  <c r="BW96" i="2" a="1"/>
  <c r="BW96" i="2" s="1"/>
  <c r="BW78" i="2" a="1"/>
  <c r="BW78" i="2" s="1"/>
  <c r="BW79" i="2" a="1"/>
  <c r="BW79" i="2" s="1"/>
  <c r="BW80" i="2" a="1"/>
  <c r="BW80" i="2" s="1"/>
  <c r="BW81" i="2" a="1"/>
  <c r="BW81" i="2" s="1"/>
  <c r="BW85" i="2" a="1"/>
  <c r="BW85" i="2" s="1"/>
  <c r="BW86" i="2" a="1"/>
  <c r="BW86" i="2" s="1"/>
  <c r="BW87" i="2" a="1"/>
  <c r="BW87" i="2" s="1"/>
  <c r="BW88" i="2" a="1"/>
  <c r="BW88" i="2" s="1"/>
  <c r="BW97" i="2" a="1"/>
  <c r="BW97" i="2" s="1"/>
  <c r="BW98" i="2" a="1"/>
  <c r="BW98" i="2" s="1"/>
  <c r="BW99" i="2" a="1"/>
  <c r="BW99" i="2" s="1"/>
  <c r="BW100" i="2" a="1"/>
  <c r="BW100" i="2" s="1"/>
  <c r="BW82" i="2" a="1"/>
  <c r="BW82" i="2" s="1"/>
  <c r="BW117" i="2" a="1"/>
  <c r="BW117" i="2" s="1"/>
  <c r="BW118" i="2" a="1"/>
  <c r="BW118" i="2" s="1"/>
  <c r="BW119" i="2" a="1"/>
  <c r="BW119" i="2" s="1"/>
  <c r="BW120" i="2" a="1"/>
  <c r="BW120" i="2" s="1"/>
  <c r="BW113" i="2" a="1"/>
  <c r="BW113" i="2" s="1"/>
  <c r="BW114" i="2" a="1"/>
  <c r="BW114" i="2" s="1"/>
  <c r="BW115" i="2" a="1"/>
  <c r="BW115" i="2" s="1"/>
  <c r="BW116" i="2" a="1"/>
  <c r="BW116" i="2" s="1"/>
  <c r="BW83" i="2" a="1"/>
  <c r="BW83" i="2" s="1"/>
  <c r="BW84" i="2" a="1"/>
  <c r="BW84" i="2" s="1"/>
  <c r="BW101" i="2" a="1"/>
  <c r="BW101" i="2" s="1"/>
  <c r="BW102" i="2" a="1"/>
  <c r="BW102" i="2" s="1"/>
  <c r="BW103" i="2" a="1"/>
  <c r="BW103" i="2" s="1"/>
  <c r="BW104" i="2" a="1"/>
  <c r="BW104" i="2" s="1"/>
  <c r="BW105" i="2" a="1"/>
  <c r="BW105" i="2" s="1"/>
  <c r="BW106" i="2" a="1"/>
  <c r="BW106" i="2" s="1"/>
  <c r="BW107" i="2" a="1"/>
  <c r="BW107" i="2" s="1"/>
  <c r="BW108" i="2" a="1"/>
  <c r="BW108" i="2" s="1"/>
  <c r="BW109" i="2" a="1"/>
  <c r="BW109" i="2" s="1"/>
  <c r="BW110" i="2" a="1"/>
  <c r="BW110" i="2" s="1"/>
  <c r="BW111" i="2" a="1"/>
  <c r="BW111" i="2" s="1"/>
  <c r="BW112" i="2" a="1"/>
  <c r="BW112" i="2" s="1"/>
  <c r="BW327" i="2" a="1"/>
  <c r="BW327" i="2" s="1"/>
  <c r="BW328" i="2" a="1"/>
  <c r="BW328" i="2" s="1"/>
  <c r="BW329" i="2" a="1"/>
  <c r="BW329" i="2" s="1"/>
  <c r="BW340" i="2" a="1"/>
  <c r="BW340" i="2" s="1"/>
  <c r="BW341" i="2" a="1"/>
  <c r="BW341" i="2" s="1"/>
  <c r="BW342" i="2" a="1"/>
  <c r="BW342" i="2" s="1"/>
  <c r="BW359" i="2" a="1"/>
  <c r="BW359" i="2" s="1"/>
  <c r="BW360" i="2" a="1"/>
  <c r="BW360" i="2" s="1"/>
  <c r="BW361" i="2" a="1"/>
  <c r="BW361" i="2" s="1"/>
  <c r="BW313" i="2" a="1"/>
  <c r="BW313" i="2" s="1"/>
  <c r="BW314" i="2" a="1"/>
  <c r="BW314" i="2" s="1"/>
  <c r="BW315" i="2" a="1"/>
  <c r="BW315" i="2" s="1"/>
  <c r="BW346" i="2" a="1"/>
  <c r="BW346" i="2" s="1"/>
  <c r="BW347" i="2" a="1"/>
  <c r="BW347" i="2" s="1"/>
  <c r="BW348" i="2" a="1"/>
  <c r="BW348" i="2" s="1"/>
  <c r="BW323" i="2" a="1"/>
  <c r="BW323" i="2" s="1"/>
  <c r="BW324" i="2" a="1"/>
  <c r="BW324" i="2" s="1"/>
  <c r="BW325" i="2" a="1"/>
  <c r="BW325" i="2" s="1"/>
  <c r="BW326" i="2" a="1"/>
  <c r="BW326" i="2" s="1"/>
  <c r="BW334" i="2" a="1"/>
  <c r="BW334" i="2" s="1"/>
  <c r="BW335" i="2" a="1"/>
  <c r="BW335" i="2" s="1"/>
  <c r="BW336" i="2" a="1"/>
  <c r="BW336" i="2" s="1"/>
  <c r="BW320" i="2" a="1"/>
  <c r="BW320" i="2" s="1"/>
  <c r="BW321" i="2" a="1"/>
  <c r="BW321" i="2" s="1"/>
  <c r="BW322" i="2" a="1"/>
  <c r="BW322" i="2" s="1"/>
  <c r="BW331" i="2" a="1"/>
  <c r="BW331" i="2" s="1"/>
  <c r="BW332" i="2" a="1"/>
  <c r="BW332" i="2" s="1"/>
  <c r="BW333" i="2" a="1"/>
  <c r="BW333" i="2" s="1"/>
  <c r="BW349" i="2" a="1"/>
  <c r="BW349" i="2" s="1"/>
  <c r="BW350" i="2" a="1"/>
  <c r="BW350" i="2" s="1"/>
  <c r="BW351" i="2" a="1"/>
  <c r="BW351" i="2" s="1"/>
  <c r="BW353" i="2" a="1"/>
  <c r="BW353" i="2" s="1"/>
  <c r="BW354" i="2" a="1"/>
  <c r="BW354" i="2" s="1"/>
  <c r="BW355" i="2" a="1"/>
  <c r="BW355" i="2" s="1"/>
  <c r="BW370" i="2" a="1"/>
  <c r="BW370" i="2" s="1"/>
  <c r="BW307" i="2" a="1"/>
  <c r="BW307" i="2" s="1"/>
  <c r="BW308" i="2" a="1"/>
  <c r="BW308" i="2" s="1"/>
  <c r="BW309" i="2" a="1"/>
  <c r="BW309" i="2" s="1"/>
  <c r="BW337" i="2" a="1"/>
  <c r="BW337" i="2" s="1"/>
  <c r="BW338" i="2" a="1"/>
  <c r="BW338" i="2" s="1"/>
  <c r="BW339" i="2" a="1"/>
  <c r="BW339" i="2" s="1"/>
  <c r="BW356" i="2" a="1"/>
  <c r="BW356" i="2" s="1"/>
  <c r="BW357" i="2" a="1"/>
  <c r="BW357" i="2" s="1"/>
  <c r="BW358" i="2" a="1"/>
  <c r="BW358" i="2" s="1"/>
  <c r="BW310" i="2" a="1"/>
  <c r="BW310" i="2" s="1"/>
  <c r="BW311" i="2" a="1"/>
  <c r="BW311" i="2" s="1"/>
  <c r="BW312" i="2" a="1"/>
  <c r="BW312" i="2" s="1"/>
  <c r="BW343" i="2" a="1"/>
  <c r="BW343" i="2" s="1"/>
  <c r="BW344" i="2" a="1"/>
  <c r="BW344" i="2" s="1"/>
  <c r="BW345" i="2" a="1"/>
  <c r="BW345" i="2" s="1"/>
  <c r="BW316" i="2" a="1"/>
  <c r="BW316" i="2" s="1"/>
  <c r="BW317" i="2" a="1"/>
  <c r="BW317" i="2" s="1"/>
  <c r="BW318" i="2" a="1"/>
  <c r="BW318" i="2" s="1"/>
  <c r="BW362" i="2" a="1"/>
  <c r="BW362" i="2" s="1"/>
  <c r="BW363" i="2" a="1"/>
  <c r="BW363" i="2" s="1"/>
  <c r="BW364" i="2" a="1"/>
  <c r="BW364" i="2" s="1"/>
  <c r="BW365" i="2" a="1"/>
  <c r="BW365" i="2" s="1"/>
  <c r="BW366" i="2" a="1"/>
  <c r="BW366" i="2" s="1"/>
  <c r="BW367" i="2" a="1"/>
  <c r="BW367" i="2" s="1"/>
  <c r="BW368" i="2" a="1"/>
  <c r="BW368" i="2" s="1"/>
  <c r="BW369" i="2" a="1"/>
  <c r="BW369" i="2" s="1"/>
  <c r="BW231" i="2" a="1"/>
  <c r="BW231" i="2" s="1"/>
  <c r="BW232" i="2" a="1"/>
  <c r="BW232" i="2" s="1"/>
  <c r="BW233" i="2" a="1"/>
  <c r="BW233" i="2" s="1"/>
  <c r="BW226" i="2" a="1"/>
  <c r="BW226" i="2" s="1"/>
  <c r="BW227" i="2" a="1"/>
  <c r="BW227" i="2" s="1"/>
  <c r="BW228" i="2" a="1"/>
  <c r="BW228" i="2" s="1"/>
  <c r="BW229" i="2" a="1"/>
  <c r="BW229" i="2" s="1"/>
  <c r="BW230" i="2" a="1"/>
  <c r="BW230" i="2" s="1"/>
  <c r="BW235" i="2" a="1"/>
  <c r="BW235" i="2" s="1"/>
  <c r="BW236" i="2" a="1"/>
  <c r="BW236" i="2" s="1"/>
  <c r="BW237" i="2" a="1"/>
  <c r="BW237" i="2" s="1"/>
  <c r="BW17" i="2" a="1"/>
  <c r="BW17" i="2" s="1"/>
  <c r="BW18" i="2" a="1"/>
  <c r="BW18" i="2" s="1"/>
  <c r="BW19" i="2" a="1"/>
  <c r="BW19" i="2" s="1"/>
  <c r="BW20" i="2" a="1"/>
  <c r="BW20" i="2" s="1"/>
  <c r="BW21" i="2" a="1"/>
  <c r="BW21" i="2" s="1"/>
  <c r="BW22" i="2" a="1"/>
  <c r="BW22" i="2" s="1"/>
  <c r="BW11" i="2" a="1"/>
  <c r="BW11" i="2" s="1"/>
  <c r="BW12" i="2" a="1"/>
  <c r="BW12" i="2" s="1"/>
  <c r="BW13" i="2" a="1"/>
  <c r="BW13" i="2" s="1"/>
  <c r="BW14" i="2" a="1"/>
  <c r="BW14" i="2" s="1"/>
  <c r="BW15" i="2" a="1"/>
  <c r="BW15" i="2" s="1"/>
  <c r="BW23" i="2" a="1"/>
  <c r="BW23" i="2" s="1"/>
  <c r="BW24" i="2" a="1"/>
  <c r="BW24" i="2" s="1"/>
  <c r="BW25" i="2" a="1"/>
  <c r="BW25" i="2" s="1"/>
  <c r="BW26" i="2" a="1"/>
  <c r="BW26" i="2" s="1"/>
  <c r="BW8" i="2" a="1"/>
  <c r="BW8" i="2" s="1"/>
  <c r="BW10" i="2" a="1"/>
  <c r="BW10" i="2" s="1"/>
  <c r="BW9" i="2" a="1"/>
  <c r="BW9" i="2" s="1"/>
  <c r="BW234" i="2" a="1"/>
  <c r="BW234" i="2" s="1"/>
  <c r="BW490" i="2" a="1"/>
  <c r="BW490" i="2" s="1"/>
  <c r="BW491" i="2" a="1"/>
  <c r="BW491" i="2" s="1"/>
  <c r="BW492" i="2" a="1"/>
  <c r="BW492" i="2" s="1"/>
  <c r="BW65" i="2" a="1"/>
  <c r="BW65" i="2" s="1"/>
  <c r="BW122" i="2" a="1"/>
  <c r="BW122" i="2" s="1"/>
  <c r="BW123" i="2" a="1"/>
  <c r="BW123" i="2" s="1"/>
  <c r="BW121" i="2" a="1"/>
  <c r="BW121" i="2" s="1"/>
  <c r="BW124" i="2" a="1"/>
  <c r="BW124" i="2" s="1"/>
  <c r="BW125" i="2" a="1"/>
  <c r="BW125" i="2" s="1"/>
  <c r="BW126" i="2" a="1"/>
  <c r="BW126" i="2" s="1"/>
  <c r="BW127" i="2" a="1"/>
  <c r="BW127" i="2" s="1"/>
  <c r="BW128" i="2" a="1"/>
  <c r="BW128" i="2" s="1"/>
  <c r="BW129" i="2" a="1"/>
  <c r="BW129" i="2" s="1"/>
  <c r="BW130" i="2" a="1"/>
  <c r="BW130" i="2" s="1"/>
  <c r="BW131" i="2" a="1"/>
  <c r="BW131" i="2" s="1"/>
  <c r="BW132" i="2" a="1"/>
  <c r="BW132" i="2" s="1"/>
  <c r="BW133" i="2" a="1"/>
  <c r="BW133" i="2" s="1"/>
  <c r="BW134" i="2" a="1"/>
  <c r="BW134" i="2" s="1"/>
  <c r="BW135" i="2" a="1"/>
  <c r="BW135" i="2" s="1"/>
  <c r="BW136" i="2" a="1"/>
  <c r="BW136" i="2" s="1"/>
  <c r="BW137" i="2" a="1"/>
  <c r="BW137" i="2" s="1"/>
  <c r="BW138" i="2" a="1"/>
  <c r="BW138" i="2" s="1"/>
  <c r="BW139" i="2" a="1"/>
  <c r="BW139" i="2" s="1"/>
  <c r="BW140" i="2" a="1"/>
  <c r="BW140" i="2" s="1"/>
  <c r="BW141" i="2" a="1"/>
  <c r="BW141" i="2" s="1"/>
  <c r="BW142" i="2" a="1"/>
  <c r="BW142" i="2" s="1"/>
  <c r="BW143" i="2" a="1"/>
  <c r="BW143" i="2" s="1"/>
  <c r="BW144" i="2" a="1"/>
  <c r="BW144" i="2" s="1"/>
  <c r="BW145" i="2" a="1"/>
  <c r="BW145" i="2" s="1"/>
  <c r="BW146" i="2" a="1"/>
  <c r="BW146" i="2" s="1"/>
  <c r="BW493" i="2" a="1"/>
  <c r="BW493" i="2" s="1"/>
  <c r="BW4" i="2" a="1"/>
  <c r="BW4" i="2" s="1"/>
  <c r="BW5" i="2" a="1"/>
  <c r="BW5" i="2" s="1"/>
  <c r="BW6" i="2" a="1"/>
  <c r="BW6" i="2" s="1"/>
  <c r="BW37" i="2" a="1"/>
  <c r="BW37" i="2" s="1"/>
  <c r="BW483" i="2" a="1"/>
  <c r="BW483" i="2" s="1"/>
  <c r="BW238" i="2" a="1"/>
  <c r="BW238" i="2" s="1"/>
  <c r="BW239" i="2" a="1"/>
  <c r="BW239" i="2" s="1"/>
  <c r="BW246" i="2" a="1"/>
  <c r="BW246" i="2" s="1"/>
  <c r="BW247" i="2" a="1"/>
  <c r="BW247" i="2" s="1"/>
  <c r="BW248" i="2" a="1"/>
  <c r="BW248" i="2" s="1"/>
  <c r="BW249" i="2" a="1"/>
  <c r="BW249" i="2" s="1"/>
  <c r="BW256" i="2" a="1"/>
  <c r="BW256" i="2" s="1"/>
  <c r="BW257" i="2" a="1"/>
  <c r="BW257" i="2" s="1"/>
  <c r="BW240" i="2" a="1"/>
  <c r="BW240" i="2" s="1"/>
  <c r="BW241" i="2" a="1"/>
  <c r="BW241" i="2" s="1"/>
  <c r="BW254" i="2" a="1"/>
  <c r="BW254" i="2" s="1"/>
  <c r="BW255" i="2" a="1"/>
  <c r="BW255" i="2" s="1"/>
  <c r="BW242" i="2" a="1"/>
  <c r="BW242" i="2" s="1"/>
  <c r="BW243" i="2" a="1"/>
  <c r="BW243" i="2" s="1"/>
  <c r="BW244" i="2" a="1"/>
  <c r="BW244" i="2" s="1"/>
  <c r="BW245" i="2" a="1"/>
  <c r="BW245" i="2" s="1"/>
  <c r="BW252" i="2" a="1"/>
  <c r="BW252" i="2" s="1"/>
  <c r="BW253" i="2" a="1"/>
  <c r="BW253" i="2" s="1"/>
  <c r="BW250" i="2" a="1"/>
  <c r="BW250" i="2" s="1"/>
  <c r="BW251" i="2" a="1"/>
  <c r="BW251" i="2" s="1"/>
  <c r="BW259" i="2" a="1"/>
  <c r="BW259" i="2" s="1"/>
  <c r="BW271" i="2" a="1"/>
  <c r="BW271" i="2" s="1"/>
  <c r="BW272" i="2" a="1"/>
  <c r="BW272" i="2" s="1"/>
  <c r="BW258" i="2" a="1"/>
  <c r="BW258" i="2" s="1"/>
  <c r="BW260" i="2" a="1"/>
  <c r="BW260" i="2" s="1"/>
  <c r="BW261" i="2" a="1"/>
  <c r="BW261" i="2" s="1"/>
  <c r="BW262" i="2" a="1"/>
  <c r="BW262" i="2" s="1"/>
  <c r="BW263" i="2" a="1"/>
  <c r="BW263" i="2" s="1"/>
  <c r="BW264" i="2" a="1"/>
  <c r="BW264" i="2" s="1"/>
  <c r="BW267" i="2" a="1"/>
  <c r="BW267" i="2" s="1"/>
  <c r="BW268" i="2" a="1"/>
  <c r="BW268" i="2" s="1"/>
  <c r="BW269" i="2" a="1"/>
  <c r="BW269" i="2" s="1"/>
  <c r="BW270" i="2" a="1"/>
  <c r="BW270" i="2" s="1"/>
  <c r="BW494" i="2" a="1"/>
  <c r="BW494" i="2" s="1"/>
  <c r="BW495" i="2" a="1"/>
  <c r="BW495" i="2" s="1"/>
  <c r="BW496" i="2" a="1"/>
  <c r="BW496" i="2" s="1"/>
  <c r="BW265" i="2" a="1"/>
  <c r="BW265" i="2" s="1"/>
  <c r="BW266" i="2" a="1"/>
  <c r="BW266" i="2" s="1"/>
  <c r="BW273" i="2" a="1"/>
  <c r="BW273" i="2" s="1"/>
  <c r="BW274" i="2" a="1"/>
  <c r="BW274" i="2" s="1"/>
  <c r="BW151" i="2" a="1"/>
  <c r="BW151" i="2" s="1"/>
  <c r="BW152" i="2" a="1"/>
  <c r="BW152" i="2" s="1"/>
  <c r="BW153" i="2" a="1"/>
  <c r="BW153" i="2" s="1"/>
  <c r="BW154" i="2" a="1"/>
  <c r="BW154" i="2" s="1"/>
  <c r="BW164" i="2" a="1"/>
  <c r="BW164" i="2" s="1"/>
  <c r="BW165" i="2" a="1"/>
  <c r="BW165" i="2" s="1"/>
  <c r="BW166" i="2" a="1"/>
  <c r="BW166" i="2" s="1"/>
  <c r="BW167" i="2" a="1"/>
  <c r="BW167" i="2" s="1"/>
  <c r="BW199" i="2" a="1"/>
  <c r="BW199" i="2" s="1"/>
  <c r="BW200" i="2" a="1"/>
  <c r="BW200" i="2" s="1"/>
  <c r="BW201" i="2" a="1"/>
  <c r="BW201" i="2" s="1"/>
  <c r="BW202" i="2" a="1"/>
  <c r="BW202" i="2" s="1"/>
  <c r="BW497" i="2" a="1"/>
  <c r="BW497" i="2" s="1"/>
  <c r="BW498" i="2" a="1"/>
  <c r="BW498" i="2" s="1"/>
  <c r="BW499" i="2" a="1"/>
  <c r="BW499" i="2" s="1"/>
  <c r="BW500" i="2" a="1"/>
  <c r="BW500" i="2" s="1"/>
  <c r="BW168" i="2" a="1"/>
  <c r="BW168" i="2" s="1"/>
  <c r="BW169" i="2" a="1"/>
  <c r="BW169" i="2" s="1"/>
  <c r="BW170" i="2" a="1"/>
  <c r="BW170" i="2" s="1"/>
  <c r="BW171" i="2" a="1"/>
  <c r="BW171" i="2" s="1"/>
  <c r="BW172" i="2" a="1"/>
  <c r="BW172" i="2" s="1"/>
  <c r="BW155" i="2" a="1"/>
  <c r="BW155" i="2" s="1"/>
  <c r="BW156" i="2" a="1"/>
  <c r="BW156" i="2" s="1"/>
  <c r="BW157" i="2" a="1"/>
  <c r="BW157" i="2" s="1"/>
  <c r="BW158" i="2" a="1"/>
  <c r="BW158" i="2" s="1"/>
  <c r="BW159" i="2" a="1"/>
  <c r="BW159" i="2" s="1"/>
  <c r="BW173" i="2" a="1"/>
  <c r="BW173" i="2" s="1"/>
  <c r="BW174" i="2" a="1"/>
  <c r="BW174" i="2" s="1"/>
  <c r="BW175" i="2" a="1"/>
  <c r="BW175" i="2" s="1"/>
  <c r="BW176" i="2" a="1"/>
  <c r="BW176" i="2" s="1"/>
  <c r="BW177" i="2" a="1"/>
  <c r="BW177" i="2" s="1"/>
  <c r="BW203" i="2" a="1"/>
  <c r="BW203" i="2" s="1"/>
  <c r="BW204" i="2" a="1"/>
  <c r="BW204" i="2" s="1"/>
  <c r="BW205" i="2" a="1"/>
  <c r="BW205" i="2" s="1"/>
  <c r="BW206" i="2" a="1"/>
  <c r="BW206" i="2" s="1"/>
  <c r="BW207" i="2" a="1"/>
  <c r="BW207" i="2" s="1"/>
  <c r="BW208" i="2" a="1"/>
  <c r="BW208" i="2" s="1"/>
  <c r="BW209" i="2" a="1"/>
  <c r="BW209" i="2" s="1"/>
  <c r="BW210" i="2" a="1"/>
  <c r="BW210" i="2" s="1"/>
  <c r="BW186" i="2" a="1"/>
  <c r="BW186" i="2" s="1"/>
  <c r="BW187" i="2" a="1"/>
  <c r="BW187" i="2" s="1"/>
  <c r="BW188" i="2" a="1"/>
  <c r="BW188" i="2" s="1"/>
  <c r="BW189" i="2" a="1"/>
  <c r="BW189" i="2" s="1"/>
  <c r="BW190" i="2" a="1"/>
  <c r="BW190" i="2" s="1"/>
  <c r="BW191" i="2" a="1"/>
  <c r="BW191" i="2" s="1"/>
  <c r="BW192" i="2" a="1"/>
  <c r="BW192" i="2" s="1"/>
  <c r="BW193" i="2" a="1"/>
  <c r="BW193" i="2" s="1"/>
  <c r="BW147" i="2" a="1"/>
  <c r="BW147" i="2" s="1"/>
  <c r="BW148" i="2" a="1"/>
  <c r="BW148" i="2" s="1"/>
  <c r="BW149" i="2" a="1"/>
  <c r="BW149" i="2" s="1"/>
  <c r="BW150" i="2" a="1"/>
  <c r="BW150" i="2" s="1"/>
  <c r="BW178" i="2" a="1"/>
  <c r="BW178" i="2" s="1"/>
  <c r="BW179" i="2" a="1"/>
  <c r="BW179" i="2" s="1"/>
  <c r="BW180" i="2" a="1"/>
  <c r="BW180" i="2" s="1"/>
  <c r="BW181" i="2" a="1"/>
  <c r="BW181" i="2" s="1"/>
  <c r="BW182" i="2" a="1"/>
  <c r="BW182" i="2" s="1"/>
  <c r="BW183" i="2" a="1"/>
  <c r="BW183" i="2" s="1"/>
  <c r="BW184" i="2" a="1"/>
  <c r="BW184" i="2" s="1"/>
  <c r="BW185" i="2" a="1"/>
  <c r="BW185" i="2" s="1"/>
  <c r="BW195" i="2" a="1"/>
  <c r="BW195" i="2" s="1"/>
  <c r="BW196" i="2" a="1"/>
  <c r="BW196" i="2" s="1"/>
  <c r="BW197" i="2" a="1"/>
  <c r="BW197" i="2" s="1"/>
  <c r="BW198" i="2" a="1"/>
  <c r="BW198" i="2" s="1"/>
  <c r="BW211" i="2" a="1"/>
  <c r="BW211" i="2" s="1"/>
  <c r="BW212" i="2" a="1"/>
  <c r="BW212" i="2" s="1"/>
  <c r="BW213" i="2" a="1"/>
  <c r="BW213" i="2" s="1"/>
  <c r="BW214" i="2" a="1"/>
  <c r="BW214" i="2" s="1"/>
  <c r="BW215" i="2" a="1"/>
  <c r="BW215" i="2" s="1"/>
  <c r="BW216" i="2" a="1"/>
  <c r="BW216" i="2" s="1"/>
  <c r="BW217" i="2" a="1"/>
  <c r="BW217" i="2" s="1"/>
  <c r="BW218" i="2" a="1"/>
  <c r="BW218" i="2" s="1"/>
  <c r="BW219" i="2" a="1"/>
  <c r="BW219" i="2" s="1"/>
  <c r="BW220" i="2" a="1"/>
  <c r="BW220" i="2" s="1"/>
  <c r="BW221" i="2" a="1"/>
  <c r="BW221" i="2" s="1"/>
  <c r="BW222" i="2" a="1"/>
  <c r="BW222" i="2" s="1"/>
  <c r="BW223" i="2" a="1"/>
  <c r="BW223" i="2" s="1"/>
  <c r="BW224" i="2" a="1"/>
  <c r="BW224" i="2" s="1"/>
  <c r="BW160" i="2" a="1"/>
  <c r="BW160" i="2" s="1"/>
  <c r="BW161" i="2" a="1"/>
  <c r="BW161" i="2" s="1"/>
  <c r="BW162" i="2" a="1"/>
  <c r="BW162" i="2" s="1"/>
  <c r="BW163" i="2" a="1"/>
  <c r="BW163" i="2" s="1"/>
  <c r="BW56" i="2" a="1"/>
  <c r="BW56" i="2" s="1"/>
  <c r="BW57" i="2" a="1"/>
  <c r="BW57" i="2" s="1"/>
  <c r="BW64" i="2" a="1"/>
  <c r="BW64" i="2" s="1"/>
  <c r="BW58" i="2" a="1"/>
  <c r="BW58" i="2" s="1"/>
  <c r="BW59" i="2" a="1"/>
  <c r="BW59" i="2" s="1"/>
  <c r="BW60" i="2" a="1"/>
  <c r="BW60" i="2" s="1"/>
  <c r="BW61" i="2" a="1"/>
  <c r="BW61" i="2" s="1"/>
  <c r="BW62" i="2" a="1"/>
  <c r="BW62" i="2" s="1"/>
  <c r="BW63" i="2" a="1"/>
  <c r="BW63" i="2" s="1"/>
  <c r="BW225" i="2" a="1"/>
  <c r="BW225" i="2" s="1"/>
  <c r="BW16" i="2" a="1"/>
  <c r="BW16" i="2" s="1"/>
  <c r="BW7" i="2" a="1"/>
  <c r="BW7" i="2" s="1"/>
  <c r="BW501" i="2" a="1"/>
  <c r="BW501" i="2" s="1"/>
  <c r="BW502" i="2" a="1"/>
  <c r="BW502" i="2" s="1"/>
  <c r="BW27" i="2" a="1"/>
  <c r="BW27" i="2" s="1"/>
  <c r="BW28" i="2" a="1"/>
  <c r="BW28" i="2" s="1"/>
  <c r="BW29" i="2" a="1"/>
  <c r="BW29" i="2" s="1"/>
  <c r="BW31" i="2" a="1"/>
  <c r="BW31" i="2" s="1"/>
  <c r="BW32" i="2" a="1"/>
  <c r="BW32" i="2" s="1"/>
  <c r="BW30" i="2" a="1"/>
  <c r="BW30" i="2" s="1"/>
  <c r="BW34" i="2" a="1"/>
  <c r="BW34" i="2" s="1"/>
  <c r="BW33" i="2" a="1"/>
  <c r="BW33" i="2" s="1"/>
  <c r="BW504" i="2" a="1"/>
  <c r="BW504" i="2" s="1"/>
  <c r="BW426" i="2" a="1"/>
  <c r="BW426" i="2" s="1"/>
  <c r="BW429" i="2" a="1"/>
  <c r="BW429" i="2" s="1"/>
  <c r="BW427" i="2" a="1"/>
  <c r="BW427" i="2" s="1"/>
  <c r="BW422" i="2" a="1"/>
  <c r="BW422" i="2" s="1"/>
  <c r="BW428" i="2" a="1"/>
  <c r="BW428" i="2" s="1"/>
  <c r="BW435" i="2" a="1"/>
  <c r="BW435" i="2" s="1"/>
  <c r="BW409" i="2" a="1"/>
  <c r="BW409" i="2" s="1"/>
  <c r="BW383" i="2" a="1"/>
  <c r="BW383" i="2" s="1"/>
  <c r="BW434" i="2" a="1"/>
  <c r="BW434" i="2" s="1"/>
  <c r="BW389" i="2" a="1"/>
  <c r="BW389" i="2" s="1"/>
  <c r="BW382" i="2" a="1"/>
  <c r="BW382" i="2" s="1"/>
  <c r="BW459" i="2" a="1"/>
  <c r="BW459" i="2" s="1"/>
  <c r="BW371" i="2" a="1"/>
  <c r="BW371" i="2" s="1"/>
  <c r="BW454" i="2" a="1"/>
  <c r="BW454" i="2" s="1"/>
  <c r="BW372" i="2" a="1"/>
  <c r="BW372" i="2" s="1"/>
  <c r="BW381" i="2" a="1"/>
  <c r="BW381" i="2" s="1"/>
  <c r="BW393" i="2" a="1"/>
  <c r="BW393" i="2" s="1"/>
  <c r="BW397" i="2" a="1"/>
  <c r="BW397" i="2" s="1"/>
  <c r="BW398" i="2" a="1"/>
  <c r="BW398" i="2" s="1"/>
  <c r="BW414" i="2" a="1"/>
  <c r="BW414" i="2" s="1"/>
  <c r="BW390" i="2" a="1"/>
  <c r="BW390" i="2" s="1"/>
  <c r="BW436" i="2" a="1"/>
  <c r="BW436" i="2" s="1"/>
  <c r="BW391" i="2" a="1"/>
  <c r="BW391" i="2" s="1"/>
  <c r="BW407" i="2" a="1"/>
  <c r="BW407" i="2" s="1"/>
  <c r="BW439" i="2" a="1"/>
  <c r="BW439" i="2" s="1"/>
  <c r="BW408" i="2" a="1"/>
  <c r="BW408" i="2" s="1"/>
  <c r="BW376" i="2" a="1"/>
  <c r="BW376" i="2" s="1"/>
  <c r="BW438" i="2" a="1"/>
  <c r="BW438" i="2" s="1"/>
  <c r="BW385" i="2" a="1"/>
  <c r="BW385" i="2" s="1"/>
  <c r="BW447" i="2" a="1"/>
  <c r="BW447" i="2" s="1"/>
  <c r="BW448" i="2" a="1"/>
  <c r="BW448" i="2" s="1"/>
  <c r="BW392" i="2" a="1"/>
  <c r="BW392" i="2" s="1"/>
  <c r="BW437" i="2" a="1"/>
  <c r="BW437" i="2" s="1"/>
  <c r="BW446" i="2" a="1"/>
  <c r="BW446" i="2" s="1"/>
  <c r="BW384" i="2" a="1"/>
  <c r="BW384" i="2" s="1"/>
  <c r="BW410" i="2" a="1"/>
  <c r="BW410" i="2" s="1"/>
  <c r="BW415" i="2" a="1"/>
  <c r="BW415" i="2" s="1"/>
  <c r="BW417" i="2" a="1"/>
  <c r="BW417" i="2" s="1"/>
  <c r="BW460" i="2" a="1"/>
  <c r="BW460" i="2" s="1"/>
  <c r="BW433" i="2" a="1"/>
  <c r="BW433" i="2" s="1"/>
  <c r="BW418" i="2" a="1"/>
  <c r="BW418" i="2" s="1"/>
  <c r="BW419" i="2" a="1"/>
  <c r="BW419" i="2" s="1"/>
  <c r="BW421" i="2" a="1"/>
  <c r="BW421" i="2" s="1"/>
  <c r="BW35" i="2" a="1"/>
  <c r="BW35" i="2" s="1"/>
  <c r="BV35" i="2" a="1"/>
  <c r="BV35" i="2" s="1"/>
  <c r="BV36" i="2" a="1"/>
  <c r="BV36" i="2" s="1"/>
  <c r="BV38" i="2" a="1"/>
  <c r="BV38" i="2" s="1"/>
  <c r="BV39" i="2" a="1"/>
  <c r="BV39" i="2" s="1"/>
  <c r="BV40" i="2" a="1"/>
  <c r="BV40" i="2" s="1"/>
  <c r="BV41" i="2" a="1"/>
  <c r="BV41" i="2" s="1"/>
  <c r="BV42" i="2" a="1"/>
  <c r="BV42" i="2" s="1"/>
  <c r="BV43" i="2" a="1"/>
  <c r="BV43" i="2" s="1"/>
  <c r="BV44" i="2" a="1"/>
  <c r="BV44" i="2" s="1"/>
  <c r="BV45" i="2" a="1"/>
  <c r="BV45" i="2" s="1"/>
  <c r="BV46" i="2" a="1"/>
  <c r="BV46" i="2" s="1"/>
  <c r="BV47" i="2" a="1"/>
  <c r="BV47" i="2" s="1"/>
  <c r="BV48" i="2" a="1"/>
  <c r="BV48" i="2" s="1"/>
  <c r="BV49" i="2" a="1"/>
  <c r="BV49" i="2" s="1"/>
  <c r="BV50" i="2" a="1"/>
  <c r="BV50" i="2" s="1"/>
  <c r="BV51" i="2" a="1"/>
  <c r="BV51" i="2" s="1"/>
  <c r="BV52" i="2" a="1"/>
  <c r="BV52" i="2" s="1"/>
  <c r="BV53" i="2" a="1"/>
  <c r="BV53" i="2" s="1"/>
  <c r="BV54" i="2" a="1"/>
  <c r="BV54" i="2" s="1"/>
  <c r="BV55" i="2" a="1"/>
  <c r="BV55" i="2" s="1"/>
  <c r="BV283" i="2" a="1"/>
  <c r="BV283" i="2" s="1"/>
  <c r="BV284" i="2" a="1"/>
  <c r="BV284" i="2" s="1"/>
  <c r="BV285" i="2" a="1"/>
  <c r="BV285" i="2" s="1"/>
  <c r="BV286" i="2" a="1"/>
  <c r="BV286" i="2" s="1"/>
  <c r="BV287" i="2" a="1"/>
  <c r="BV287" i="2" s="1"/>
  <c r="BV288" i="2" a="1"/>
  <c r="BV288" i="2" s="1"/>
  <c r="BV289" i="2" a="1"/>
  <c r="BV289" i="2" s="1"/>
  <c r="BV290" i="2" a="1"/>
  <c r="BV290" i="2" s="1"/>
  <c r="BV291" i="2" a="1"/>
  <c r="BV291" i="2" s="1"/>
  <c r="BV292" i="2" a="1"/>
  <c r="BV292" i="2" s="1"/>
  <c r="BV293" i="2" a="1"/>
  <c r="BV293" i="2" s="1"/>
  <c r="BV294" i="2" a="1"/>
  <c r="BV294" i="2" s="1"/>
  <c r="BV295" i="2" a="1"/>
  <c r="BV295" i="2" s="1"/>
  <c r="BV296" i="2" a="1"/>
  <c r="BV296" i="2" s="1"/>
  <c r="BV297" i="2" a="1"/>
  <c r="BV297" i="2" s="1"/>
  <c r="BV298" i="2" a="1"/>
  <c r="BV298" i="2" s="1"/>
  <c r="BV299" i="2" a="1"/>
  <c r="BV299" i="2" s="1"/>
  <c r="BV301" i="2" a="1"/>
  <c r="BV301" i="2" s="1"/>
  <c r="BV484" i="2" a="1"/>
  <c r="BV484" i="2" s="1"/>
  <c r="BV485" i="2" a="1"/>
  <c r="BV485" i="2" s="1"/>
  <c r="BV486" i="2" a="1"/>
  <c r="BV486" i="2" s="1"/>
  <c r="BV304" i="2" a="1"/>
  <c r="BV304" i="2" s="1"/>
  <c r="BV305" i="2" a="1"/>
  <c r="BV305" i="2" s="1"/>
  <c r="BV302" i="2" a="1"/>
  <c r="BV302" i="2" s="1"/>
  <c r="BV303" i="2" a="1"/>
  <c r="BV303" i="2" s="1"/>
  <c r="BV306" i="2" a="1"/>
  <c r="BV306" i="2" s="1"/>
  <c r="BV300" i="2" a="1"/>
  <c r="BV300" i="2" s="1"/>
  <c r="BV488" i="2" a="1"/>
  <c r="BV488" i="2" s="1"/>
  <c r="BV275" i="2" a="1"/>
  <c r="BV275" i="2" s="1"/>
  <c r="BV276" i="2" a="1"/>
  <c r="BV276" i="2" s="1"/>
  <c r="BV277" i="2" a="1"/>
  <c r="BV277" i="2" s="1"/>
  <c r="BV278" i="2" a="1"/>
  <c r="BV278" i="2" s="1"/>
  <c r="BV279" i="2" a="1"/>
  <c r="BV279" i="2" s="1"/>
  <c r="BV280" i="2" a="1"/>
  <c r="BV280" i="2" s="1"/>
  <c r="BV281" i="2" a="1"/>
  <c r="BV281" i="2" s="1"/>
  <c r="BV282" i="2" a="1"/>
  <c r="BV282" i="2" s="1"/>
  <c r="BV66" i="2" a="1"/>
  <c r="BV66" i="2" s="1"/>
  <c r="BV67" i="2" a="1"/>
  <c r="BV67" i="2" s="1"/>
  <c r="BV68" i="2" a="1"/>
  <c r="BV68" i="2" s="1"/>
  <c r="BV69" i="2" a="1"/>
  <c r="BV69" i="2" s="1"/>
  <c r="BV70" i="2" a="1"/>
  <c r="BV70" i="2" s="1"/>
  <c r="BV71" i="2" a="1"/>
  <c r="BV71" i="2" s="1"/>
  <c r="BV72" i="2" a="1"/>
  <c r="BV72" i="2" s="1"/>
  <c r="BV73" i="2" a="1"/>
  <c r="BV73" i="2" s="1"/>
  <c r="BV74" i="2" a="1"/>
  <c r="BV74" i="2" s="1"/>
  <c r="BV75" i="2" a="1"/>
  <c r="BV75" i="2" s="1"/>
  <c r="BV76" i="2" a="1"/>
  <c r="BV76" i="2" s="1"/>
  <c r="BV77" i="2" a="1"/>
  <c r="BV77" i="2" s="1"/>
  <c r="BV89" i="2" a="1"/>
  <c r="BV89" i="2" s="1"/>
  <c r="BV90" i="2" a="1"/>
  <c r="BV90" i="2" s="1"/>
  <c r="BV91" i="2" a="1"/>
  <c r="BV91" i="2" s="1"/>
  <c r="BV92" i="2" a="1"/>
  <c r="BV92" i="2" s="1"/>
  <c r="BV93" i="2" a="1"/>
  <c r="BV93" i="2" s="1"/>
  <c r="BV94" i="2" a="1"/>
  <c r="BV94" i="2" s="1"/>
  <c r="BV95" i="2" a="1"/>
  <c r="BV95" i="2" s="1"/>
  <c r="BV96" i="2" a="1"/>
  <c r="BV96" i="2" s="1"/>
  <c r="BV78" i="2" a="1"/>
  <c r="BV78" i="2" s="1"/>
  <c r="BV79" i="2" a="1"/>
  <c r="BV79" i="2" s="1"/>
  <c r="BV80" i="2" a="1"/>
  <c r="BV80" i="2" s="1"/>
  <c r="BV81" i="2" a="1"/>
  <c r="BV81" i="2" s="1"/>
  <c r="BV85" i="2" a="1"/>
  <c r="BV85" i="2" s="1"/>
  <c r="BV86" i="2" a="1"/>
  <c r="BV86" i="2" s="1"/>
  <c r="BV87" i="2" a="1"/>
  <c r="BV87" i="2" s="1"/>
  <c r="BV88" i="2" a="1"/>
  <c r="BV88" i="2" s="1"/>
  <c r="BV97" i="2" a="1"/>
  <c r="BV97" i="2" s="1"/>
  <c r="BV98" i="2" a="1"/>
  <c r="BV98" i="2" s="1"/>
  <c r="BV99" i="2" a="1"/>
  <c r="BV99" i="2" s="1"/>
  <c r="BV100" i="2" a="1"/>
  <c r="BV100" i="2" s="1"/>
  <c r="BV82" i="2" a="1"/>
  <c r="BV82" i="2" s="1"/>
  <c r="BV117" i="2" a="1"/>
  <c r="BV117" i="2" s="1"/>
  <c r="BV118" i="2" a="1"/>
  <c r="BV118" i="2" s="1"/>
  <c r="BV119" i="2" a="1"/>
  <c r="BV119" i="2" s="1"/>
  <c r="BV120" i="2" a="1"/>
  <c r="BV120" i="2" s="1"/>
  <c r="BV113" i="2" a="1"/>
  <c r="BV113" i="2" s="1"/>
  <c r="BV114" i="2" a="1"/>
  <c r="BV114" i="2" s="1"/>
  <c r="BV115" i="2" a="1"/>
  <c r="BV115" i="2" s="1"/>
  <c r="BV116" i="2" a="1"/>
  <c r="BV116" i="2" s="1"/>
  <c r="BV83" i="2" a="1"/>
  <c r="BV83" i="2" s="1"/>
  <c r="BV84" i="2" a="1"/>
  <c r="BV84" i="2" s="1"/>
  <c r="BV101" i="2" a="1"/>
  <c r="BV101" i="2" s="1"/>
  <c r="BV102" i="2" a="1"/>
  <c r="BV102" i="2" s="1"/>
  <c r="BV103" i="2" a="1"/>
  <c r="BV103" i="2" s="1"/>
  <c r="BV104" i="2" a="1"/>
  <c r="BV104" i="2" s="1"/>
  <c r="BV105" i="2" a="1"/>
  <c r="BV105" i="2" s="1"/>
  <c r="BV106" i="2" a="1"/>
  <c r="BV106" i="2" s="1"/>
  <c r="BV107" i="2" a="1"/>
  <c r="BV107" i="2" s="1"/>
  <c r="BV108" i="2" a="1"/>
  <c r="BV108" i="2" s="1"/>
  <c r="BV109" i="2" a="1"/>
  <c r="BV109" i="2" s="1"/>
  <c r="BV110" i="2" a="1"/>
  <c r="BV110" i="2" s="1"/>
  <c r="BV111" i="2" a="1"/>
  <c r="BV111" i="2" s="1"/>
  <c r="BV112" i="2" a="1"/>
  <c r="BV112" i="2" s="1"/>
  <c r="BV327" i="2" a="1"/>
  <c r="BV327" i="2" s="1"/>
  <c r="BV328" i="2" a="1"/>
  <c r="BV328" i="2" s="1"/>
  <c r="BV329" i="2" a="1"/>
  <c r="BV329" i="2" s="1"/>
  <c r="BV340" i="2" a="1"/>
  <c r="BV340" i="2" s="1"/>
  <c r="BV341" i="2" a="1"/>
  <c r="BV341" i="2" s="1"/>
  <c r="BV342" i="2" a="1"/>
  <c r="BV342" i="2" s="1"/>
  <c r="BV359" i="2" a="1"/>
  <c r="BV359" i="2" s="1"/>
  <c r="BV360" i="2" a="1"/>
  <c r="BV360" i="2" s="1"/>
  <c r="BV361" i="2" a="1"/>
  <c r="BV361" i="2" s="1"/>
  <c r="BV313" i="2" a="1"/>
  <c r="BV313" i="2" s="1"/>
  <c r="BV314" i="2" a="1"/>
  <c r="BV314" i="2" s="1"/>
  <c r="BV315" i="2" a="1"/>
  <c r="BV315" i="2" s="1"/>
  <c r="BV346" i="2" a="1"/>
  <c r="BV346" i="2" s="1"/>
  <c r="BV347" i="2" a="1"/>
  <c r="BV347" i="2" s="1"/>
  <c r="BV348" i="2" a="1"/>
  <c r="BV348" i="2" s="1"/>
  <c r="BV324" i="2" a="1"/>
  <c r="BV324" i="2" s="1"/>
  <c r="BV325" i="2" a="1"/>
  <c r="BV325" i="2" s="1"/>
  <c r="BV326" i="2" a="1"/>
  <c r="BV326" i="2" s="1"/>
  <c r="BV334" i="2" a="1"/>
  <c r="BV334" i="2" s="1"/>
  <c r="BV335" i="2" a="1"/>
  <c r="BV335" i="2" s="1"/>
  <c r="BV336" i="2" a="1"/>
  <c r="BV336" i="2" s="1"/>
  <c r="BV320" i="2" a="1"/>
  <c r="BV320" i="2" s="1"/>
  <c r="BV321" i="2" a="1"/>
  <c r="BV321" i="2" s="1"/>
  <c r="BV322" i="2" a="1"/>
  <c r="BV322" i="2" s="1"/>
  <c r="BV331" i="2" a="1"/>
  <c r="BV331" i="2" s="1"/>
  <c r="BV332" i="2" a="1"/>
  <c r="BV332" i="2" s="1"/>
  <c r="BV333" i="2" a="1"/>
  <c r="BV333" i="2" s="1"/>
  <c r="BV349" i="2" a="1"/>
  <c r="BV349" i="2" s="1"/>
  <c r="BV350" i="2" a="1"/>
  <c r="BV350" i="2" s="1"/>
  <c r="BV351" i="2" a="1"/>
  <c r="BV351" i="2" s="1"/>
  <c r="BV353" i="2" a="1"/>
  <c r="BV353" i="2" s="1"/>
  <c r="BV354" i="2" a="1"/>
  <c r="BV354" i="2" s="1"/>
  <c r="BV355" i="2" a="1"/>
  <c r="BV355" i="2" s="1"/>
  <c r="BV370" i="2" a="1"/>
  <c r="BV370" i="2" s="1"/>
  <c r="BV307" i="2" a="1"/>
  <c r="BV307" i="2" s="1"/>
  <c r="BV308" i="2" a="1"/>
  <c r="BV308" i="2" s="1"/>
  <c r="BV309" i="2" a="1"/>
  <c r="BV309" i="2" s="1"/>
  <c r="BV337" i="2" a="1"/>
  <c r="BV337" i="2" s="1"/>
  <c r="BV338" i="2" a="1"/>
  <c r="BV338" i="2" s="1"/>
  <c r="BV339" i="2" a="1"/>
  <c r="BV339" i="2" s="1"/>
  <c r="BV356" i="2" a="1"/>
  <c r="BV356" i="2" s="1"/>
  <c r="BV357" i="2" a="1"/>
  <c r="BV357" i="2" s="1"/>
  <c r="BV358" i="2" a="1"/>
  <c r="BV358" i="2" s="1"/>
  <c r="BV310" i="2" a="1"/>
  <c r="BV310" i="2" s="1"/>
  <c r="BV311" i="2" a="1"/>
  <c r="BV311" i="2" s="1"/>
  <c r="BV312" i="2" a="1"/>
  <c r="BV312" i="2" s="1"/>
  <c r="BV343" i="2" a="1"/>
  <c r="BV343" i="2" s="1"/>
  <c r="BV344" i="2" a="1"/>
  <c r="BV344" i="2" s="1"/>
  <c r="BV345" i="2" a="1"/>
  <c r="BV345" i="2" s="1"/>
  <c r="BV316" i="2" a="1"/>
  <c r="BV316" i="2" s="1"/>
  <c r="BV317" i="2" a="1"/>
  <c r="BV317" i="2" s="1"/>
  <c r="BV318" i="2" a="1"/>
  <c r="BV318" i="2" s="1"/>
  <c r="BV362" i="2" a="1"/>
  <c r="BV362" i="2" s="1"/>
  <c r="BV363" i="2" a="1"/>
  <c r="BV363" i="2" s="1"/>
  <c r="BV364" i="2" a="1"/>
  <c r="BV364" i="2" s="1"/>
  <c r="BV365" i="2" a="1"/>
  <c r="BV365" i="2" s="1"/>
  <c r="BV366" i="2" a="1"/>
  <c r="BV366" i="2" s="1"/>
  <c r="BV367" i="2" a="1"/>
  <c r="BV367" i="2" s="1"/>
  <c r="BV368" i="2" a="1"/>
  <c r="BV368" i="2" s="1"/>
  <c r="BV369" i="2" a="1"/>
  <c r="BV369" i="2" s="1"/>
  <c r="BV231" i="2" a="1"/>
  <c r="BV231" i="2" s="1"/>
  <c r="BV232" i="2" a="1"/>
  <c r="BV232" i="2" s="1"/>
  <c r="BV233" i="2" a="1"/>
  <c r="BV233" i="2" s="1"/>
  <c r="BV226" i="2" a="1"/>
  <c r="BV226" i="2" s="1"/>
  <c r="BV227" i="2" a="1"/>
  <c r="BV227" i="2" s="1"/>
  <c r="BV228" i="2" a="1"/>
  <c r="BV228" i="2" s="1"/>
  <c r="BV229" i="2" a="1"/>
  <c r="BV229" i="2" s="1"/>
  <c r="BV230" i="2" a="1"/>
  <c r="BV230" i="2" s="1"/>
  <c r="BV235" i="2" a="1"/>
  <c r="BV235" i="2" s="1"/>
  <c r="BV236" i="2" a="1"/>
  <c r="BV236" i="2" s="1"/>
  <c r="BV237" i="2" a="1"/>
  <c r="BV237" i="2" s="1"/>
  <c r="BV17" i="2" a="1"/>
  <c r="BV17" i="2" s="1"/>
  <c r="BV18" i="2" a="1"/>
  <c r="BV18" i="2" s="1"/>
  <c r="BV19" i="2" a="1"/>
  <c r="BV19" i="2" s="1"/>
  <c r="BV20" i="2" a="1"/>
  <c r="BV20" i="2" s="1"/>
  <c r="BV21" i="2" a="1"/>
  <c r="BV21" i="2" s="1"/>
  <c r="BV22" i="2" a="1"/>
  <c r="BV22" i="2" s="1"/>
  <c r="BV11" i="2" a="1"/>
  <c r="BV11" i="2" s="1"/>
  <c r="BV12" i="2" a="1"/>
  <c r="BV12" i="2" s="1"/>
  <c r="BV13" i="2" a="1"/>
  <c r="BV13" i="2" s="1"/>
  <c r="BV14" i="2" a="1"/>
  <c r="BV14" i="2" s="1"/>
  <c r="BV15" i="2" a="1"/>
  <c r="BV15" i="2" s="1"/>
  <c r="BV23" i="2" a="1"/>
  <c r="BV23" i="2" s="1"/>
  <c r="BV24" i="2" a="1"/>
  <c r="BV24" i="2" s="1"/>
  <c r="BV25" i="2" a="1"/>
  <c r="BV25" i="2" s="1"/>
  <c r="BV26" i="2" a="1"/>
  <c r="BV26" i="2" s="1"/>
  <c r="BV8" i="2" a="1"/>
  <c r="BV8" i="2" s="1"/>
  <c r="BV10" i="2" a="1"/>
  <c r="BV10" i="2" s="1"/>
  <c r="BV9" i="2" a="1"/>
  <c r="BV9" i="2" s="1"/>
  <c r="BV234" i="2" a="1"/>
  <c r="BV234" i="2" s="1"/>
  <c r="BV490" i="2" a="1"/>
  <c r="BV490" i="2" s="1"/>
  <c r="BV491" i="2" a="1"/>
  <c r="BV491" i="2" s="1"/>
  <c r="BV492" i="2" a="1"/>
  <c r="BV492" i="2" s="1"/>
  <c r="BV65" i="2" a="1"/>
  <c r="BV65" i="2" s="1"/>
  <c r="BV122" i="2" a="1"/>
  <c r="BV122" i="2" s="1"/>
  <c r="BV123" i="2" a="1"/>
  <c r="BV123" i="2" s="1"/>
  <c r="BV121" i="2" a="1"/>
  <c r="BV121" i="2" s="1"/>
  <c r="BV124" i="2" a="1"/>
  <c r="BV124" i="2" s="1"/>
  <c r="BV125" i="2" a="1"/>
  <c r="BV125" i="2" s="1"/>
  <c r="BV126" i="2" a="1"/>
  <c r="BV126" i="2" s="1"/>
  <c r="BV127" i="2" a="1"/>
  <c r="BV127" i="2" s="1"/>
  <c r="BV128" i="2" a="1"/>
  <c r="BV128" i="2" s="1"/>
  <c r="BV129" i="2" a="1"/>
  <c r="BV129" i="2" s="1"/>
  <c r="BV130" i="2" a="1"/>
  <c r="BV130" i="2" s="1"/>
  <c r="BV131" i="2" a="1"/>
  <c r="BV131" i="2" s="1"/>
  <c r="BV132" i="2" a="1"/>
  <c r="BV132" i="2" s="1"/>
  <c r="BV133" i="2" a="1"/>
  <c r="BV133" i="2" s="1"/>
  <c r="BV134" i="2" a="1"/>
  <c r="BV134" i="2" s="1"/>
  <c r="BV135" i="2" a="1"/>
  <c r="BV135" i="2" s="1"/>
  <c r="BV136" i="2" a="1"/>
  <c r="BV136" i="2" s="1"/>
  <c r="BV137" i="2" a="1"/>
  <c r="BV137" i="2" s="1"/>
  <c r="BV139" i="2" a="1"/>
  <c r="BV139" i="2" s="1"/>
  <c r="BV140" i="2" a="1"/>
  <c r="BV140" i="2" s="1"/>
  <c r="BV141" i="2" a="1"/>
  <c r="BV141" i="2" s="1"/>
  <c r="BV142" i="2" a="1"/>
  <c r="BV142" i="2" s="1"/>
  <c r="BV143" i="2" a="1"/>
  <c r="BV143" i="2" s="1"/>
  <c r="BV144" i="2" a="1"/>
  <c r="BV144" i="2" s="1"/>
  <c r="BV145" i="2" a="1"/>
  <c r="BV145" i="2" s="1"/>
  <c r="BV146" i="2" a="1"/>
  <c r="BV146" i="2" s="1"/>
  <c r="BV493" i="2" a="1"/>
  <c r="BV493" i="2" s="1"/>
  <c r="BV4" i="2" a="1"/>
  <c r="BV4" i="2" s="1"/>
  <c r="BV5" i="2" a="1"/>
  <c r="BV5" i="2" s="1"/>
  <c r="BV6" i="2" a="1"/>
  <c r="BV6" i="2" s="1"/>
  <c r="BV37" i="2" a="1"/>
  <c r="BV37" i="2" s="1"/>
  <c r="BV483" i="2" a="1"/>
  <c r="BV483" i="2" s="1"/>
  <c r="BV238" i="2" a="1"/>
  <c r="BV238" i="2" s="1"/>
  <c r="BV239" i="2" a="1"/>
  <c r="BV239" i="2" s="1"/>
  <c r="BV246" i="2" a="1"/>
  <c r="BV246" i="2" s="1"/>
  <c r="BV247" i="2" a="1"/>
  <c r="BV247" i="2" s="1"/>
  <c r="BV248" i="2" a="1"/>
  <c r="BV248" i="2" s="1"/>
  <c r="BV249" i="2" a="1"/>
  <c r="BV249" i="2" s="1"/>
  <c r="BV256" i="2" a="1"/>
  <c r="BV256" i="2" s="1"/>
  <c r="BV257" i="2" a="1"/>
  <c r="BV257" i="2" s="1"/>
  <c r="BV240" i="2" a="1"/>
  <c r="BV240" i="2" s="1"/>
  <c r="BV241" i="2" a="1"/>
  <c r="BV241" i="2" s="1"/>
  <c r="BV254" i="2" a="1"/>
  <c r="BV254" i="2" s="1"/>
  <c r="BV255" i="2" a="1"/>
  <c r="BV255" i="2" s="1"/>
  <c r="BV242" i="2" a="1"/>
  <c r="BV242" i="2" s="1"/>
  <c r="BV243" i="2" a="1"/>
  <c r="BV243" i="2" s="1"/>
  <c r="BV244" i="2" a="1"/>
  <c r="BV244" i="2" s="1"/>
  <c r="BV245" i="2" a="1"/>
  <c r="BV245" i="2" s="1"/>
  <c r="BV252" i="2" a="1"/>
  <c r="BV252" i="2" s="1"/>
  <c r="BV253" i="2" a="1"/>
  <c r="BV253" i="2" s="1"/>
  <c r="BV250" i="2" a="1"/>
  <c r="BV250" i="2" s="1"/>
  <c r="BV251" i="2" a="1"/>
  <c r="BV251" i="2" s="1"/>
  <c r="BV259" i="2" a="1"/>
  <c r="BV259" i="2" s="1"/>
  <c r="BV271" i="2" a="1"/>
  <c r="BV271" i="2" s="1"/>
  <c r="BV272" i="2" a="1"/>
  <c r="BV272" i="2" s="1"/>
  <c r="BV258" i="2" a="1"/>
  <c r="BV258" i="2" s="1"/>
  <c r="BV260" i="2" a="1"/>
  <c r="BV260" i="2" s="1"/>
  <c r="BV261" i="2" a="1"/>
  <c r="BV261" i="2" s="1"/>
  <c r="BV262" i="2" a="1"/>
  <c r="BV262" i="2" s="1"/>
  <c r="BV263" i="2" a="1"/>
  <c r="BV263" i="2" s="1"/>
  <c r="BV264" i="2" a="1"/>
  <c r="BV264" i="2" s="1"/>
  <c r="BV267" i="2" a="1"/>
  <c r="BV267" i="2" s="1"/>
  <c r="BV268" i="2" a="1"/>
  <c r="BV268" i="2" s="1"/>
  <c r="BV269" i="2" a="1"/>
  <c r="BV269" i="2" s="1"/>
  <c r="BV270" i="2" a="1"/>
  <c r="BV270" i="2" s="1"/>
  <c r="BV494" i="2" a="1"/>
  <c r="BV494" i="2" s="1"/>
  <c r="BV495" i="2" a="1"/>
  <c r="BV495" i="2" s="1"/>
  <c r="BV496" i="2" a="1"/>
  <c r="BV496" i="2" s="1"/>
  <c r="BV265" i="2" a="1"/>
  <c r="BV265" i="2" s="1"/>
  <c r="BV266" i="2" a="1"/>
  <c r="BV266" i="2" s="1"/>
  <c r="BV273" i="2" a="1"/>
  <c r="BV273" i="2" s="1"/>
  <c r="BV274" i="2" a="1"/>
  <c r="BV274" i="2" s="1"/>
  <c r="BV151" i="2" a="1"/>
  <c r="BV151" i="2" s="1"/>
  <c r="BV152" i="2" a="1"/>
  <c r="BV152" i="2" s="1"/>
  <c r="BV153" i="2" a="1"/>
  <c r="BV153" i="2" s="1"/>
  <c r="BV154" i="2" a="1"/>
  <c r="BV154" i="2" s="1"/>
  <c r="BV164" i="2" a="1"/>
  <c r="BV164" i="2" s="1"/>
  <c r="BV165" i="2" a="1"/>
  <c r="BV165" i="2" s="1"/>
  <c r="BV166" i="2" a="1"/>
  <c r="BV166" i="2" s="1"/>
  <c r="BV167" i="2" a="1"/>
  <c r="BV167" i="2" s="1"/>
  <c r="BV199" i="2" a="1"/>
  <c r="BV199" i="2" s="1"/>
  <c r="BV200" i="2" a="1"/>
  <c r="BV200" i="2" s="1"/>
  <c r="BV201" i="2" a="1"/>
  <c r="BV201" i="2" s="1"/>
  <c r="BV202" i="2" a="1"/>
  <c r="BV202" i="2" s="1"/>
  <c r="BV497" i="2" a="1"/>
  <c r="BV497" i="2" s="1"/>
  <c r="BV498" i="2" a="1"/>
  <c r="BV498" i="2" s="1"/>
  <c r="BV499" i="2" a="1"/>
  <c r="BV499" i="2" s="1"/>
  <c r="BV500" i="2" a="1"/>
  <c r="BV500" i="2" s="1"/>
  <c r="BV168" i="2" a="1"/>
  <c r="BV168" i="2" s="1"/>
  <c r="BV169" i="2" a="1"/>
  <c r="BV169" i="2" s="1"/>
  <c r="BV170" i="2" a="1"/>
  <c r="BV170" i="2" s="1"/>
  <c r="BV171" i="2" a="1"/>
  <c r="BV171" i="2" s="1"/>
  <c r="BV172" i="2" a="1"/>
  <c r="BV172" i="2" s="1"/>
  <c r="BV155" i="2" a="1"/>
  <c r="BV155" i="2" s="1"/>
  <c r="BV156" i="2" a="1"/>
  <c r="BV156" i="2" s="1"/>
  <c r="BV157" i="2" a="1"/>
  <c r="BV157" i="2" s="1"/>
  <c r="BV158" i="2" a="1"/>
  <c r="BV158" i="2" s="1"/>
  <c r="BV159" i="2" a="1"/>
  <c r="BV159" i="2" s="1"/>
  <c r="BV173" i="2" a="1"/>
  <c r="BV173" i="2" s="1"/>
  <c r="BV174" i="2" a="1"/>
  <c r="BV174" i="2" s="1"/>
  <c r="BV175" i="2" a="1"/>
  <c r="BV175" i="2" s="1"/>
  <c r="BV176" i="2" a="1"/>
  <c r="BV176" i="2" s="1"/>
  <c r="BV177" i="2" a="1"/>
  <c r="BV177" i="2" s="1"/>
  <c r="BV203" i="2" a="1"/>
  <c r="BV203" i="2" s="1"/>
  <c r="BV204" i="2" a="1"/>
  <c r="BV204" i="2" s="1"/>
  <c r="BV205" i="2" a="1"/>
  <c r="BV205" i="2" s="1"/>
  <c r="BV206" i="2" a="1"/>
  <c r="BV206" i="2" s="1"/>
  <c r="BV207" i="2" a="1"/>
  <c r="BV207" i="2" s="1"/>
  <c r="BV208" i="2" a="1"/>
  <c r="BV208" i="2" s="1"/>
  <c r="BV209" i="2" a="1"/>
  <c r="BV209" i="2" s="1"/>
  <c r="BV210" i="2" a="1"/>
  <c r="BV210" i="2" s="1"/>
  <c r="BV186" i="2" a="1"/>
  <c r="BV186" i="2" s="1"/>
  <c r="BV187" i="2" a="1"/>
  <c r="BV187" i="2" s="1"/>
  <c r="BV188" i="2" a="1"/>
  <c r="BV188" i="2" s="1"/>
  <c r="BV189" i="2" a="1"/>
  <c r="BV189" i="2" s="1"/>
  <c r="BV190" i="2" a="1"/>
  <c r="BV190" i="2" s="1"/>
  <c r="BV191" i="2" a="1"/>
  <c r="BV191" i="2" s="1"/>
  <c r="BV192" i="2" a="1"/>
  <c r="BV192" i="2" s="1"/>
  <c r="BV193" i="2" a="1"/>
  <c r="BV193" i="2" s="1"/>
  <c r="BV147" i="2" a="1"/>
  <c r="BV147" i="2" s="1"/>
  <c r="BV148" i="2" a="1"/>
  <c r="BV148" i="2" s="1"/>
  <c r="BV149" i="2" a="1"/>
  <c r="BV149" i="2" s="1"/>
  <c r="BV150" i="2" a="1"/>
  <c r="BV150" i="2" s="1"/>
  <c r="BV178" i="2" a="1"/>
  <c r="BV178" i="2" s="1"/>
  <c r="BV179" i="2" a="1"/>
  <c r="BV179" i="2" s="1"/>
  <c r="BV180" i="2" a="1"/>
  <c r="BV180" i="2" s="1"/>
  <c r="BV181" i="2" a="1"/>
  <c r="BV181" i="2" s="1"/>
  <c r="BV182" i="2" a="1"/>
  <c r="BV182" i="2" s="1"/>
  <c r="BV183" i="2" a="1"/>
  <c r="BV183" i="2" s="1"/>
  <c r="BV184" i="2" a="1"/>
  <c r="BV184" i="2" s="1"/>
  <c r="BV185" i="2" a="1"/>
  <c r="BV185" i="2" s="1"/>
  <c r="BV195" i="2" a="1"/>
  <c r="BV195" i="2" s="1"/>
  <c r="BV196" i="2" a="1"/>
  <c r="BV196" i="2" s="1"/>
  <c r="BV197" i="2" a="1"/>
  <c r="BV197" i="2" s="1"/>
  <c r="BV198" i="2" a="1"/>
  <c r="BV198" i="2" s="1"/>
  <c r="BV211" i="2" a="1"/>
  <c r="BV211" i="2" s="1"/>
  <c r="BV212" i="2" a="1"/>
  <c r="BV212" i="2" s="1"/>
  <c r="BV213" i="2" a="1"/>
  <c r="BV213" i="2" s="1"/>
  <c r="BV214" i="2" a="1"/>
  <c r="BV214" i="2" s="1"/>
  <c r="BV215" i="2" a="1"/>
  <c r="BV215" i="2" s="1"/>
  <c r="BV216" i="2" a="1"/>
  <c r="BV216" i="2" s="1"/>
  <c r="BV217" i="2" a="1"/>
  <c r="BV217" i="2" s="1"/>
  <c r="BV218" i="2" a="1"/>
  <c r="BV218" i="2" s="1"/>
  <c r="BV219" i="2" a="1"/>
  <c r="BV219" i="2" s="1"/>
  <c r="BV220" i="2" a="1"/>
  <c r="BV220" i="2" s="1"/>
  <c r="BV221" i="2" a="1"/>
  <c r="BV221" i="2" s="1"/>
  <c r="BV222" i="2" a="1"/>
  <c r="BV222" i="2" s="1"/>
  <c r="BV223" i="2" a="1"/>
  <c r="BV223" i="2" s="1"/>
  <c r="BV224" i="2" a="1"/>
  <c r="BV224" i="2" s="1"/>
  <c r="BV160" i="2" a="1"/>
  <c r="BV160" i="2" s="1"/>
  <c r="BV161" i="2" a="1"/>
  <c r="BV161" i="2" s="1"/>
  <c r="BV162" i="2" a="1"/>
  <c r="BV162" i="2" s="1"/>
  <c r="BV163" i="2" a="1"/>
  <c r="BV163" i="2" s="1"/>
  <c r="BV56" i="2" a="1"/>
  <c r="BV56" i="2" s="1"/>
  <c r="BV57" i="2" a="1"/>
  <c r="BV57" i="2" s="1"/>
  <c r="BV64" i="2" a="1"/>
  <c r="BV64" i="2" s="1"/>
  <c r="BV58" i="2" a="1"/>
  <c r="BV58" i="2" s="1"/>
  <c r="BV59" i="2" a="1"/>
  <c r="BV59" i="2" s="1"/>
  <c r="BV60" i="2" a="1"/>
  <c r="BV60" i="2" s="1"/>
  <c r="BV61" i="2" a="1"/>
  <c r="BV61" i="2" s="1"/>
  <c r="BV62" i="2" a="1"/>
  <c r="BV62" i="2" s="1"/>
  <c r="BV63" i="2" a="1"/>
  <c r="BV63" i="2" s="1"/>
  <c r="BV225" i="2" a="1"/>
  <c r="BV225" i="2" s="1"/>
  <c r="BV16" i="2" a="1"/>
  <c r="BV16" i="2" s="1"/>
  <c r="BV7" i="2" a="1"/>
  <c r="BV7" i="2" s="1"/>
  <c r="BV501" i="2" a="1"/>
  <c r="BV501" i="2" s="1"/>
  <c r="BV502" i="2" a="1"/>
  <c r="BV502" i="2" s="1"/>
  <c r="BV27" i="2" a="1"/>
  <c r="BV27" i="2" s="1"/>
  <c r="BV28" i="2" a="1"/>
  <c r="BV28" i="2" s="1"/>
  <c r="BV29" i="2" a="1"/>
  <c r="BV29" i="2" s="1"/>
  <c r="BV31" i="2" a="1"/>
  <c r="BV31" i="2" s="1"/>
  <c r="BV32" i="2" a="1"/>
  <c r="BV32" i="2" s="1"/>
  <c r="BV30" i="2" a="1"/>
  <c r="BV30" i="2" s="1"/>
  <c r="BV34" i="2" a="1"/>
  <c r="BV34" i="2" s="1"/>
  <c r="BV33" i="2" a="1"/>
  <c r="BV33" i="2" s="1"/>
  <c r="BV504" i="2" a="1"/>
  <c r="BV504" i="2" s="1"/>
  <c r="BV426" i="2" a="1"/>
  <c r="BV426" i="2" s="1"/>
  <c r="BV429" i="2" a="1"/>
  <c r="BV429" i="2" s="1"/>
  <c r="BV427" i="2" a="1"/>
  <c r="BV427" i="2" s="1"/>
  <c r="BV422" i="2" a="1"/>
  <c r="BV422" i="2" s="1"/>
  <c r="BV428" i="2" a="1"/>
  <c r="BV428" i="2" s="1"/>
  <c r="BV435" i="2" a="1"/>
  <c r="BV435" i="2" s="1"/>
  <c r="BV409" i="2" a="1"/>
  <c r="BV409" i="2" s="1"/>
  <c r="BV383" i="2" a="1"/>
  <c r="BV383" i="2" s="1"/>
  <c r="BV434" i="2" a="1"/>
  <c r="BV434" i="2" s="1"/>
  <c r="BV389" i="2" a="1"/>
  <c r="BV389" i="2" s="1"/>
  <c r="BV382" i="2" a="1"/>
  <c r="BV382" i="2" s="1"/>
  <c r="BV459" i="2" a="1"/>
  <c r="BV459" i="2" s="1"/>
  <c r="BV371" i="2" a="1"/>
  <c r="BV371" i="2" s="1"/>
  <c r="BV454" i="2" a="1"/>
  <c r="BV454" i="2" s="1"/>
  <c r="BV372" i="2" a="1"/>
  <c r="BV372" i="2" s="1"/>
  <c r="BV381" i="2" a="1"/>
  <c r="BV381" i="2" s="1"/>
  <c r="BV393" i="2" a="1"/>
  <c r="BV393" i="2" s="1"/>
  <c r="BV397" i="2" a="1"/>
  <c r="BV397" i="2" s="1"/>
  <c r="BV398" i="2" a="1"/>
  <c r="BV398" i="2" s="1"/>
  <c r="BV414" i="2" a="1"/>
  <c r="BV414" i="2" s="1"/>
  <c r="BV390" i="2" a="1"/>
  <c r="BV390" i="2" s="1"/>
  <c r="BV436" i="2" a="1"/>
  <c r="BV436" i="2" s="1"/>
  <c r="BV391" i="2" a="1"/>
  <c r="BV391" i="2" s="1"/>
  <c r="BV407" i="2" a="1"/>
  <c r="BV407" i="2" s="1"/>
  <c r="BV439" i="2" a="1"/>
  <c r="BV439" i="2" s="1"/>
  <c r="BV408" i="2" a="1"/>
  <c r="BV408" i="2" s="1"/>
  <c r="BV376" i="2" a="1"/>
  <c r="BV376" i="2" s="1"/>
  <c r="BV438" i="2" a="1"/>
  <c r="BV438" i="2" s="1"/>
  <c r="BV385" i="2" a="1"/>
  <c r="BV385" i="2" s="1"/>
  <c r="BV447" i="2" a="1"/>
  <c r="BV447" i="2" s="1"/>
  <c r="BV448" i="2" a="1"/>
  <c r="BV448" i="2" s="1"/>
  <c r="BV392" i="2" a="1"/>
  <c r="BV392" i="2" s="1"/>
  <c r="BV437" i="2" a="1"/>
  <c r="BV437" i="2" s="1"/>
  <c r="BV446" i="2" a="1"/>
  <c r="BV446" i="2" s="1"/>
  <c r="BV384" i="2" a="1"/>
  <c r="BV384" i="2" s="1"/>
  <c r="BV410" i="2" a="1"/>
  <c r="BV410" i="2" s="1"/>
  <c r="BV415" i="2" a="1"/>
  <c r="BV415" i="2" s="1"/>
  <c r="BV417" i="2" a="1"/>
  <c r="BV417" i="2" s="1"/>
  <c r="BV460" i="2" a="1"/>
  <c r="BV460" i="2" s="1"/>
  <c r="BV433" i="2" a="1"/>
  <c r="BV433" i="2" s="1"/>
  <c r="BV418" i="2" a="1"/>
  <c r="BV418" i="2" s="1"/>
  <c r="BV419" i="2" a="1"/>
  <c r="BV419" i="2" s="1"/>
  <c r="BV420" i="2" a="1"/>
  <c r="BV420" i="2" s="1"/>
  <c r="BV421" i="2" a="1"/>
  <c r="BV421" i="2" s="1"/>
  <c r="J77" i="14"/>
  <c r="J76" i="14"/>
  <c r="D425" i="14"/>
  <c r="D424" i="14"/>
  <c r="D423" i="14"/>
  <c r="D422" i="14"/>
  <c r="D421" i="14"/>
  <c r="D420" i="14"/>
  <c r="D419" i="14"/>
  <c r="D418" i="14"/>
  <c r="D417" i="14"/>
  <c r="D416" i="14"/>
  <c r="D415" i="14"/>
  <c r="D414" i="14"/>
  <c r="D413" i="14"/>
  <c r="D412" i="14"/>
  <c r="D411" i="14"/>
  <c r="D410" i="14"/>
  <c r="D409" i="14"/>
  <c r="D408" i="14"/>
  <c r="D407" i="14"/>
  <c r="D406" i="14"/>
  <c r="J73" i="14"/>
  <c r="J74" i="14"/>
  <c r="J75" i="14"/>
  <c r="D386" i="14"/>
  <c r="D387" i="14"/>
  <c r="D388" i="14"/>
  <c r="D389" i="14"/>
  <c r="D390" i="14"/>
  <c r="D391" i="14"/>
  <c r="D392" i="14"/>
  <c r="D393" i="14"/>
  <c r="D394" i="14"/>
  <c r="D395" i="14"/>
  <c r="D396" i="14"/>
  <c r="D397" i="14"/>
  <c r="D398" i="14"/>
  <c r="D399" i="14"/>
  <c r="D400" i="14"/>
  <c r="D401" i="14"/>
  <c r="D402" i="14"/>
  <c r="D403" i="14"/>
  <c r="D404" i="14"/>
  <c r="D405" i="14"/>
  <c r="AY351" i="2"/>
  <c r="AZ351" i="2" s="1"/>
  <c r="BA351" i="2" s="1"/>
  <c r="AY350" i="2"/>
  <c r="AZ350" i="2" s="1"/>
  <c r="BA350" i="2" s="1"/>
  <c r="AY349" i="2"/>
  <c r="AZ349" i="2" s="1"/>
  <c r="BA349" i="2" s="1"/>
  <c r="AS145" i="2"/>
  <c r="AR145" i="2"/>
  <c r="AQ145" i="2"/>
  <c r="AP145" i="2"/>
  <c r="AO145" i="2"/>
  <c r="AN145" i="2"/>
  <c r="AM145" i="2"/>
  <c r="AL145" i="2"/>
  <c r="AK145" i="2"/>
  <c r="AJ145" i="2"/>
  <c r="AI145" i="2"/>
  <c r="AH145" i="2"/>
  <c r="AG145" i="2"/>
  <c r="AF145" i="2"/>
  <c r="AE145" i="2"/>
  <c r="AD145" i="2"/>
  <c r="AC145" i="2"/>
  <c r="AB145" i="2"/>
  <c r="AA145" i="2"/>
  <c r="Z145" i="2"/>
  <c r="Y145" i="2"/>
  <c r="AY73" i="2"/>
  <c r="AX73" i="2"/>
  <c r="AW73" i="2"/>
  <c r="AN73" i="2"/>
  <c r="AM73" i="2"/>
  <c r="AL73" i="2"/>
  <c r="AY72" i="2"/>
  <c r="AX72" i="2"/>
  <c r="AW72" i="2"/>
  <c r="AN72" i="2"/>
  <c r="AM72" i="2"/>
  <c r="AL72" i="2"/>
  <c r="AY71" i="2"/>
  <c r="AX71" i="2"/>
  <c r="AW71" i="2"/>
  <c r="AN71" i="2"/>
  <c r="AM71" i="2"/>
  <c r="AL71" i="2"/>
  <c r="AY70" i="2"/>
  <c r="AX70" i="2"/>
  <c r="AW70" i="2"/>
  <c r="AN70" i="2"/>
  <c r="AM70" i="2"/>
  <c r="AL70" i="2"/>
  <c r="AY69" i="2"/>
  <c r="AX69" i="2"/>
  <c r="AW69" i="2"/>
  <c r="AN69" i="2"/>
  <c r="AM69" i="2"/>
  <c r="AL69" i="2"/>
  <c r="AY68" i="2"/>
  <c r="AX68" i="2"/>
  <c r="AW68" i="2"/>
  <c r="AN68" i="2"/>
  <c r="AM68" i="2"/>
  <c r="AL68" i="2"/>
  <c r="AY67" i="2"/>
  <c r="AX67" i="2"/>
  <c r="AW67" i="2"/>
  <c r="AN67" i="2"/>
  <c r="AM67" i="2"/>
  <c r="AL67" i="2"/>
  <c r="BU35" i="2" a="1"/>
  <c r="BU35" i="2" s="1"/>
  <c r="BX35" i="2" s="1"/>
  <c r="E5" i="15"/>
  <c r="E6" i="15"/>
  <c r="BH352" i="2"/>
  <c r="BH330" i="2"/>
  <c r="BH319" i="2"/>
  <c r="BG352" i="2"/>
  <c r="BG330" i="2"/>
  <c r="BG319" i="2"/>
  <c r="K15" i="16"/>
  <c r="K14" i="16"/>
  <c r="H13" i="16"/>
  <c r="K6" i="16"/>
  <c r="K5" i="16"/>
  <c r="K4" i="16"/>
  <c r="H11" i="16"/>
  <c r="H10" i="16"/>
  <c r="E5" i="16"/>
  <c r="E6" i="16"/>
  <c r="E7" i="16"/>
  <c r="E8" i="16"/>
  <c r="E9" i="16"/>
  <c r="E10" i="16"/>
  <c r="E11" i="16"/>
  <c r="E4" i="16"/>
  <c r="J72" i="14"/>
  <c r="J71" i="14"/>
  <c r="J42" i="14"/>
  <c r="J41" i="14"/>
  <c r="J40" i="14"/>
  <c r="D385" i="14"/>
  <c r="D384" i="14"/>
  <c r="D383" i="14"/>
  <c r="D382" i="14"/>
  <c r="D381" i="14"/>
  <c r="D380" i="14"/>
  <c r="D379" i="14"/>
  <c r="D378" i="14"/>
  <c r="D377" i="14"/>
  <c r="D376" i="14"/>
  <c r="D375" i="14"/>
  <c r="D374" i="14"/>
  <c r="D373" i="14"/>
  <c r="D372" i="14"/>
  <c r="D371" i="14"/>
  <c r="D370" i="14"/>
  <c r="D369" i="14"/>
  <c r="D368" i="14"/>
  <c r="D367" i="14"/>
  <c r="D366" i="14"/>
  <c r="D365" i="14"/>
  <c r="D364" i="14"/>
  <c r="D363" i="14"/>
  <c r="D362" i="14"/>
  <c r="D361" i="14"/>
  <c r="D360" i="14"/>
  <c r="D359" i="14"/>
  <c r="D358" i="14"/>
  <c r="D357" i="14"/>
  <c r="J70" i="14"/>
  <c r="C353" i="14"/>
  <c r="D356" i="14"/>
  <c r="D355" i="14"/>
  <c r="D354" i="14"/>
  <c r="D353" i="14"/>
  <c r="D352" i="14"/>
  <c r="D351" i="14"/>
  <c r="D350" i="14"/>
  <c r="D349" i="14"/>
  <c r="D348" i="14"/>
  <c r="J69" i="14"/>
  <c r="D347" i="14"/>
  <c r="D346" i="14"/>
  <c r="D345" i="14"/>
  <c r="D344" i="14"/>
  <c r="D343" i="14"/>
  <c r="D342" i="14"/>
  <c r="D341" i="14"/>
  <c r="D340" i="14"/>
  <c r="D339" i="14"/>
  <c r="AQ30" i="2"/>
  <c r="AP30" i="2"/>
  <c r="AO30" i="2"/>
  <c r="AN30" i="2"/>
  <c r="AM30" i="2"/>
  <c r="AL30" i="2"/>
  <c r="AK30" i="2"/>
  <c r="AJ30" i="2"/>
  <c r="AI30" i="2"/>
  <c r="AH30" i="2"/>
  <c r="AG30" i="2"/>
  <c r="AF30" i="2"/>
  <c r="AE30" i="2"/>
  <c r="AD30" i="2"/>
  <c r="AC30" i="2"/>
  <c r="AB30" i="2"/>
  <c r="CB35" i="2"/>
  <c r="E26" i="15" a="1"/>
  <c r="E26" i="15" s="1"/>
  <c r="E25" i="15" a="1"/>
  <c r="E25" i="15" s="1"/>
  <c r="I3" i="6" s="1"/>
  <c r="BZ475" i="2" s="1"/>
  <c r="E24" i="15" a="1"/>
  <c r="E24" i="15" s="1"/>
  <c r="CM1" i="2"/>
  <c r="CK1" i="2"/>
  <c r="B6" i="6"/>
  <c r="E11" i="6"/>
  <c r="B11" i="6"/>
  <c r="CC4" i="2" s="1"/>
  <c r="F6" i="6"/>
  <c r="F5" i="6"/>
  <c r="H5" i="6" s="1"/>
  <c r="F4" i="6"/>
  <c r="F3" i="6"/>
  <c r="J40" i="16"/>
  <c r="J39" i="16"/>
  <c r="F36" i="16" a="1"/>
  <c r="F36" i="16" s="1"/>
  <c r="AQ32" i="2"/>
  <c r="AP32" i="2"/>
  <c r="AO32" i="2"/>
  <c r="AN32" i="2"/>
  <c r="AM32" i="2"/>
  <c r="AL32" i="2"/>
  <c r="AK32" i="2"/>
  <c r="AJ32" i="2"/>
  <c r="AI32" i="2"/>
  <c r="AH32" i="2"/>
  <c r="AG32" i="2"/>
  <c r="AF32" i="2"/>
  <c r="AE32" i="2"/>
  <c r="AD32" i="2"/>
  <c r="AC32" i="2"/>
  <c r="AB32" i="2"/>
  <c r="CC492" i="2"/>
  <c r="CC131" i="2"/>
  <c r="CC143" i="2"/>
  <c r="CC124" i="2"/>
  <c r="CC136" i="2"/>
  <c r="CC129" i="2"/>
  <c r="CC141" i="2"/>
  <c r="CC123" i="2"/>
  <c r="CC134" i="2"/>
  <c r="CC146" i="2"/>
  <c r="CC139" i="2"/>
  <c r="CC6" i="2"/>
  <c r="CC28" i="2"/>
  <c r="CC29" i="2"/>
  <c r="CC135" i="2"/>
  <c r="CC65" i="2"/>
  <c r="CC128" i="2"/>
  <c r="CC142" i="2"/>
  <c r="CC34" i="2"/>
  <c r="CC27" i="2"/>
  <c r="CC121" i="2"/>
  <c r="CC145" i="2"/>
  <c r="CC421" i="2"/>
  <c r="CC419" i="2"/>
  <c r="CC491" i="2"/>
  <c r="CC126" i="2"/>
  <c r="CC37" i="2"/>
  <c r="CC132" i="2"/>
  <c r="CC140" i="2"/>
  <c r="CC122" i="2"/>
  <c r="CC33" i="2"/>
  <c r="CC5" i="2"/>
  <c r="CC429" i="2"/>
  <c r="CC133" i="2"/>
  <c r="CC493" i="2"/>
  <c r="CC483" i="2"/>
  <c r="CC384" i="2"/>
  <c r="CC420" i="2"/>
  <c r="CC31" i="2"/>
  <c r="CC391" i="2"/>
  <c r="CC125" i="2"/>
  <c r="CC30" i="2"/>
  <c r="CC418" i="2"/>
  <c r="CC138" i="2"/>
  <c r="CC383" i="2"/>
  <c r="J68" i="14"/>
  <c r="J67" i="14"/>
  <c r="D338" i="14"/>
  <c r="D337" i="14"/>
  <c r="D336" i="14"/>
  <c r="D335" i="14"/>
  <c r="D334" i="14"/>
  <c r="D333" i="14"/>
  <c r="D332" i="14"/>
  <c r="D331" i="14"/>
  <c r="D330" i="14"/>
  <c r="D329" i="14"/>
  <c r="AS140" i="2"/>
  <c r="AR140" i="2"/>
  <c r="AQ140" i="2"/>
  <c r="AP140" i="2"/>
  <c r="AO140" i="2"/>
  <c r="AN140" i="2"/>
  <c r="AM140" i="2"/>
  <c r="AL140" i="2"/>
  <c r="AK140" i="2"/>
  <c r="AJ140" i="2"/>
  <c r="AI140" i="2"/>
  <c r="AH140" i="2"/>
  <c r="AG140" i="2"/>
  <c r="AF140" i="2"/>
  <c r="AE140" i="2"/>
  <c r="AD140" i="2"/>
  <c r="AC140" i="2"/>
  <c r="AB140" i="2"/>
  <c r="AA140" i="2"/>
  <c r="Z140" i="2"/>
  <c r="Y140" i="2"/>
  <c r="AS132" i="2"/>
  <c r="AR132" i="2"/>
  <c r="AQ132" i="2"/>
  <c r="AP132" i="2"/>
  <c r="AO132" i="2"/>
  <c r="AN132" i="2"/>
  <c r="AM132" i="2"/>
  <c r="AL132" i="2"/>
  <c r="AK132" i="2"/>
  <c r="AJ132" i="2"/>
  <c r="AI132" i="2"/>
  <c r="AH132" i="2"/>
  <c r="AG132" i="2"/>
  <c r="AF132" i="2"/>
  <c r="AE132" i="2"/>
  <c r="AD132" i="2"/>
  <c r="AC132" i="2"/>
  <c r="AB132" i="2"/>
  <c r="AA132" i="2"/>
  <c r="Z132" i="2"/>
  <c r="Y132" i="2"/>
  <c r="AS131" i="2"/>
  <c r="AR131" i="2"/>
  <c r="AQ131" i="2"/>
  <c r="AP131" i="2"/>
  <c r="AO131" i="2"/>
  <c r="AN131" i="2"/>
  <c r="AM131" i="2"/>
  <c r="AL131" i="2"/>
  <c r="AK131" i="2"/>
  <c r="AJ131" i="2"/>
  <c r="AI131" i="2"/>
  <c r="AH131" i="2"/>
  <c r="AG131" i="2"/>
  <c r="AF131" i="2"/>
  <c r="AE131" i="2"/>
  <c r="AD131" i="2"/>
  <c r="AC131" i="2"/>
  <c r="AB131" i="2"/>
  <c r="AA131" i="2"/>
  <c r="Z131" i="2"/>
  <c r="Y131" i="2"/>
  <c r="AS130" i="2"/>
  <c r="AR130" i="2"/>
  <c r="AQ130" i="2"/>
  <c r="AP130" i="2"/>
  <c r="AO130" i="2"/>
  <c r="AN130" i="2"/>
  <c r="AM130" i="2"/>
  <c r="AL130" i="2"/>
  <c r="AK130" i="2"/>
  <c r="AJ130" i="2"/>
  <c r="AI130" i="2"/>
  <c r="AH130" i="2"/>
  <c r="AG130" i="2"/>
  <c r="AF130" i="2"/>
  <c r="AE130" i="2"/>
  <c r="AD130" i="2"/>
  <c r="AC130" i="2"/>
  <c r="AB130" i="2"/>
  <c r="AA130" i="2"/>
  <c r="Z130" i="2"/>
  <c r="Y130" i="2"/>
  <c r="AS127" i="2"/>
  <c r="AR127" i="2"/>
  <c r="AQ127" i="2"/>
  <c r="AP127" i="2"/>
  <c r="AO127" i="2"/>
  <c r="AN127" i="2"/>
  <c r="AM127" i="2"/>
  <c r="AL127" i="2"/>
  <c r="AK127" i="2"/>
  <c r="AJ127" i="2"/>
  <c r="AI127" i="2"/>
  <c r="AH127" i="2"/>
  <c r="AG127" i="2"/>
  <c r="AF127" i="2"/>
  <c r="AE127" i="2"/>
  <c r="AD127" i="2"/>
  <c r="AC127" i="2"/>
  <c r="AB127" i="2"/>
  <c r="AA127" i="2"/>
  <c r="Z127" i="2"/>
  <c r="Y127" i="2"/>
  <c r="AS65" i="2"/>
  <c r="AR65" i="2"/>
  <c r="AQ65" i="2"/>
  <c r="AP65" i="2"/>
  <c r="AO65" i="2"/>
  <c r="AN65" i="2"/>
  <c r="AM65" i="2"/>
  <c r="AL65" i="2"/>
  <c r="AK65" i="2"/>
  <c r="AJ65" i="2"/>
  <c r="AI65" i="2"/>
  <c r="AH65" i="2"/>
  <c r="AG65" i="2"/>
  <c r="AF65" i="2"/>
  <c r="AE65" i="2"/>
  <c r="AD65" i="2"/>
  <c r="AC65" i="2"/>
  <c r="AB65" i="2"/>
  <c r="AA65" i="2"/>
  <c r="Z65" i="2"/>
  <c r="Y65" i="2"/>
  <c r="J66" i="14"/>
  <c r="J65" i="14"/>
  <c r="D328" i="14"/>
  <c r="D327" i="14"/>
  <c r="D326" i="14"/>
  <c r="D325" i="14"/>
  <c r="D324" i="14"/>
  <c r="D323" i="14"/>
  <c r="D322" i="14"/>
  <c r="D321" i="14"/>
  <c r="D320" i="14"/>
  <c r="D319" i="14"/>
  <c r="G62" i="16"/>
  <c r="I62" i="16"/>
  <c r="G40" i="16"/>
  <c r="I40" i="16"/>
  <c r="G41" i="16"/>
  <c r="I41" i="16"/>
  <c r="G42" i="16"/>
  <c r="I42" i="16"/>
  <c r="G43" i="16"/>
  <c r="I43" i="16"/>
  <c r="G44" i="16"/>
  <c r="I44" i="16"/>
  <c r="G45" i="16"/>
  <c r="I45" i="16"/>
  <c r="G46" i="16"/>
  <c r="I46" i="16"/>
  <c r="G47" i="16"/>
  <c r="I47" i="16"/>
  <c r="G48" i="16"/>
  <c r="I48" i="16"/>
  <c r="G49" i="16"/>
  <c r="I49" i="16"/>
  <c r="G50" i="16"/>
  <c r="I50" i="16"/>
  <c r="G51" i="16"/>
  <c r="I51" i="16"/>
  <c r="G52" i="16"/>
  <c r="I52" i="16"/>
  <c r="G53" i="16"/>
  <c r="I53" i="16"/>
  <c r="G54" i="16"/>
  <c r="I54" i="16"/>
  <c r="G55" i="16"/>
  <c r="I55" i="16"/>
  <c r="G56" i="16"/>
  <c r="I56" i="16"/>
  <c r="G57" i="16"/>
  <c r="I57" i="16"/>
  <c r="G58" i="16"/>
  <c r="I58" i="16"/>
  <c r="G59" i="16"/>
  <c r="I59" i="16"/>
  <c r="G60" i="16"/>
  <c r="I60" i="16"/>
  <c r="G61" i="16"/>
  <c r="I61" i="16"/>
  <c r="G39" i="16"/>
  <c r="I39" i="16"/>
  <c r="AY369" i="2"/>
  <c r="AZ369" i="2" s="1"/>
  <c r="BA369" i="2" s="1"/>
  <c r="AY368" i="2"/>
  <c r="AZ368" i="2" s="1"/>
  <c r="BA368" i="2" s="1"/>
  <c r="AY367" i="2"/>
  <c r="AZ367" i="2" s="1"/>
  <c r="BA367" i="2" s="1"/>
  <c r="AY366" i="2"/>
  <c r="AZ366" i="2" s="1"/>
  <c r="BA366" i="2" s="1"/>
  <c r="AY365" i="2"/>
  <c r="AZ365" i="2" s="1"/>
  <c r="BA365" i="2" s="1"/>
  <c r="AY364" i="2"/>
  <c r="AZ364" i="2" s="1"/>
  <c r="BA364" i="2" s="1"/>
  <c r="AY363" i="2"/>
  <c r="AZ363" i="2" s="1"/>
  <c r="BA363" i="2" s="1"/>
  <c r="AY362" i="2"/>
  <c r="AZ362" i="2" s="1"/>
  <c r="BA362" i="2" s="1"/>
  <c r="AY318" i="2"/>
  <c r="AZ318" i="2" s="1"/>
  <c r="BA318" i="2" s="1"/>
  <c r="AY317" i="2"/>
  <c r="AZ317" i="2" s="1"/>
  <c r="BA317" i="2" s="1"/>
  <c r="AY316" i="2"/>
  <c r="AZ316" i="2" s="1"/>
  <c r="BA316" i="2" s="1"/>
  <c r="AY345" i="2"/>
  <c r="AZ345" i="2" s="1"/>
  <c r="BA345" i="2" s="1"/>
  <c r="AY344" i="2"/>
  <c r="AZ344" i="2" s="1"/>
  <c r="BA344" i="2" s="1"/>
  <c r="AY343" i="2"/>
  <c r="AZ343" i="2" s="1"/>
  <c r="BA343" i="2" s="1"/>
  <c r="AY312" i="2"/>
  <c r="AZ312" i="2" s="1"/>
  <c r="BA312" i="2" s="1"/>
  <c r="AY311" i="2"/>
  <c r="AZ311" i="2" s="1"/>
  <c r="BA311" i="2" s="1"/>
  <c r="AY310" i="2"/>
  <c r="AZ310" i="2" s="1"/>
  <c r="BA310" i="2" s="1"/>
  <c r="AY358" i="2"/>
  <c r="AZ358" i="2" s="1"/>
  <c r="BA358" i="2" s="1"/>
  <c r="AY357" i="2"/>
  <c r="AZ357" i="2" s="1"/>
  <c r="BA357" i="2" s="1"/>
  <c r="AY356" i="2"/>
  <c r="AZ356" i="2" s="1"/>
  <c r="BA356" i="2" s="1"/>
  <c r="AY339" i="2"/>
  <c r="AZ339" i="2" s="1"/>
  <c r="BA339" i="2" s="1"/>
  <c r="AY338" i="2"/>
  <c r="AZ338" i="2" s="1"/>
  <c r="BA338" i="2" s="1"/>
  <c r="AY337" i="2"/>
  <c r="AZ337" i="2" s="1"/>
  <c r="BA337" i="2" s="1"/>
  <c r="AY309" i="2"/>
  <c r="AZ309" i="2" s="1"/>
  <c r="BA309" i="2" s="1"/>
  <c r="AY308" i="2"/>
  <c r="AZ308" i="2" s="1"/>
  <c r="BA308" i="2" s="1"/>
  <c r="AY307" i="2"/>
  <c r="AZ307" i="2" s="1"/>
  <c r="BA307" i="2" s="1"/>
  <c r="AY370" i="2"/>
  <c r="AZ370" i="2" s="1"/>
  <c r="BA370" i="2" s="1"/>
  <c r="AY355" i="2"/>
  <c r="AZ355" i="2" s="1"/>
  <c r="BA355" i="2" s="1"/>
  <c r="AY354" i="2"/>
  <c r="AZ354" i="2" s="1"/>
  <c r="BA354" i="2" s="1"/>
  <c r="AY353" i="2"/>
  <c r="AZ353" i="2" s="1"/>
  <c r="BA353" i="2" s="1"/>
  <c r="AY352" i="2"/>
  <c r="AZ352" i="2" s="1"/>
  <c r="BA352" i="2" s="1"/>
  <c r="AY333" i="2"/>
  <c r="AZ333" i="2" s="1"/>
  <c r="BA333" i="2" s="1"/>
  <c r="AY332" i="2"/>
  <c r="AZ332" i="2" s="1"/>
  <c r="BA332" i="2" s="1"/>
  <c r="AY331" i="2"/>
  <c r="AZ331" i="2" s="1"/>
  <c r="BA331" i="2" s="1"/>
  <c r="AY330" i="2"/>
  <c r="AZ330" i="2" s="1"/>
  <c r="BA330" i="2" s="1"/>
  <c r="AY322" i="2"/>
  <c r="AZ322" i="2" s="1"/>
  <c r="BA322" i="2" s="1"/>
  <c r="AY321" i="2"/>
  <c r="AZ321" i="2" s="1"/>
  <c r="BA321" i="2" s="1"/>
  <c r="AY320" i="2"/>
  <c r="AZ320" i="2" s="1"/>
  <c r="BA320" i="2" s="1"/>
  <c r="AY319" i="2"/>
  <c r="AZ319" i="2" s="1"/>
  <c r="BA319" i="2" s="1"/>
  <c r="AY336" i="2"/>
  <c r="AZ336" i="2" s="1"/>
  <c r="BA336" i="2" s="1"/>
  <c r="AY335" i="2"/>
  <c r="AZ335" i="2" s="1"/>
  <c r="BA335" i="2" s="1"/>
  <c r="AY334" i="2"/>
  <c r="AZ334" i="2" s="1"/>
  <c r="BA334" i="2" s="1"/>
  <c r="AY326" i="2"/>
  <c r="AZ326" i="2" s="1"/>
  <c r="BA326" i="2" s="1"/>
  <c r="AY325" i="2"/>
  <c r="AZ325" i="2" s="1"/>
  <c r="BA325" i="2" s="1"/>
  <c r="AY324" i="2"/>
  <c r="AZ324" i="2" s="1"/>
  <c r="BA324" i="2" s="1"/>
  <c r="AY323" i="2"/>
  <c r="AZ323" i="2" s="1"/>
  <c r="AY348" i="2"/>
  <c r="AZ348" i="2" s="1"/>
  <c r="BA348" i="2" s="1"/>
  <c r="AY347" i="2"/>
  <c r="AZ347" i="2" s="1"/>
  <c r="BA347" i="2" s="1"/>
  <c r="AY346" i="2"/>
  <c r="AZ346" i="2" s="1"/>
  <c r="BA346" i="2" s="1"/>
  <c r="AY315" i="2"/>
  <c r="AZ315" i="2" s="1"/>
  <c r="BA315" i="2" s="1"/>
  <c r="AY314" i="2"/>
  <c r="AZ314" i="2" s="1"/>
  <c r="BA314" i="2" s="1"/>
  <c r="AY313" i="2"/>
  <c r="AZ313" i="2" s="1"/>
  <c r="BA313" i="2" s="1"/>
  <c r="AY361" i="2"/>
  <c r="AZ361" i="2" s="1"/>
  <c r="BA361" i="2" s="1"/>
  <c r="AY360" i="2"/>
  <c r="AZ360" i="2" s="1"/>
  <c r="BA360" i="2" s="1"/>
  <c r="AY359" i="2"/>
  <c r="AZ359" i="2" s="1"/>
  <c r="BA359" i="2" s="1"/>
  <c r="AY342" i="2"/>
  <c r="AZ342" i="2" s="1"/>
  <c r="BA342" i="2" s="1"/>
  <c r="AY341" i="2"/>
  <c r="AZ341" i="2" s="1"/>
  <c r="BA341" i="2" s="1"/>
  <c r="AY340" i="2"/>
  <c r="AZ340" i="2" s="1"/>
  <c r="BA340" i="2" s="1"/>
  <c r="AY329" i="2"/>
  <c r="AZ329" i="2" s="1"/>
  <c r="BA329" i="2" s="1"/>
  <c r="AY328" i="2"/>
  <c r="AZ328" i="2" s="1"/>
  <c r="BA328" i="2" s="1"/>
  <c r="AY327" i="2"/>
  <c r="AZ327" i="2" s="1"/>
  <c r="BA327" i="2" s="1"/>
  <c r="H4" i="6"/>
  <c r="H3" i="6"/>
  <c r="D318" i="14"/>
  <c r="D317" i="14"/>
  <c r="D316" i="14"/>
  <c r="D315" i="14"/>
  <c r="D314" i="14"/>
  <c r="D313" i="14"/>
  <c r="D312" i="14"/>
  <c r="D311" i="14"/>
  <c r="D310" i="14"/>
  <c r="D309" i="14"/>
  <c r="D299" i="14"/>
  <c r="D300" i="14"/>
  <c r="D301" i="14"/>
  <c r="D302" i="14"/>
  <c r="D303" i="14"/>
  <c r="D304" i="14"/>
  <c r="D305" i="14"/>
  <c r="D306" i="14"/>
  <c r="D307" i="14"/>
  <c r="D308" i="14"/>
  <c r="J64" i="14"/>
  <c r="D289" i="14"/>
  <c r="D290" i="14"/>
  <c r="D291" i="14"/>
  <c r="D292" i="14"/>
  <c r="D293" i="14"/>
  <c r="D294" i="14"/>
  <c r="D295" i="14"/>
  <c r="D296" i="14"/>
  <c r="D297" i="14"/>
  <c r="D298" i="14"/>
  <c r="J63" i="14"/>
  <c r="D288" i="14"/>
  <c r="D287" i="14"/>
  <c r="D286" i="14"/>
  <c r="D285" i="14"/>
  <c r="D284" i="14"/>
  <c r="D283" i="14"/>
  <c r="D282" i="14"/>
  <c r="D281" i="14"/>
  <c r="D280" i="14"/>
  <c r="D279" i="14"/>
  <c r="AY77" i="2"/>
  <c r="AX77" i="2"/>
  <c r="AW77" i="2"/>
  <c r="AY76" i="2"/>
  <c r="AX76" i="2"/>
  <c r="AW76" i="2"/>
  <c r="AY75" i="2"/>
  <c r="AX75" i="2"/>
  <c r="AW75" i="2"/>
  <c r="AY92" i="2"/>
  <c r="AX92" i="2"/>
  <c r="AW92" i="2"/>
  <c r="AY91" i="2"/>
  <c r="AX91" i="2"/>
  <c r="AW91" i="2"/>
  <c r="AY90" i="2"/>
  <c r="AX90" i="2"/>
  <c r="AW90" i="2"/>
  <c r="AY100" i="2"/>
  <c r="AX100" i="2"/>
  <c r="AY99" i="2"/>
  <c r="AX99" i="2"/>
  <c r="AY98" i="2"/>
  <c r="AX98" i="2"/>
  <c r="AW100" i="2"/>
  <c r="AW99" i="2"/>
  <c r="AW98" i="2"/>
  <c r="AY116" i="2"/>
  <c r="AX116" i="2"/>
  <c r="AY115" i="2"/>
  <c r="AX115" i="2"/>
  <c r="AY114" i="2"/>
  <c r="AX114" i="2"/>
  <c r="AW116" i="2"/>
  <c r="AW115" i="2"/>
  <c r="AW114" i="2"/>
  <c r="AY88" i="2"/>
  <c r="AX88" i="2"/>
  <c r="AY87" i="2"/>
  <c r="AX87" i="2"/>
  <c r="AY86" i="2"/>
  <c r="AX86" i="2"/>
  <c r="AW88" i="2"/>
  <c r="AW87" i="2"/>
  <c r="AW86" i="2"/>
  <c r="AY96" i="2"/>
  <c r="AX96" i="2"/>
  <c r="AY95" i="2"/>
  <c r="AX95" i="2"/>
  <c r="AY94" i="2"/>
  <c r="AX94" i="2"/>
  <c r="AW96" i="2"/>
  <c r="AW95" i="2"/>
  <c r="AW94" i="2"/>
  <c r="AY112" i="2"/>
  <c r="AX112" i="2"/>
  <c r="AY111" i="2"/>
  <c r="AX111" i="2"/>
  <c r="AY110" i="2"/>
  <c r="AX110" i="2"/>
  <c r="AW112" i="2"/>
  <c r="AW110" i="2"/>
  <c r="AY120" i="2"/>
  <c r="AX120" i="2"/>
  <c r="AY119" i="2"/>
  <c r="AX119" i="2"/>
  <c r="AY118" i="2"/>
  <c r="AX118" i="2"/>
  <c r="AW120" i="2"/>
  <c r="AW119" i="2"/>
  <c r="AW118" i="2"/>
  <c r="AY81" i="2"/>
  <c r="AX81" i="2"/>
  <c r="AY80" i="2"/>
  <c r="AX80" i="2"/>
  <c r="AY79" i="2"/>
  <c r="AX79" i="2"/>
  <c r="AW81" i="2"/>
  <c r="AW80" i="2"/>
  <c r="AW79" i="2"/>
  <c r="AY102" i="2"/>
  <c r="AX102" i="2"/>
  <c r="AW102" i="2"/>
  <c r="AY103" i="2"/>
  <c r="AX103" i="2"/>
  <c r="AW103" i="2"/>
  <c r="AY104" i="2"/>
  <c r="AX104" i="2"/>
  <c r="AW104" i="2"/>
  <c r="AY105" i="2"/>
  <c r="AX105" i="2"/>
  <c r="AW105" i="2"/>
  <c r="AY106" i="2"/>
  <c r="AX106" i="2"/>
  <c r="AW106" i="2"/>
  <c r="AY107" i="2"/>
  <c r="AX107" i="2"/>
  <c r="AW107" i="2"/>
  <c r="AY108" i="2"/>
  <c r="AX108" i="2"/>
  <c r="AW108" i="2"/>
  <c r="C5" i="6"/>
  <c r="CC363" i="2"/>
  <c r="CC494" i="2"/>
  <c r="CC176" i="2"/>
  <c r="CC45" i="2"/>
  <c r="CC306" i="2"/>
  <c r="CC340" i="2"/>
  <c r="CC341" i="2"/>
  <c r="CC198" i="2"/>
  <c r="CC428" i="2"/>
  <c r="CC377" i="2"/>
  <c r="CC442" i="2"/>
  <c r="CC232" i="2"/>
  <c r="CC215" i="2"/>
  <c r="CC407" i="2"/>
  <c r="CC93" i="2"/>
  <c r="CC99" i="2"/>
  <c r="CC374" i="2"/>
  <c r="CC248" i="2"/>
  <c r="CC115" i="2"/>
  <c r="CC55" i="2"/>
  <c r="CC83" i="2"/>
  <c r="CC225" i="2"/>
  <c r="CC302" i="2"/>
  <c r="CC58" i="2"/>
  <c r="CC280" i="2"/>
  <c r="CC211" i="2"/>
  <c r="CC184" i="2"/>
  <c r="J62" i="14"/>
  <c r="D278" i="14"/>
  <c r="D277" i="14"/>
  <c r="D276" i="14"/>
  <c r="D275" i="14"/>
  <c r="D274" i="14"/>
  <c r="D273" i="14"/>
  <c r="D272" i="14"/>
  <c r="D271" i="14"/>
  <c r="D270" i="14"/>
  <c r="D269" i="14"/>
  <c r="D259" i="14"/>
  <c r="D260" i="14"/>
  <c r="D261" i="14"/>
  <c r="D262" i="14"/>
  <c r="D263" i="14"/>
  <c r="D264" i="14"/>
  <c r="D265" i="14"/>
  <c r="D266" i="14"/>
  <c r="D267" i="14"/>
  <c r="D268" i="14"/>
  <c r="AN112" i="2"/>
  <c r="AM112" i="2"/>
  <c r="AL112" i="2"/>
  <c r="AN111" i="2"/>
  <c r="AM111" i="2"/>
  <c r="AL111" i="2"/>
  <c r="AN110" i="2"/>
  <c r="AM110" i="2"/>
  <c r="AL110" i="2"/>
  <c r="AN108" i="2"/>
  <c r="AM108" i="2"/>
  <c r="AL108" i="2"/>
  <c r="AN107" i="2"/>
  <c r="AM107" i="2"/>
  <c r="AL107" i="2"/>
  <c r="AN106" i="2"/>
  <c r="AM106" i="2"/>
  <c r="AL106" i="2"/>
  <c r="AN105" i="2"/>
  <c r="AM105" i="2"/>
  <c r="AL105" i="2"/>
  <c r="AN104" i="2"/>
  <c r="AM104" i="2"/>
  <c r="AL104" i="2"/>
  <c r="AN103" i="2"/>
  <c r="AM103" i="2"/>
  <c r="AL103" i="2"/>
  <c r="AN102" i="2"/>
  <c r="AM102" i="2"/>
  <c r="AL102" i="2"/>
  <c r="AN116" i="2"/>
  <c r="AM116" i="2"/>
  <c r="AL116" i="2"/>
  <c r="AN115" i="2"/>
  <c r="AM115" i="2"/>
  <c r="AL115" i="2"/>
  <c r="AN114" i="2"/>
  <c r="AM114" i="2"/>
  <c r="AL114" i="2"/>
  <c r="AN120" i="2"/>
  <c r="AM120" i="2"/>
  <c r="AL120" i="2"/>
  <c r="AN119" i="2"/>
  <c r="AM119" i="2"/>
  <c r="AL119" i="2"/>
  <c r="AN118" i="2"/>
  <c r="AM118" i="2"/>
  <c r="AL118" i="2"/>
  <c r="AN100" i="2"/>
  <c r="AM100" i="2"/>
  <c r="AL100" i="2"/>
  <c r="AN99" i="2"/>
  <c r="AM99" i="2"/>
  <c r="AL99" i="2"/>
  <c r="AN98" i="2"/>
  <c r="AM98" i="2"/>
  <c r="AL98" i="2"/>
  <c r="AN88" i="2"/>
  <c r="AM88" i="2"/>
  <c r="AL88" i="2"/>
  <c r="AN87" i="2"/>
  <c r="AM87" i="2"/>
  <c r="AL87" i="2"/>
  <c r="AN86" i="2"/>
  <c r="AM86" i="2"/>
  <c r="AL86" i="2"/>
  <c r="AN81" i="2"/>
  <c r="AM81" i="2"/>
  <c r="AL81" i="2"/>
  <c r="AN80" i="2"/>
  <c r="AM80" i="2"/>
  <c r="AL80" i="2"/>
  <c r="AN79" i="2"/>
  <c r="AM79" i="2"/>
  <c r="AL79" i="2"/>
  <c r="AN96" i="2"/>
  <c r="AM96" i="2"/>
  <c r="AL96" i="2"/>
  <c r="AN95" i="2"/>
  <c r="AM95" i="2"/>
  <c r="AL95" i="2"/>
  <c r="AN94" i="2"/>
  <c r="AM94" i="2"/>
  <c r="AL94" i="2"/>
  <c r="AN92" i="2"/>
  <c r="AM92" i="2"/>
  <c r="AL92" i="2"/>
  <c r="AN91" i="2"/>
  <c r="AM91" i="2"/>
  <c r="AL91" i="2"/>
  <c r="AN90" i="2"/>
  <c r="AM90" i="2"/>
  <c r="AL90" i="2"/>
  <c r="AN77" i="2"/>
  <c r="AM77" i="2"/>
  <c r="AL77" i="2"/>
  <c r="AN76" i="2"/>
  <c r="AM76" i="2"/>
  <c r="AL76" i="2"/>
  <c r="AN75" i="2"/>
  <c r="AM75" i="2"/>
  <c r="AL75" i="2"/>
  <c r="AS129" i="2"/>
  <c r="AR129" i="2"/>
  <c r="AQ129" i="2"/>
  <c r="AP129" i="2"/>
  <c r="AO129" i="2"/>
  <c r="AN129" i="2"/>
  <c r="AM129" i="2"/>
  <c r="AL129" i="2"/>
  <c r="AK129" i="2"/>
  <c r="AJ129" i="2"/>
  <c r="AI129" i="2"/>
  <c r="AH129" i="2"/>
  <c r="AG129" i="2"/>
  <c r="AF129" i="2"/>
  <c r="AE129" i="2"/>
  <c r="AD129" i="2"/>
  <c r="AC129" i="2"/>
  <c r="AB129" i="2"/>
  <c r="AA129" i="2"/>
  <c r="Z129" i="2"/>
  <c r="Y129" i="2"/>
  <c r="J59" i="14"/>
  <c r="J60" i="14"/>
  <c r="D258" i="14"/>
  <c r="D44" i="14"/>
  <c r="D257" i="14"/>
  <c r="D255" i="14"/>
  <c r="D256" i="14"/>
  <c r="D254" i="14"/>
  <c r="D253" i="14"/>
  <c r="D252" i="14"/>
  <c r="D251" i="14"/>
  <c r="D250" i="14"/>
  <c r="D249" i="14"/>
  <c r="C245" i="14"/>
  <c r="D248" i="14"/>
  <c r="D247" i="14"/>
  <c r="D246" i="14"/>
  <c r="D245" i="14"/>
  <c r="D244" i="14"/>
  <c r="D243" i="14"/>
  <c r="D242" i="14"/>
  <c r="D241" i="14"/>
  <c r="D240" i="14"/>
  <c r="D239" i="14"/>
  <c r="D238" i="14"/>
  <c r="D237" i="14"/>
  <c r="D236" i="14"/>
  <c r="D235" i="14"/>
  <c r="D234" i="14"/>
  <c r="D233" i="14"/>
  <c r="D232" i="14"/>
  <c r="D231" i="14"/>
  <c r="D227" i="14"/>
  <c r="D228" i="14"/>
  <c r="D229" i="14"/>
  <c r="D230" i="14"/>
  <c r="J61" i="14"/>
  <c r="J58" i="14"/>
  <c r="J57" i="14"/>
  <c r="J56" i="14"/>
  <c r="J55" i="14"/>
  <c r="J54" i="14"/>
  <c r="J53" i="14"/>
  <c r="J52" i="14"/>
  <c r="J43" i="14"/>
  <c r="J44" i="14"/>
  <c r="J45" i="14"/>
  <c r="J46" i="14"/>
  <c r="J47" i="14"/>
  <c r="J48" i="14"/>
  <c r="J49" i="14"/>
  <c r="J50" i="14"/>
  <c r="J51" i="14"/>
  <c r="I40" i="14"/>
  <c r="AS124" i="2"/>
  <c r="AR124" i="2"/>
  <c r="AQ124" i="2"/>
  <c r="AP124" i="2"/>
  <c r="AO124" i="2"/>
  <c r="AN124" i="2"/>
  <c r="AM124" i="2"/>
  <c r="AL124" i="2"/>
  <c r="AK124" i="2"/>
  <c r="AJ124" i="2"/>
  <c r="AI124" i="2"/>
  <c r="AH124" i="2"/>
  <c r="AG124" i="2"/>
  <c r="AF124" i="2"/>
  <c r="AE124" i="2"/>
  <c r="AD124" i="2"/>
  <c r="AC124" i="2"/>
  <c r="AB124" i="2"/>
  <c r="AA124" i="2"/>
  <c r="Z124" i="2"/>
  <c r="Y124" i="2"/>
  <c r="AS125" i="2"/>
  <c r="AR125" i="2"/>
  <c r="AQ125" i="2"/>
  <c r="AP125" i="2"/>
  <c r="AO125" i="2"/>
  <c r="AN125" i="2"/>
  <c r="AM125" i="2"/>
  <c r="AL125" i="2"/>
  <c r="AK125" i="2"/>
  <c r="AJ125" i="2"/>
  <c r="AI125" i="2"/>
  <c r="AH125" i="2"/>
  <c r="AG125" i="2"/>
  <c r="AF125" i="2"/>
  <c r="AE125" i="2"/>
  <c r="AD125" i="2"/>
  <c r="AC125" i="2"/>
  <c r="AB125" i="2"/>
  <c r="AA125" i="2"/>
  <c r="Z125" i="2"/>
  <c r="Y125" i="2"/>
  <c r="AS122" i="2"/>
  <c r="AR122" i="2"/>
  <c r="AQ122" i="2"/>
  <c r="AP122" i="2"/>
  <c r="AO122" i="2"/>
  <c r="AN122" i="2"/>
  <c r="AM122" i="2"/>
  <c r="AL122" i="2"/>
  <c r="AK122" i="2"/>
  <c r="AJ122" i="2"/>
  <c r="AI122" i="2"/>
  <c r="AH122" i="2"/>
  <c r="AG122" i="2"/>
  <c r="AF122" i="2"/>
  <c r="AE122" i="2"/>
  <c r="AD122" i="2"/>
  <c r="AC122" i="2"/>
  <c r="AB122" i="2"/>
  <c r="AA122" i="2"/>
  <c r="Z122" i="2"/>
  <c r="Y122" i="2"/>
  <c r="AS491" i="2"/>
  <c r="AR491" i="2"/>
  <c r="AQ491" i="2"/>
  <c r="AP491" i="2"/>
  <c r="AO491" i="2"/>
  <c r="AN491" i="2"/>
  <c r="AM491" i="2"/>
  <c r="AL491" i="2"/>
  <c r="AK491" i="2"/>
  <c r="AJ491" i="2"/>
  <c r="AI491" i="2"/>
  <c r="AH491" i="2"/>
  <c r="AG491" i="2"/>
  <c r="AF491" i="2"/>
  <c r="AE491" i="2"/>
  <c r="AD491" i="2"/>
  <c r="AC491" i="2"/>
  <c r="AB491" i="2"/>
  <c r="AA491" i="2"/>
  <c r="Z491" i="2"/>
  <c r="Y491" i="2"/>
  <c r="AS142" i="2"/>
  <c r="AR142" i="2"/>
  <c r="AQ142" i="2"/>
  <c r="AP142" i="2"/>
  <c r="AO142" i="2"/>
  <c r="AN142" i="2"/>
  <c r="AM142" i="2"/>
  <c r="AL142" i="2"/>
  <c r="AK142" i="2"/>
  <c r="AJ142" i="2"/>
  <c r="AI142" i="2"/>
  <c r="AH142" i="2"/>
  <c r="AG142" i="2"/>
  <c r="AF142" i="2"/>
  <c r="AE142" i="2"/>
  <c r="AD142" i="2"/>
  <c r="AC142" i="2"/>
  <c r="AB142" i="2"/>
  <c r="AA142" i="2"/>
  <c r="Z142" i="2"/>
  <c r="Y142" i="2"/>
  <c r="AS135" i="2"/>
  <c r="AR135" i="2"/>
  <c r="AQ135" i="2"/>
  <c r="AP135" i="2"/>
  <c r="AO135" i="2"/>
  <c r="AN135" i="2"/>
  <c r="AM135" i="2"/>
  <c r="AL135" i="2"/>
  <c r="AK135" i="2"/>
  <c r="AJ135" i="2"/>
  <c r="AI135" i="2"/>
  <c r="AH135" i="2"/>
  <c r="AG135" i="2"/>
  <c r="AF135" i="2"/>
  <c r="AE135" i="2"/>
  <c r="AD135" i="2"/>
  <c r="AC135" i="2"/>
  <c r="AB135" i="2"/>
  <c r="AA135" i="2"/>
  <c r="Z135" i="2"/>
  <c r="Y135" i="2"/>
  <c r="AS133" i="2"/>
  <c r="AR133" i="2"/>
  <c r="AQ133" i="2"/>
  <c r="AP133" i="2"/>
  <c r="AO133" i="2"/>
  <c r="AN133" i="2"/>
  <c r="AM133" i="2"/>
  <c r="AL133" i="2"/>
  <c r="AK133" i="2"/>
  <c r="AJ133" i="2"/>
  <c r="AI133" i="2"/>
  <c r="AH133" i="2"/>
  <c r="AG133" i="2"/>
  <c r="AF133" i="2"/>
  <c r="AE133" i="2"/>
  <c r="AD133" i="2"/>
  <c r="AC133" i="2"/>
  <c r="AB133" i="2"/>
  <c r="AA133" i="2"/>
  <c r="Z133" i="2"/>
  <c r="Y133" i="2"/>
  <c r="AS139" i="2"/>
  <c r="AR139" i="2"/>
  <c r="AQ139" i="2"/>
  <c r="AP139" i="2"/>
  <c r="AO139" i="2"/>
  <c r="AN139" i="2"/>
  <c r="AM139" i="2"/>
  <c r="AL139" i="2"/>
  <c r="AK139" i="2"/>
  <c r="AJ139" i="2"/>
  <c r="AI139" i="2"/>
  <c r="AH139" i="2"/>
  <c r="AG139" i="2"/>
  <c r="AF139" i="2"/>
  <c r="AE139" i="2"/>
  <c r="AD139" i="2"/>
  <c r="AC139" i="2"/>
  <c r="AB139" i="2"/>
  <c r="AA139" i="2"/>
  <c r="Z139" i="2"/>
  <c r="Y139" i="2"/>
  <c r="AS144" i="2"/>
  <c r="AR144" i="2"/>
  <c r="AQ144" i="2"/>
  <c r="AP144" i="2"/>
  <c r="AO144" i="2"/>
  <c r="AN144" i="2"/>
  <c r="AM144" i="2"/>
  <c r="AL144" i="2"/>
  <c r="AK144" i="2"/>
  <c r="AJ144" i="2"/>
  <c r="AI144" i="2"/>
  <c r="AH144" i="2"/>
  <c r="AG144" i="2"/>
  <c r="AF144" i="2"/>
  <c r="AE144" i="2"/>
  <c r="AD144" i="2"/>
  <c r="AC144" i="2"/>
  <c r="AB144" i="2"/>
  <c r="AA144" i="2"/>
  <c r="Z144" i="2"/>
  <c r="Y144" i="2"/>
  <c r="AS143" i="2"/>
  <c r="AR143" i="2"/>
  <c r="AQ143" i="2"/>
  <c r="AP143" i="2"/>
  <c r="AO143" i="2"/>
  <c r="AN143" i="2"/>
  <c r="AM143" i="2"/>
  <c r="AL143" i="2"/>
  <c r="AK143" i="2"/>
  <c r="AJ143" i="2"/>
  <c r="AI143" i="2"/>
  <c r="AH143" i="2"/>
  <c r="AG143" i="2"/>
  <c r="AF143" i="2"/>
  <c r="AE143" i="2"/>
  <c r="AD143" i="2"/>
  <c r="AC143" i="2"/>
  <c r="AB143" i="2"/>
  <c r="AA143" i="2"/>
  <c r="Z143" i="2"/>
  <c r="Y143" i="2"/>
  <c r="AS128" i="2"/>
  <c r="AR128" i="2"/>
  <c r="AQ128" i="2"/>
  <c r="AP128" i="2"/>
  <c r="AO128" i="2"/>
  <c r="AN128" i="2"/>
  <c r="AM128" i="2"/>
  <c r="AL128" i="2"/>
  <c r="AK128" i="2"/>
  <c r="AJ128" i="2"/>
  <c r="AI128" i="2"/>
  <c r="AH128" i="2"/>
  <c r="AG128" i="2"/>
  <c r="AF128" i="2"/>
  <c r="AE128" i="2"/>
  <c r="AD128" i="2"/>
  <c r="AC128" i="2"/>
  <c r="AB128" i="2"/>
  <c r="AA128" i="2"/>
  <c r="Z128" i="2"/>
  <c r="Y128" i="2"/>
  <c r="AS126" i="2"/>
  <c r="AR126" i="2"/>
  <c r="AQ126" i="2"/>
  <c r="AP126" i="2"/>
  <c r="AO126" i="2"/>
  <c r="AN126" i="2"/>
  <c r="AM126" i="2"/>
  <c r="AL126" i="2"/>
  <c r="AK126" i="2"/>
  <c r="AJ126" i="2"/>
  <c r="AI126" i="2"/>
  <c r="AH126" i="2"/>
  <c r="AG126" i="2"/>
  <c r="AF126" i="2"/>
  <c r="AE126" i="2"/>
  <c r="AD126" i="2"/>
  <c r="AC126" i="2"/>
  <c r="AB126" i="2"/>
  <c r="AA126" i="2"/>
  <c r="Z126" i="2"/>
  <c r="Y126" i="2"/>
  <c r="AS121" i="2"/>
  <c r="AR121" i="2"/>
  <c r="AQ121" i="2"/>
  <c r="AP121" i="2"/>
  <c r="AO121" i="2"/>
  <c r="AN121" i="2"/>
  <c r="AM121" i="2"/>
  <c r="AL121" i="2"/>
  <c r="AK121" i="2"/>
  <c r="AJ121" i="2"/>
  <c r="AI121" i="2"/>
  <c r="AH121" i="2"/>
  <c r="AG121" i="2"/>
  <c r="AF121" i="2"/>
  <c r="AE121" i="2"/>
  <c r="AD121" i="2"/>
  <c r="AC121" i="2"/>
  <c r="AB121" i="2"/>
  <c r="AA121" i="2"/>
  <c r="Z121" i="2"/>
  <c r="Y121" i="2"/>
  <c r="AS123" i="2"/>
  <c r="AR123" i="2"/>
  <c r="AQ123" i="2"/>
  <c r="AP123" i="2"/>
  <c r="AO123" i="2"/>
  <c r="AN123" i="2"/>
  <c r="AM123" i="2"/>
  <c r="AL123" i="2"/>
  <c r="AK123" i="2"/>
  <c r="AJ123" i="2"/>
  <c r="AI123" i="2"/>
  <c r="AH123" i="2"/>
  <c r="AG123" i="2"/>
  <c r="AF123" i="2"/>
  <c r="AE123" i="2"/>
  <c r="AD123" i="2"/>
  <c r="AC123" i="2"/>
  <c r="AB123" i="2"/>
  <c r="AA123" i="2"/>
  <c r="Z123" i="2"/>
  <c r="Y123" i="2"/>
  <c r="AS492" i="2"/>
  <c r="AR492" i="2"/>
  <c r="AQ492" i="2"/>
  <c r="AP492" i="2"/>
  <c r="AO492" i="2"/>
  <c r="AN492" i="2"/>
  <c r="AM492" i="2"/>
  <c r="AL492" i="2"/>
  <c r="AK492" i="2"/>
  <c r="AJ492" i="2"/>
  <c r="AI492" i="2"/>
  <c r="AH492" i="2"/>
  <c r="AG492" i="2"/>
  <c r="AF492" i="2"/>
  <c r="AE492" i="2"/>
  <c r="AD492" i="2"/>
  <c r="AC492" i="2"/>
  <c r="AB492" i="2"/>
  <c r="AA492" i="2"/>
  <c r="Z492" i="2"/>
  <c r="Y492" i="2"/>
  <c r="AS141" i="2"/>
  <c r="AR141" i="2"/>
  <c r="AQ141" i="2"/>
  <c r="AP141" i="2"/>
  <c r="AO141" i="2"/>
  <c r="AN141" i="2"/>
  <c r="AM141" i="2"/>
  <c r="AL141" i="2"/>
  <c r="AK141" i="2"/>
  <c r="AJ141" i="2"/>
  <c r="AI141" i="2"/>
  <c r="AH141" i="2"/>
  <c r="AG141" i="2"/>
  <c r="AF141" i="2"/>
  <c r="AE141" i="2"/>
  <c r="AD141" i="2"/>
  <c r="AC141" i="2"/>
  <c r="AB141" i="2"/>
  <c r="AA141" i="2"/>
  <c r="Z141" i="2"/>
  <c r="Y141" i="2"/>
  <c r="AS146" i="2"/>
  <c r="AR146" i="2"/>
  <c r="AQ146" i="2"/>
  <c r="AP146" i="2"/>
  <c r="AO146" i="2"/>
  <c r="AN146" i="2"/>
  <c r="AM146" i="2"/>
  <c r="AL146" i="2"/>
  <c r="AK146" i="2"/>
  <c r="AJ146" i="2"/>
  <c r="AI146" i="2"/>
  <c r="AH146" i="2"/>
  <c r="AG146" i="2"/>
  <c r="AF146" i="2"/>
  <c r="AE146" i="2"/>
  <c r="AD146" i="2"/>
  <c r="AC146" i="2"/>
  <c r="AB146" i="2"/>
  <c r="AA146" i="2"/>
  <c r="Z146" i="2"/>
  <c r="Y146" i="2"/>
  <c r="AS136" i="2"/>
  <c r="AR136" i="2"/>
  <c r="AQ136" i="2"/>
  <c r="AP136" i="2"/>
  <c r="AO136" i="2"/>
  <c r="AN136" i="2"/>
  <c r="AM136" i="2"/>
  <c r="AL136" i="2"/>
  <c r="AK136" i="2"/>
  <c r="AJ136" i="2"/>
  <c r="AI136" i="2"/>
  <c r="AH136" i="2"/>
  <c r="AG136" i="2"/>
  <c r="AF136" i="2"/>
  <c r="AE136" i="2"/>
  <c r="AA136" i="2"/>
  <c r="Z136" i="2"/>
  <c r="Y136" i="2"/>
  <c r="AA138" i="2"/>
  <c r="BU138" i="2" s="1" a="1"/>
  <c r="BU138" i="2" s="1"/>
  <c r="BX138" i="2" s="1"/>
  <c r="BY138" i="2" s="1"/>
  <c r="Z138" i="2"/>
  <c r="Y138" i="2"/>
  <c r="AS490" i="2"/>
  <c r="AR490" i="2"/>
  <c r="AQ490" i="2"/>
  <c r="AP490" i="2"/>
  <c r="AO490" i="2"/>
  <c r="AN490" i="2"/>
  <c r="AM490" i="2"/>
  <c r="AL490" i="2"/>
  <c r="AK490" i="2"/>
  <c r="AJ490" i="2"/>
  <c r="AI490" i="2"/>
  <c r="AH490" i="2"/>
  <c r="AS137" i="2"/>
  <c r="AR137" i="2"/>
  <c r="AQ137" i="2"/>
  <c r="AP137" i="2"/>
  <c r="AO137" i="2"/>
  <c r="AN137" i="2"/>
  <c r="AM137" i="2"/>
  <c r="AL137" i="2"/>
  <c r="AK137" i="2"/>
  <c r="AJ137" i="2"/>
  <c r="AI137" i="2"/>
  <c r="AH137" i="2"/>
  <c r="AG137" i="2"/>
  <c r="AF137" i="2"/>
  <c r="AE137" i="2"/>
  <c r="AD137" i="2"/>
  <c r="AC137" i="2"/>
  <c r="AB137" i="2"/>
  <c r="AA137" i="2"/>
  <c r="Z137" i="2"/>
  <c r="Y137" i="2"/>
  <c r="AS134" i="2"/>
  <c r="AR134" i="2"/>
  <c r="AQ134" i="2"/>
  <c r="AP134" i="2"/>
  <c r="AO134" i="2"/>
  <c r="AN134" i="2"/>
  <c r="AM134" i="2"/>
  <c r="AL134" i="2"/>
  <c r="AK134" i="2"/>
  <c r="AJ134" i="2"/>
  <c r="AI134" i="2"/>
  <c r="AH134" i="2"/>
  <c r="AG134" i="2"/>
  <c r="AF134" i="2"/>
  <c r="AE134" i="2"/>
  <c r="AD134" i="2"/>
  <c r="AC134" i="2"/>
  <c r="AB134" i="2"/>
  <c r="AA134" i="2"/>
  <c r="Z134" i="2"/>
  <c r="Y134" i="2"/>
  <c r="D222" i="14"/>
  <c r="D223" i="14"/>
  <c r="D224" i="14"/>
  <c r="D225" i="14"/>
  <c r="D226" i="14"/>
  <c r="D39" i="14"/>
  <c r="D40" i="14"/>
  <c r="D41" i="14"/>
  <c r="D42" i="14"/>
  <c r="D43"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02" i="14"/>
  <c r="D203" i="14"/>
  <c r="D204" i="14"/>
  <c r="D205" i="14"/>
  <c r="D206" i="14"/>
  <c r="D207" i="14"/>
  <c r="D208" i="14"/>
  <c r="D209" i="14"/>
  <c r="D210" i="14"/>
  <c r="D211" i="14"/>
  <c r="D212" i="14"/>
  <c r="D213" i="14"/>
  <c r="D214" i="14"/>
  <c r="D215" i="14"/>
  <c r="D216" i="14"/>
  <c r="D217" i="14"/>
  <c r="D218" i="14"/>
  <c r="D219" i="14"/>
  <c r="D220" i="14"/>
  <c r="D221" i="14"/>
  <c r="D171" i="14"/>
  <c r="AB27" i="2"/>
  <c r="AB28" i="2"/>
  <c r="AB29" i="2"/>
  <c r="AB31" i="2"/>
  <c r="AC27" i="2"/>
  <c r="AC28" i="2"/>
  <c r="AC29" i="2"/>
  <c r="AC31" i="2"/>
  <c r="AD27" i="2"/>
  <c r="AD28" i="2"/>
  <c r="AD29" i="2"/>
  <c r="AD31" i="2"/>
  <c r="AE27" i="2"/>
  <c r="AE28" i="2"/>
  <c r="AE29" i="2"/>
  <c r="AE31" i="2"/>
  <c r="AF27" i="2"/>
  <c r="AG27" i="2"/>
  <c r="AH27" i="2"/>
  <c r="AI27" i="2"/>
  <c r="AJ27" i="2"/>
  <c r="AF28" i="2"/>
  <c r="AG28" i="2"/>
  <c r="AH28" i="2"/>
  <c r="AI28" i="2"/>
  <c r="AJ28" i="2"/>
  <c r="AF29" i="2"/>
  <c r="AG29" i="2"/>
  <c r="AH29" i="2"/>
  <c r="AI29" i="2"/>
  <c r="AJ29" i="2"/>
  <c r="AF31" i="2"/>
  <c r="AG31" i="2"/>
  <c r="AH31" i="2"/>
  <c r="AI31" i="2"/>
  <c r="AJ31" i="2"/>
  <c r="AK27" i="2"/>
  <c r="AK28" i="2"/>
  <c r="AK29" i="2"/>
  <c r="AK31" i="2"/>
  <c r="AL27" i="2"/>
  <c r="AM27" i="2"/>
  <c r="AN27" i="2"/>
  <c r="AL28" i="2"/>
  <c r="AM28" i="2"/>
  <c r="AN28" i="2"/>
  <c r="AL29" i="2"/>
  <c r="AM29" i="2"/>
  <c r="AN29" i="2"/>
  <c r="AL31" i="2"/>
  <c r="AM31" i="2"/>
  <c r="AN31" i="2"/>
  <c r="AO27" i="2"/>
  <c r="AO28" i="2"/>
  <c r="AO29" i="2"/>
  <c r="AO31" i="2"/>
  <c r="AP27" i="2"/>
  <c r="AQ27" i="2"/>
  <c r="AP28" i="2"/>
  <c r="AQ28" i="2"/>
  <c r="AP29" i="2"/>
  <c r="AQ29" i="2"/>
  <c r="AP31" i="2"/>
  <c r="AQ31" i="2"/>
  <c r="CG35" i="2"/>
  <c r="AM163" i="2"/>
  <c r="AL163" i="2"/>
  <c r="AM162" i="2"/>
  <c r="AL162" i="2"/>
  <c r="AM161" i="2"/>
  <c r="AL161" i="2"/>
  <c r="AK163" i="2"/>
  <c r="AK162" i="2"/>
  <c r="AK161" i="2"/>
  <c r="AM198" i="2"/>
  <c r="AL198" i="2"/>
  <c r="AK198" i="2"/>
  <c r="AM197" i="2"/>
  <c r="AL197" i="2"/>
  <c r="AK197" i="2"/>
  <c r="AM196" i="2"/>
  <c r="AL196" i="2"/>
  <c r="AK196" i="2"/>
  <c r="AM185" i="2"/>
  <c r="AL185" i="2"/>
  <c r="AK185" i="2"/>
  <c r="AM184" i="2"/>
  <c r="AL184" i="2"/>
  <c r="AK184" i="2"/>
  <c r="AM183" i="2"/>
  <c r="AL183" i="2"/>
  <c r="AK183" i="2"/>
  <c r="AM181" i="2"/>
  <c r="AL181" i="2"/>
  <c r="AK181" i="2"/>
  <c r="AM180" i="2"/>
  <c r="AL180" i="2"/>
  <c r="AK180" i="2"/>
  <c r="AM179" i="2"/>
  <c r="AL179" i="2"/>
  <c r="AK179" i="2"/>
  <c r="AM150" i="2"/>
  <c r="AL150" i="2"/>
  <c r="AM149" i="2"/>
  <c r="AL149" i="2"/>
  <c r="AM148" i="2"/>
  <c r="AL148" i="2"/>
  <c r="AK150" i="2"/>
  <c r="AK149" i="2"/>
  <c r="AK148" i="2"/>
  <c r="AM193" i="2"/>
  <c r="AL193" i="2"/>
  <c r="AK193" i="2"/>
  <c r="AM192" i="2"/>
  <c r="AL192" i="2"/>
  <c r="AK192" i="2"/>
  <c r="AM191" i="2"/>
  <c r="AL191" i="2"/>
  <c r="AK191" i="2"/>
  <c r="AM189" i="2"/>
  <c r="AL189" i="2"/>
  <c r="AM188" i="2"/>
  <c r="AL188" i="2"/>
  <c r="AM187" i="2"/>
  <c r="AL187" i="2"/>
  <c r="AK189" i="2"/>
  <c r="AK188" i="2"/>
  <c r="AK187" i="2"/>
  <c r="AM210" i="2"/>
  <c r="AL210" i="2"/>
  <c r="AK210" i="2"/>
  <c r="AM209" i="2"/>
  <c r="AL209" i="2"/>
  <c r="AK209" i="2"/>
  <c r="AM208" i="2"/>
  <c r="AL208" i="2"/>
  <c r="AK208" i="2"/>
  <c r="AM206" i="2"/>
  <c r="AL206" i="2"/>
  <c r="AM205" i="2"/>
  <c r="AL205" i="2"/>
  <c r="AM204" i="2"/>
  <c r="AL204" i="2"/>
  <c r="AK206" i="2"/>
  <c r="AK205" i="2"/>
  <c r="AK204" i="2"/>
  <c r="AM176" i="2"/>
  <c r="AL176" i="2"/>
  <c r="AK176" i="2"/>
  <c r="AM175" i="2"/>
  <c r="AL175" i="2"/>
  <c r="AK175" i="2"/>
  <c r="AM174" i="2"/>
  <c r="AL174" i="2"/>
  <c r="AK174" i="2"/>
  <c r="AM158" i="2"/>
  <c r="AL158" i="2"/>
  <c r="AK158" i="2"/>
  <c r="AM157" i="2"/>
  <c r="AL157" i="2"/>
  <c r="AK157" i="2"/>
  <c r="AM156" i="2"/>
  <c r="AL156" i="2"/>
  <c r="AK156" i="2"/>
  <c r="AM218" i="2"/>
  <c r="AL218" i="2"/>
  <c r="AK218" i="2"/>
  <c r="AM217" i="2"/>
  <c r="AL217" i="2"/>
  <c r="AK217" i="2"/>
  <c r="AM216" i="2"/>
  <c r="AL216" i="2"/>
  <c r="AK216" i="2"/>
  <c r="C6" i="6"/>
  <c r="C4" i="6"/>
  <c r="C3" i="6"/>
  <c r="AG15" i="2"/>
  <c r="AF15" i="2"/>
  <c r="AG14" i="2"/>
  <c r="AF14" i="2"/>
  <c r="AE15" i="2"/>
  <c r="AE14" i="2"/>
  <c r="AD15" i="2"/>
  <c r="AC15" i="2"/>
  <c r="AD14" i="2"/>
  <c r="AC14" i="2"/>
  <c r="AB15" i="2"/>
  <c r="AB14" i="2"/>
  <c r="D13" i="15"/>
  <c r="B5" i="6"/>
  <c r="B4" i="6"/>
  <c r="B3" i="6"/>
  <c r="CD28" i="2" l="1"/>
  <c r="CE28" i="2" s="1"/>
  <c r="BY405" i="2"/>
  <c r="CB2" i="2"/>
  <c r="CB76" i="2" s="1"/>
  <c r="BY424" i="2"/>
  <c r="BY404" i="2"/>
  <c r="BY402" i="2"/>
  <c r="CD383" i="2" s="1"/>
  <c r="BY473" i="2"/>
  <c r="BZ477" i="2"/>
  <c r="BZ473" i="2"/>
  <c r="BZ404" i="2"/>
  <c r="BZ401" i="2"/>
  <c r="BZ482" i="2"/>
  <c r="BZ476" i="2"/>
  <c r="BZ405" i="2"/>
  <c r="BZ402" i="2"/>
  <c r="BZ472" i="2"/>
  <c r="BZ474" i="2"/>
  <c r="BZ481" i="2"/>
  <c r="BZ478" i="2"/>
  <c r="BZ479" i="2"/>
  <c r="BZ406" i="2"/>
  <c r="BZ403" i="2"/>
  <c r="BZ400" i="2"/>
  <c r="BZ346" i="2"/>
  <c r="BZ424" i="2"/>
  <c r="BY406" i="2"/>
  <c r="BY403" i="2"/>
  <c r="BY400" i="2"/>
  <c r="CH400" i="2"/>
  <c r="CH401" i="2"/>
  <c r="CH406" i="2"/>
  <c r="CH506" i="2"/>
  <c r="CH505" i="2"/>
  <c r="CH507" i="2"/>
  <c r="CH403" i="2"/>
  <c r="CH404" i="2"/>
  <c r="CH405" i="2"/>
  <c r="CH509" i="2"/>
  <c r="CH402" i="2"/>
  <c r="CH508" i="2"/>
  <c r="CH477" i="2"/>
  <c r="CH474" i="2"/>
  <c r="BY475" i="2"/>
  <c r="CH473" i="2"/>
  <c r="CB475" i="2"/>
  <c r="BY476" i="2"/>
  <c r="CH475" i="2"/>
  <c r="CH479" i="2"/>
  <c r="CH476" i="2"/>
  <c r="CA508" i="2"/>
  <c r="CD508" i="2" s="1"/>
  <c r="CD507" i="2"/>
  <c r="CD505" i="2"/>
  <c r="BY479" i="2"/>
  <c r="CD419" i="2" s="1"/>
  <c r="CD509" i="2"/>
  <c r="CD506" i="2"/>
  <c r="CD510" i="2"/>
  <c r="CH511" i="2"/>
  <c r="CH510" i="2"/>
  <c r="BY480" i="2"/>
  <c r="CD511" i="2"/>
  <c r="BY477" i="2"/>
  <c r="CB478" i="2"/>
  <c r="CH478" i="2"/>
  <c r="BY478" i="2"/>
  <c r="BY481" i="2"/>
  <c r="CD421" i="2" s="1"/>
  <c r="BY472" i="2"/>
  <c r="CH472" i="2"/>
  <c r="BY482" i="2"/>
  <c r="BY465" i="2"/>
  <c r="CH482" i="2"/>
  <c r="CH465" i="2"/>
  <c r="CH480" i="2"/>
  <c r="CH481" i="2"/>
  <c r="CH39" i="2"/>
  <c r="BY355" i="2"/>
  <c r="CH393" i="2"/>
  <c r="CH441" i="2"/>
  <c r="BY156" i="2"/>
  <c r="CH420" i="2"/>
  <c r="BY206" i="2"/>
  <c r="BY55" i="2"/>
  <c r="BY417" i="2"/>
  <c r="BY193" i="2"/>
  <c r="BU352" i="2" a="1"/>
  <c r="BU352" i="2" s="1"/>
  <c r="BX352" i="2" s="1"/>
  <c r="BY352" i="2" s="1"/>
  <c r="BY308" i="2"/>
  <c r="BY322" i="2"/>
  <c r="BY315" i="2"/>
  <c r="BY112" i="2"/>
  <c r="BY84" i="2"/>
  <c r="CH150" i="2"/>
  <c r="CH250" i="2"/>
  <c r="CH25" i="2"/>
  <c r="CH321" i="2"/>
  <c r="CH327" i="2"/>
  <c r="CH76" i="2"/>
  <c r="BV319" i="2" a="1"/>
  <c r="BV319" i="2" s="1"/>
  <c r="BV330" i="2" a="1"/>
  <c r="BV330" i="2" s="1"/>
  <c r="BW352" i="2" a="1"/>
  <c r="BW352" i="2" s="1"/>
  <c r="BW330" i="2" a="1"/>
  <c r="BW330" i="2" s="1"/>
  <c r="BU319" i="2" a="1"/>
  <c r="BU319" i="2" s="1"/>
  <c r="BX319" i="2" s="1"/>
  <c r="BY319" i="2" s="1"/>
  <c r="BY216" i="2"/>
  <c r="BY183" i="2"/>
  <c r="BV138" i="2" a="1"/>
  <c r="BV138" i="2" s="1"/>
  <c r="CH397" i="2"/>
  <c r="BY162" i="2"/>
  <c r="BY50" i="2"/>
  <c r="BY225" i="2"/>
  <c r="BY189" i="2"/>
  <c r="BY177" i="2"/>
  <c r="BY9" i="2"/>
  <c r="BY22" i="2"/>
  <c r="BY227" i="2"/>
  <c r="BU330" i="2" a="1"/>
  <c r="BU330" i="2" s="1"/>
  <c r="BX330" i="2" s="1"/>
  <c r="BY330" i="2" s="1"/>
  <c r="BY63" i="2"/>
  <c r="BY21" i="2"/>
  <c r="CH31" i="2"/>
  <c r="CH60" i="2"/>
  <c r="BV352" i="2" a="1"/>
  <c r="BV352" i="2" s="1"/>
  <c r="BY312" i="2"/>
  <c r="CB1" i="2"/>
  <c r="CB44" i="2" s="1"/>
  <c r="BW319" i="2" a="1"/>
  <c r="BW319" i="2" s="1"/>
  <c r="BY448" i="2"/>
  <c r="BY398" i="2"/>
  <c r="BY223" i="2"/>
  <c r="BY164" i="2"/>
  <c r="BY184" i="2"/>
  <c r="BY343" i="2"/>
  <c r="BY307" i="2"/>
  <c r="BY321" i="2"/>
  <c r="CH330" i="2"/>
  <c r="BY392" i="2"/>
  <c r="BY414" i="2"/>
  <c r="BY212" i="2"/>
  <c r="CD491" i="2" s="1"/>
  <c r="BY179" i="2"/>
  <c r="BY241" i="2"/>
  <c r="CH204" i="2"/>
  <c r="BY413" i="2"/>
  <c r="CH189" i="2"/>
  <c r="CH177" i="2"/>
  <c r="CH495" i="2"/>
  <c r="CH227" i="2"/>
  <c r="BY259" i="2"/>
  <c r="BY388" i="2"/>
  <c r="BY194" i="2"/>
  <c r="BY394" i="2"/>
  <c r="CD429" i="2" s="1"/>
  <c r="BY260" i="2"/>
  <c r="BY349" i="2"/>
  <c r="BY86" i="2"/>
  <c r="BY46" i="2"/>
  <c r="BY373" i="2"/>
  <c r="BY449" i="2"/>
  <c r="BY425" i="2"/>
  <c r="BY59" i="2"/>
  <c r="BY498" i="2"/>
  <c r="BY338" i="2"/>
  <c r="BY66" i="2"/>
  <c r="BY296" i="2"/>
  <c r="BY284" i="2"/>
  <c r="BY45" i="2"/>
  <c r="BY381" i="2"/>
  <c r="BY497" i="2"/>
  <c r="BY81" i="2"/>
  <c r="BY77" i="2"/>
  <c r="BY302" i="2"/>
  <c r="BY376" i="2"/>
  <c r="BY372" i="2"/>
  <c r="BY147" i="2"/>
  <c r="BY207" i="2"/>
  <c r="BY157" i="2"/>
  <c r="BY151" i="2"/>
  <c r="BY264" i="2"/>
  <c r="BY346" i="2"/>
  <c r="BY327" i="2"/>
  <c r="BY80" i="2"/>
  <c r="CH186" i="2"/>
  <c r="CH500" i="2"/>
  <c r="CH269" i="2"/>
  <c r="CH4" i="2"/>
  <c r="CH19" i="2"/>
  <c r="CH396" i="2"/>
  <c r="CH442" i="2"/>
  <c r="CH181" i="2"/>
  <c r="CH503" i="2"/>
  <c r="CH347" i="2"/>
  <c r="CH303" i="2"/>
  <c r="CH381" i="2"/>
  <c r="CH258" i="2"/>
  <c r="CH255" i="2"/>
  <c r="CH285" i="2"/>
  <c r="CH412" i="2"/>
  <c r="CH106" i="2"/>
  <c r="CH288" i="2"/>
  <c r="CH49" i="2"/>
  <c r="CH36" i="2"/>
  <c r="CH385" i="2"/>
  <c r="CH348" i="2"/>
  <c r="CH436" i="2"/>
  <c r="CH41" i="2"/>
  <c r="CH416" i="2"/>
  <c r="CH110" i="2"/>
  <c r="CH116" i="2"/>
  <c r="CH100" i="2"/>
  <c r="CH96" i="2"/>
  <c r="CH73" i="2"/>
  <c r="CH304" i="2"/>
  <c r="CH292" i="2"/>
  <c r="CH53" i="2"/>
  <c r="CH28" i="2"/>
  <c r="CH369" i="2"/>
  <c r="CH378" i="2"/>
  <c r="CH497" i="2"/>
  <c r="CH151" i="2"/>
  <c r="CH145" i="2"/>
  <c r="CH23" i="2"/>
  <c r="CH349" i="2"/>
  <c r="CH326" i="2"/>
  <c r="CH113" i="2"/>
  <c r="CH464" i="2"/>
  <c r="CH427" i="2"/>
  <c r="CH38" i="2"/>
  <c r="CH448" i="2"/>
  <c r="CH484" i="2"/>
  <c r="CH289" i="2"/>
  <c r="CH50" i="2"/>
  <c r="CH107" i="2"/>
  <c r="CH70" i="2"/>
  <c r="CH93" i="2"/>
  <c r="CH410" i="2"/>
  <c r="CH148" i="2"/>
  <c r="CH208" i="2"/>
  <c r="CH264" i="2"/>
  <c r="CH248" i="2"/>
  <c r="CH133" i="2"/>
  <c r="CH122" i="2"/>
  <c r="CH237" i="2"/>
  <c r="CH368" i="2"/>
  <c r="CH317" i="2"/>
  <c r="CH338" i="2"/>
  <c r="CH359" i="2"/>
  <c r="CH276" i="2"/>
  <c r="CH97" i="2"/>
  <c r="CH27" i="2"/>
  <c r="CH64" i="2"/>
  <c r="CH219" i="2"/>
  <c r="CH195" i="2"/>
  <c r="CH413" i="2"/>
  <c r="CC144" i="2"/>
  <c r="CC32" i="2"/>
  <c r="CC127" i="2"/>
  <c r="CC490" i="2"/>
  <c r="CC130" i="2"/>
  <c r="CC137" i="2"/>
  <c r="CC423" i="2"/>
  <c r="CC468" i="2"/>
  <c r="CC512" i="2"/>
  <c r="CC489" i="2"/>
  <c r="CC71" i="2"/>
  <c r="CC108" i="2"/>
  <c r="CC351" i="2"/>
  <c r="CC231" i="2"/>
  <c r="CC256" i="2"/>
  <c r="CC153" i="2"/>
  <c r="CC210" i="2"/>
  <c r="CC54" i="2"/>
  <c r="CC281" i="2"/>
  <c r="CC345" i="2"/>
  <c r="CC255" i="2"/>
  <c r="CC60" i="2"/>
  <c r="CC49" i="2"/>
  <c r="CC47" i="2"/>
  <c r="CC11" i="2"/>
  <c r="CC244" i="2"/>
  <c r="CC294" i="2"/>
  <c r="CC259" i="2"/>
  <c r="CC224" i="2"/>
  <c r="CC410" i="2"/>
  <c r="CC23" i="2"/>
  <c r="CC304" i="2"/>
  <c r="CC498" i="2"/>
  <c r="CC235" i="2"/>
  <c r="CC52" i="2"/>
  <c r="CC217" i="2"/>
  <c r="CC338" i="2"/>
  <c r="CC504" i="2"/>
  <c r="CC501" i="2"/>
  <c r="CC311" i="2"/>
  <c r="CC286" i="2"/>
  <c r="CC290" i="2"/>
  <c r="CC59" i="2"/>
  <c r="CC120" i="2"/>
  <c r="CC298" i="2"/>
  <c r="CC74" i="2"/>
  <c r="CC237" i="2"/>
  <c r="CC359" i="2"/>
  <c r="CC373" i="2"/>
  <c r="CC270" i="2"/>
  <c r="CC441" i="2"/>
  <c r="CC356" i="2"/>
  <c r="CC18" i="2"/>
  <c r="CC499" i="2"/>
  <c r="CC301" i="2"/>
  <c r="CC336" i="2"/>
  <c r="CC96" i="2"/>
  <c r="CC97" i="2"/>
  <c r="CC240" i="2"/>
  <c r="CC409" i="2"/>
  <c r="CC317" i="2"/>
  <c r="CC318" i="2"/>
  <c r="CC414" i="2"/>
  <c r="CC487" i="2"/>
  <c r="CC203" i="2"/>
  <c r="CC260" i="2"/>
  <c r="CC444" i="2"/>
  <c r="CC357" i="2"/>
  <c r="CC388" i="2"/>
  <c r="CC386" i="2"/>
  <c r="CC164" i="2"/>
  <c r="CC327" i="2"/>
  <c r="CC426" i="2"/>
  <c r="CC398" i="2"/>
  <c r="CC272" i="2"/>
  <c r="CC118" i="2"/>
  <c r="CC212" i="2"/>
  <c r="CC196" i="2"/>
  <c r="CC464" i="2"/>
  <c r="CC75" i="2"/>
  <c r="CC112" i="2"/>
  <c r="CC354" i="2"/>
  <c r="CC226" i="2"/>
  <c r="CC241" i="2"/>
  <c r="CC165" i="2"/>
  <c r="CC188" i="2"/>
  <c r="CC284" i="2"/>
  <c r="CC443" i="2"/>
  <c r="CC230" i="2"/>
  <c r="CC495" i="2"/>
  <c r="CC63" i="2"/>
  <c r="CC289" i="2"/>
  <c r="CC297" i="2"/>
  <c r="CC254" i="2"/>
  <c r="CC193" i="2"/>
  <c r="CC303" i="2"/>
  <c r="CC154" i="2"/>
  <c r="CC162" i="2"/>
  <c r="CC460" i="2"/>
  <c r="CC167" i="2"/>
  <c r="CC264" i="2"/>
  <c r="CC77" i="2"/>
  <c r="CC208" i="2"/>
  <c r="CC201" i="2"/>
  <c r="CC292" i="2"/>
  <c r="CC61" i="2"/>
  <c r="CC206" i="2"/>
  <c r="CC273" i="2"/>
  <c r="CC346" i="2"/>
  <c r="CC53" i="2"/>
  <c r="CC234" i="2"/>
  <c r="CC300" i="2"/>
  <c r="CC243" i="2"/>
  <c r="CC422" i="2"/>
  <c r="CC220" i="2"/>
  <c r="CC361" i="2"/>
  <c r="CC250" i="2"/>
  <c r="CC150" i="2"/>
  <c r="CC262" i="2"/>
  <c r="CC107" i="2"/>
  <c r="CC171" i="2"/>
  <c r="CC179" i="2"/>
  <c r="CC119" i="2"/>
  <c r="CC496" i="2"/>
  <c r="CC43" i="2"/>
  <c r="CC182" i="2"/>
  <c r="CC26" i="2"/>
  <c r="CC339" i="2"/>
  <c r="CC451" i="2"/>
  <c r="CC283" i="2"/>
  <c r="CC453" i="2"/>
  <c r="CC263" i="2"/>
  <c r="CC285" i="2"/>
  <c r="CC88" i="2"/>
  <c r="CC38" i="2"/>
  <c r="CC25" i="2"/>
  <c r="CC173" i="2"/>
  <c r="CC305" i="2"/>
  <c r="CC183" i="2"/>
  <c r="CC347" i="2"/>
  <c r="CC358" i="2"/>
  <c r="CC69" i="2"/>
  <c r="CC394" i="2"/>
  <c r="CC78" i="2"/>
  <c r="CC66" i="2"/>
  <c r="CC161" i="2"/>
  <c r="CC500" i="2"/>
  <c r="CC458" i="2"/>
  <c r="CC452" i="2"/>
  <c r="CC461" i="2"/>
  <c r="CC90" i="2"/>
  <c r="CC329" i="2"/>
  <c r="CC307" i="2"/>
  <c r="CC229" i="2"/>
  <c r="CC242" i="2"/>
  <c r="CC199" i="2"/>
  <c r="CC191" i="2"/>
  <c r="CC287" i="2"/>
  <c r="CC40" i="2"/>
  <c r="CC14" i="2"/>
  <c r="CC378" i="2"/>
  <c r="CC438" i="2"/>
  <c r="CC276" i="2"/>
  <c r="CC488" i="2"/>
  <c r="CC258" i="2"/>
  <c r="CC328" i="2"/>
  <c r="CC68" i="2"/>
  <c r="CC168" i="2"/>
  <c r="CC57" i="2"/>
  <c r="CC484" i="2"/>
  <c r="CC436" i="2"/>
  <c r="CC85" i="2"/>
  <c r="CC149" i="2"/>
  <c r="CC380" i="2"/>
  <c r="CC233" i="2"/>
  <c r="CC279" i="2"/>
  <c r="CC408" i="2"/>
  <c r="CC486" i="2"/>
  <c r="CC175" i="2"/>
  <c r="CC252" i="2"/>
  <c r="CC246" i="2"/>
  <c r="CC91" i="2"/>
  <c r="CC166" i="2"/>
  <c r="CC79" i="2"/>
  <c r="CC293" i="2"/>
  <c r="CC326" i="2"/>
  <c r="CC177" i="2"/>
  <c r="CC62" i="2"/>
  <c r="CC360" i="2"/>
  <c r="CC187" i="2"/>
  <c r="CC22" i="2"/>
  <c r="CC46" i="2"/>
  <c r="CC8" i="2"/>
  <c r="CC462" i="2"/>
  <c r="CC315" i="2"/>
  <c r="CC21" i="2"/>
  <c r="CC169" i="2"/>
  <c r="CC277" i="2"/>
  <c r="CC353" i="2"/>
  <c r="CC82" i="2"/>
  <c r="CC448" i="2"/>
  <c r="CC16" i="2"/>
  <c r="CC269" i="2"/>
  <c r="CC349" i="2"/>
  <c r="CC106" i="2"/>
  <c r="CC209" i="2"/>
  <c r="CC267" i="2"/>
  <c r="CC80" i="2"/>
  <c r="CC497" i="2"/>
  <c r="CC194" i="2"/>
  <c r="CC348" i="2"/>
  <c r="CC12" i="2"/>
  <c r="CC379" i="2"/>
  <c r="CC76" i="2"/>
  <c r="CC249" i="2"/>
  <c r="CC109" i="2"/>
  <c r="CC314" i="2"/>
  <c r="CC502" i="2"/>
  <c r="CC450" i="2"/>
  <c r="CC190" i="2"/>
  <c r="CC87" i="2"/>
  <c r="CC170" i="2"/>
  <c r="CC457" i="2"/>
  <c r="CC81" i="2"/>
  <c r="CC352" i="2"/>
  <c r="CC73" i="2"/>
  <c r="CC148" i="2"/>
  <c r="CC13" i="2"/>
  <c r="CC181" i="2"/>
  <c r="CC425" i="2"/>
  <c r="CC320" i="2"/>
  <c r="CC463" i="2"/>
  <c r="CC94" i="2"/>
  <c r="CC342" i="2"/>
  <c r="CC337" i="2"/>
  <c r="CC236" i="2"/>
  <c r="CC245" i="2"/>
  <c r="CC202" i="2"/>
  <c r="CC147" i="2"/>
  <c r="CC50" i="2"/>
  <c r="CC295" i="2"/>
  <c r="CC433" i="2"/>
  <c r="CC70" i="2"/>
  <c r="CC72" i="2"/>
  <c r="CC228" i="2"/>
  <c r="CC92" i="2"/>
  <c r="CC186" i="2"/>
  <c r="CC365" i="2"/>
  <c r="CC102" i="2"/>
  <c r="CC101" i="2"/>
  <c r="CC174" i="2"/>
  <c r="CC103" i="2"/>
  <c r="CC319" i="2"/>
  <c r="CC266" i="2"/>
  <c r="CC86" i="2"/>
  <c r="CC310" i="2"/>
  <c r="CC271" i="2"/>
  <c r="CC296" i="2"/>
  <c r="CC200" i="2"/>
  <c r="CC332" i="2"/>
  <c r="CC189" i="2"/>
  <c r="CC105" i="2"/>
  <c r="CC205" i="2"/>
  <c r="CC459" i="2"/>
  <c r="CC195" i="2"/>
  <c r="CC159" i="2"/>
  <c r="CC95" i="2"/>
  <c r="CC395" i="2"/>
  <c r="CC98" i="2"/>
  <c r="CC343" i="2"/>
  <c r="CC172" i="2"/>
  <c r="CC299" i="2"/>
  <c r="CC156" i="2"/>
  <c r="CC344" i="2"/>
  <c r="CC470" i="2"/>
  <c r="CC185" i="2"/>
  <c r="CC180" i="2"/>
  <c r="CC288" i="2"/>
  <c r="CC219" i="2"/>
  <c r="CC454" i="2"/>
  <c r="CC19" i="2"/>
  <c r="CC15" i="2"/>
  <c r="CC192" i="2"/>
  <c r="CC222" i="2"/>
  <c r="CC396" i="2"/>
  <c r="CC323" i="2"/>
  <c r="CC261" i="2"/>
  <c r="CC362" i="2"/>
  <c r="CC117" i="2"/>
  <c r="CC437" i="2"/>
  <c r="CC163" i="2"/>
  <c r="CC7" i="2"/>
  <c r="CC214" i="2"/>
  <c r="CC455" i="2"/>
  <c r="CC469" i="2"/>
  <c r="CC471" i="2"/>
  <c r="CC350" i="2"/>
  <c r="CC397" i="2"/>
  <c r="CC325" i="2"/>
  <c r="CC485" i="2"/>
  <c r="CC366" i="2"/>
  <c r="CC213" i="2"/>
  <c r="CC393" i="2"/>
  <c r="CC268" i="2"/>
  <c r="CC434" i="2"/>
  <c r="CC415" i="2"/>
  <c r="CC17" i="2"/>
  <c r="CC375" i="2"/>
  <c r="CC440" i="2"/>
  <c r="CC411" i="2"/>
  <c r="CC84" i="2"/>
  <c r="CC330" i="2"/>
  <c r="CC364" i="2"/>
  <c r="CC238" i="2"/>
  <c r="CC265" i="2"/>
  <c r="CC204" i="2"/>
  <c r="CC48" i="2"/>
  <c r="CC275" i="2"/>
  <c r="CC324" i="2"/>
  <c r="CC389" i="2"/>
  <c r="CC216" i="2"/>
  <c r="CC413" i="2"/>
  <c r="CC387" i="2"/>
  <c r="CC312" i="2"/>
  <c r="CC110" i="2"/>
  <c r="CC371" i="2"/>
  <c r="CC20" i="2"/>
  <c r="CC218" i="2"/>
  <c r="CC376" i="2"/>
  <c r="CC321" i="2"/>
  <c r="CC116" i="2"/>
  <c r="CC412" i="2"/>
  <c r="CC253" i="2"/>
  <c r="CC331" i="2"/>
  <c r="CC282" i="2"/>
  <c r="CC439" i="2"/>
  <c r="CC155" i="2"/>
  <c r="CC399" i="2"/>
  <c r="CC385" i="2"/>
  <c r="CC392" i="2"/>
  <c r="CC435" i="2"/>
  <c r="CC113" i="2"/>
  <c r="CC56" i="2"/>
  <c r="CC223" i="2"/>
  <c r="CC416" i="2"/>
  <c r="CC67" i="2"/>
  <c r="CC104" i="2"/>
  <c r="CC367" i="2"/>
  <c r="CC247" i="2"/>
  <c r="CC274" i="2"/>
  <c r="CC207" i="2"/>
  <c r="CC51" i="2"/>
  <c r="CC278" i="2"/>
  <c r="CC308" i="2"/>
  <c r="CC9" i="2"/>
  <c r="CC160" i="2"/>
  <c r="CC39" i="2"/>
  <c r="CC36" i="2"/>
  <c r="CC227" i="2"/>
  <c r="CC239" i="2"/>
  <c r="CC44" i="2"/>
  <c r="CC257" i="2"/>
  <c r="CC221" i="2"/>
  <c r="CC447" i="2"/>
  <c r="CC370" i="2"/>
  <c r="CC111" i="2"/>
  <c r="CC151" i="2"/>
  <c r="CC309" i="2"/>
  <c r="CC89" i="2"/>
  <c r="CC42" i="2"/>
  <c r="CC178" i="2"/>
  <c r="CC334" i="2"/>
  <c r="CC313" i="2"/>
  <c r="CC251" i="2"/>
  <c r="CC322" i="2"/>
  <c r="CC417" i="2"/>
  <c r="CC35" i="2"/>
  <c r="CC157" i="2"/>
  <c r="CC152" i="2"/>
  <c r="CC197" i="2"/>
  <c r="CC64" i="2"/>
  <c r="CC100" i="2"/>
  <c r="CC335" i="2"/>
  <c r="CC445" i="2"/>
  <c r="CC158" i="2"/>
  <c r="CC372" i="2"/>
  <c r="CC446" i="2"/>
  <c r="CC24" i="2"/>
  <c r="CC41" i="2"/>
  <c r="CC333" i="2"/>
  <c r="CC291" i="2"/>
  <c r="CC449" i="2"/>
  <c r="CC316" i="2"/>
  <c r="CC390" i="2"/>
  <c r="CC368" i="2"/>
  <c r="CC382" i="2"/>
  <c r="CC427" i="2"/>
  <c r="CC369" i="2"/>
  <c r="CC10" i="2"/>
  <c r="CC381" i="2"/>
  <c r="CC355" i="2"/>
  <c r="CC114" i="2"/>
  <c r="CC503" i="2"/>
  <c r="CC456" i="2"/>
  <c r="CB448" i="2"/>
  <c r="I4" i="6"/>
  <c r="BZ116" i="2"/>
  <c r="I5" i="6"/>
  <c r="BZ502" i="2" s="1"/>
  <c r="BZ182" i="2"/>
  <c r="BZ53" i="2"/>
  <c r="BZ386" i="2"/>
  <c r="BZ333" i="2"/>
  <c r="CH120" i="2"/>
  <c r="CH504" i="2"/>
  <c r="CH192" i="2"/>
  <c r="CH266" i="2"/>
  <c r="CH491" i="2"/>
  <c r="CH365" i="2"/>
  <c r="CH395" i="2"/>
  <c r="CH239" i="2"/>
  <c r="CH212" i="2"/>
  <c r="CH184" i="2"/>
  <c r="CH243" i="2"/>
  <c r="CH331" i="2"/>
  <c r="CH89" i="2"/>
  <c r="CH444" i="2"/>
  <c r="CH374" i="2"/>
  <c r="CH344" i="2"/>
  <c r="CH323" i="2"/>
  <c r="CH103" i="2"/>
  <c r="CH85" i="2"/>
  <c r="CH124" i="2"/>
  <c r="CH313" i="2"/>
  <c r="CH428" i="2"/>
  <c r="CH210" i="2"/>
  <c r="CH173" i="2"/>
  <c r="CH499" i="2"/>
  <c r="CH153" i="2"/>
  <c r="CH268" i="2"/>
  <c r="CH256" i="2"/>
  <c r="CH493" i="2"/>
  <c r="CH135" i="2"/>
  <c r="CH121" i="2"/>
  <c r="CH18" i="2"/>
  <c r="CH231" i="2"/>
  <c r="CH362" i="2"/>
  <c r="CH356" i="2"/>
  <c r="CH351" i="2"/>
  <c r="CH335" i="2"/>
  <c r="CH361" i="2"/>
  <c r="CH486" i="2"/>
  <c r="CH52" i="2"/>
  <c r="CH217" i="2"/>
  <c r="CH399" i="2"/>
  <c r="CH108" i="2"/>
  <c r="CH114" i="2"/>
  <c r="CH485" i="2"/>
  <c r="CH290" i="2"/>
  <c r="CH470" i="2"/>
  <c r="CB102" i="2"/>
  <c r="CH377" i="2"/>
  <c r="BY270" i="2"/>
  <c r="CB74" i="2"/>
  <c r="CH88" i="2"/>
  <c r="CH92" i="2"/>
  <c r="CH69" i="2"/>
  <c r="CB89" i="2"/>
  <c r="CH459" i="2"/>
  <c r="BY240" i="2"/>
  <c r="BY252" i="2"/>
  <c r="BY248" i="2"/>
  <c r="BY285" i="2"/>
  <c r="BY461" i="2"/>
  <c r="CB75" i="2"/>
  <c r="BY293" i="2"/>
  <c r="CH384" i="2"/>
  <c r="CH180" i="2"/>
  <c r="CH147" i="2"/>
  <c r="CH188" i="2"/>
  <c r="CH207" i="2"/>
  <c r="CH176" i="2"/>
  <c r="CH157" i="2"/>
  <c r="CH169" i="2"/>
  <c r="CH202" i="2"/>
  <c r="CH165" i="2"/>
  <c r="CH274" i="2"/>
  <c r="CH494" i="2"/>
  <c r="CH263" i="2"/>
  <c r="CH271" i="2"/>
  <c r="CH245" i="2"/>
  <c r="CH241" i="2"/>
  <c r="CH247" i="2"/>
  <c r="CH6" i="2"/>
  <c r="CH144" i="2"/>
  <c r="CH138" i="2"/>
  <c r="CH132" i="2"/>
  <c r="CH126" i="2"/>
  <c r="CH65" i="2"/>
  <c r="CH15" i="2"/>
  <c r="CH21" i="2"/>
  <c r="CH236" i="2"/>
  <c r="CH226" i="2"/>
  <c r="CH367" i="2"/>
  <c r="CH363" i="2"/>
  <c r="CH316" i="2"/>
  <c r="CH310" i="2"/>
  <c r="CH337" i="2"/>
  <c r="CH354" i="2"/>
  <c r="CH333" i="2"/>
  <c r="CH320" i="2"/>
  <c r="CH325" i="2"/>
  <c r="CH315" i="2"/>
  <c r="CH342" i="2"/>
  <c r="CH112" i="2"/>
  <c r="CH84" i="2"/>
  <c r="CH79" i="2"/>
  <c r="CH75" i="2"/>
  <c r="CH281" i="2"/>
  <c r="CH275" i="2"/>
  <c r="CB105" i="2"/>
  <c r="CH194" i="2"/>
  <c r="CH423" i="2"/>
  <c r="BY487" i="2"/>
  <c r="BY462" i="2"/>
  <c r="BY282" i="2"/>
  <c r="CH301" i="2"/>
  <c r="BY261" i="2"/>
  <c r="BY278" i="2"/>
  <c r="CH502" i="2"/>
  <c r="CH57" i="2"/>
  <c r="CH218" i="2"/>
  <c r="BY271" i="2"/>
  <c r="CH425" i="2"/>
  <c r="CH468" i="2"/>
  <c r="CH154" i="2"/>
  <c r="CH257" i="2"/>
  <c r="CH352" i="2"/>
  <c r="CH446" i="2"/>
  <c r="CH193" i="2"/>
  <c r="CH206" i="2"/>
  <c r="CH201" i="2"/>
  <c r="CH131" i="2"/>
  <c r="CH492" i="2"/>
  <c r="CH14" i="2"/>
  <c r="CH235" i="2"/>
  <c r="CH366" i="2"/>
  <c r="CH426" i="2"/>
  <c r="CH421" i="2"/>
  <c r="CH7" i="2"/>
  <c r="CH286" i="2"/>
  <c r="CH183" i="2"/>
  <c r="CH191" i="2"/>
  <c r="CH265" i="2"/>
  <c r="CH260" i="2"/>
  <c r="CH242" i="2"/>
  <c r="CH238" i="2"/>
  <c r="CH129" i="2"/>
  <c r="CH490" i="2"/>
  <c r="CH12" i="2"/>
  <c r="CH229" i="2"/>
  <c r="CH329" i="2"/>
  <c r="CH306" i="2"/>
  <c r="CH435" i="2"/>
  <c r="CH29" i="2"/>
  <c r="CH221" i="2"/>
  <c r="CH149" i="2"/>
  <c r="CH159" i="2"/>
  <c r="CH498" i="2"/>
  <c r="CH152" i="2"/>
  <c r="CH249" i="2"/>
  <c r="CH123" i="2"/>
  <c r="CH318" i="2"/>
  <c r="CH334" i="2"/>
  <c r="CH360" i="2"/>
  <c r="CH277" i="2"/>
  <c r="CH283" i="2"/>
  <c r="CH44" i="2"/>
  <c r="CH380" i="2"/>
  <c r="CH451" i="2"/>
  <c r="CH372" i="2"/>
  <c r="CH161" i="2"/>
  <c r="CH45" i="2"/>
  <c r="CH382" i="2"/>
  <c r="CH487" i="2"/>
  <c r="CH440" i="2"/>
  <c r="CH433" i="2"/>
  <c r="CH394" i="2"/>
  <c r="CH371" i="2"/>
  <c r="CH383" i="2"/>
  <c r="CH30" i="2"/>
  <c r="CH9" i="2"/>
  <c r="CH294" i="2"/>
  <c r="CH392" i="2"/>
  <c r="CH20" i="2"/>
  <c r="CB463" i="2"/>
  <c r="CB450" i="2"/>
  <c r="CB98" i="2"/>
  <c r="CB71" i="2"/>
  <c r="CB106" i="2"/>
  <c r="CB92" i="2"/>
  <c r="CB96" i="2"/>
  <c r="CB115" i="2"/>
  <c r="CB451" i="2"/>
  <c r="CB118" i="2"/>
  <c r="CB83" i="2"/>
  <c r="CB81" i="2"/>
  <c r="CB374" i="2"/>
  <c r="CB100" i="2"/>
  <c r="CB116" i="2"/>
  <c r="CB107" i="2"/>
  <c r="CB394" i="2"/>
  <c r="CB108" i="2"/>
  <c r="CB393" i="2"/>
  <c r="CB85" i="2"/>
  <c r="CB78" i="2"/>
  <c r="CB95" i="2"/>
  <c r="CB87" i="2"/>
  <c r="CB80" i="2"/>
  <c r="CB69" i="2"/>
  <c r="CB114" i="2"/>
  <c r="CB67" i="2"/>
  <c r="CB119" i="2"/>
  <c r="CB68" i="2"/>
  <c r="CB79" i="2"/>
  <c r="CB84" i="2"/>
  <c r="CB86" i="2"/>
  <c r="CB112" i="2"/>
  <c r="CB101" i="2"/>
  <c r="CB73" i="2"/>
  <c r="CB117" i="2"/>
  <c r="BY453" i="2"/>
  <c r="CB72" i="2"/>
  <c r="BY301" i="2"/>
  <c r="BY23" i="2"/>
  <c r="BY153" i="2"/>
  <c r="BY10" i="2"/>
  <c r="BY380" i="2"/>
  <c r="BY205" i="2"/>
  <c r="BY120" i="2"/>
  <c r="BY410" i="2"/>
  <c r="BY499" i="2"/>
  <c r="BY454" i="2"/>
  <c r="BY316" i="2"/>
  <c r="BY255" i="2"/>
  <c r="BY171" i="2"/>
  <c r="BY350" i="2"/>
  <c r="BY89" i="2"/>
  <c r="BY187" i="2"/>
  <c r="BY386" i="2"/>
  <c r="CD31" i="2" s="1"/>
  <c r="BY450" i="2"/>
  <c r="BY470" i="2"/>
  <c r="BY228" i="2"/>
  <c r="CD134" i="2" s="1"/>
  <c r="CE134" i="2" s="1"/>
  <c r="BY334" i="2"/>
  <c r="BY416" i="2"/>
  <c r="BY68" i="2"/>
  <c r="BY70" i="2"/>
  <c r="BY96" i="2"/>
  <c r="BY226" i="2"/>
  <c r="BY345" i="2"/>
  <c r="BY97" i="2"/>
  <c r="BY186" i="2"/>
  <c r="BY62" i="2"/>
  <c r="BY488" i="2"/>
  <c r="BY107" i="2"/>
  <c r="BY435" i="2"/>
  <c r="BY101" i="2"/>
  <c r="BY201" i="2"/>
  <c r="CB93" i="2"/>
  <c r="CB88" i="2"/>
  <c r="BY24" i="2"/>
  <c r="BY17" i="2"/>
  <c r="BY231" i="2"/>
  <c r="BY362" i="2"/>
  <c r="BY357" i="2"/>
  <c r="BY353" i="2"/>
  <c r="BY360" i="2"/>
  <c r="BY108" i="2"/>
  <c r="BY114" i="2"/>
  <c r="BY98" i="2"/>
  <c r="BY95" i="2"/>
  <c r="BY73" i="2"/>
  <c r="BY486" i="2"/>
  <c r="BY292" i="2"/>
  <c r="BY53" i="2"/>
  <c r="BY41" i="2"/>
  <c r="BY377" i="2"/>
  <c r="CB109" i="2"/>
  <c r="CB375" i="2"/>
  <c r="CB103" i="2"/>
  <c r="CB449" i="2"/>
  <c r="BY447" i="2"/>
  <c r="BY397" i="2"/>
  <c r="BY161" i="2"/>
  <c r="BY215" i="2"/>
  <c r="BY182" i="2"/>
  <c r="BY192" i="2"/>
  <c r="BY155" i="2"/>
  <c r="BY154" i="2"/>
  <c r="BY269" i="2"/>
  <c r="BY251" i="2"/>
  <c r="BY257" i="2"/>
  <c r="BY8" i="2"/>
  <c r="BY20" i="2"/>
  <c r="BY363" i="2"/>
  <c r="BY311" i="2"/>
  <c r="BY370" i="2"/>
  <c r="BY320" i="2"/>
  <c r="BY314" i="2"/>
  <c r="BY111" i="2"/>
  <c r="BY83" i="2"/>
  <c r="BY82" i="2"/>
  <c r="BY79" i="2"/>
  <c r="BY76" i="2"/>
  <c r="BY44" i="2"/>
  <c r="CH33" i="2"/>
  <c r="CH225" i="2"/>
  <c r="CH220" i="2"/>
  <c r="CH196" i="2"/>
  <c r="CH170" i="2"/>
  <c r="CH166" i="2"/>
  <c r="CH272" i="2"/>
  <c r="CH254" i="2"/>
  <c r="CH37" i="2"/>
  <c r="CH139" i="2"/>
  <c r="CH127" i="2"/>
  <c r="CH22" i="2"/>
  <c r="CH311" i="2"/>
  <c r="CH355" i="2"/>
  <c r="CH346" i="2"/>
  <c r="CH102" i="2"/>
  <c r="CH81" i="2"/>
  <c r="CH77" i="2"/>
  <c r="CH282" i="2"/>
  <c r="BY411" i="2"/>
  <c r="CH489" i="2"/>
  <c r="BY35" i="2"/>
  <c r="BY385" i="2"/>
  <c r="BY393" i="2"/>
  <c r="BY409" i="2"/>
  <c r="BY61" i="2"/>
  <c r="BY160" i="2"/>
  <c r="BY214" i="2"/>
  <c r="BY181" i="2"/>
  <c r="BY191" i="2"/>
  <c r="BY204" i="2"/>
  <c r="BY172" i="2"/>
  <c r="BY202" i="2"/>
  <c r="BY250" i="2"/>
  <c r="BY26" i="2"/>
  <c r="BY19" i="2"/>
  <c r="BY233" i="2"/>
  <c r="BY310" i="2"/>
  <c r="BY336" i="2"/>
  <c r="BY313" i="2"/>
  <c r="BY110" i="2"/>
  <c r="BY116" i="2"/>
  <c r="BY100" i="2"/>
  <c r="BY78" i="2"/>
  <c r="BY75" i="2"/>
  <c r="BY280" i="2"/>
  <c r="BY305" i="2"/>
  <c r="BY294" i="2"/>
  <c r="BY43" i="2"/>
  <c r="CH101" i="2"/>
  <c r="CH80" i="2"/>
  <c r="BY379" i="2"/>
  <c r="BY457" i="2"/>
  <c r="BY460" i="2"/>
  <c r="BY438" i="2"/>
  <c r="BY60" i="2"/>
  <c r="BY224" i="2"/>
  <c r="BY213" i="2"/>
  <c r="BY180" i="2"/>
  <c r="BY190" i="2"/>
  <c r="BY203" i="2"/>
  <c r="BY152" i="2"/>
  <c r="BY267" i="2"/>
  <c r="BY253" i="2"/>
  <c r="BY249" i="2"/>
  <c r="BY25" i="2"/>
  <c r="BY18" i="2"/>
  <c r="BY232" i="2"/>
  <c r="BY358" i="2"/>
  <c r="BY354" i="2"/>
  <c r="BY335" i="2"/>
  <c r="BY361" i="2"/>
  <c r="BY109" i="2"/>
  <c r="BY115" i="2"/>
  <c r="BY99" i="2"/>
  <c r="BY74" i="2"/>
  <c r="BY279" i="2"/>
  <c r="BY304" i="2"/>
  <c r="BY54" i="2"/>
  <c r="BY42" i="2"/>
  <c r="CH418" i="2"/>
  <c r="CH422" i="2"/>
  <c r="CH34" i="2"/>
  <c r="CH63" i="2"/>
  <c r="CH160" i="2"/>
  <c r="CH213" i="2"/>
  <c r="CH10" i="2"/>
  <c r="BY445" i="2"/>
  <c r="BY471" i="2"/>
  <c r="BY469" i="2"/>
  <c r="BY40" i="2"/>
  <c r="BY295" i="2"/>
  <c r="BY439" i="2"/>
  <c r="BY371" i="2"/>
  <c r="BY422" i="2"/>
  <c r="CD422" i="2" s="1"/>
  <c r="BY221" i="2"/>
  <c r="BY198" i="2"/>
  <c r="BY175" i="2"/>
  <c r="BY169" i="2"/>
  <c r="BY262" i="2"/>
  <c r="BY244" i="2"/>
  <c r="BY246" i="2"/>
  <c r="BY15" i="2"/>
  <c r="BY236" i="2"/>
  <c r="CD142" i="2" s="1"/>
  <c r="CE142" i="2" s="1"/>
  <c r="BY368" i="2"/>
  <c r="BY317" i="2"/>
  <c r="BY339" i="2"/>
  <c r="BY325" i="2"/>
  <c r="BY342" i="2"/>
  <c r="BY106" i="2"/>
  <c r="BY88" i="2"/>
  <c r="BY93" i="2"/>
  <c r="BY71" i="2"/>
  <c r="BY484" i="2"/>
  <c r="BY290" i="2"/>
  <c r="BY51" i="2"/>
  <c r="BY39" i="2"/>
  <c r="CH454" i="2"/>
  <c r="CH386" i="2"/>
  <c r="BY412" i="2"/>
  <c r="BY374" i="2"/>
  <c r="BY428" i="2"/>
  <c r="BY211" i="2"/>
  <c r="BY200" i="2"/>
  <c r="BY245" i="2"/>
  <c r="BY237" i="2"/>
  <c r="BY351" i="2"/>
  <c r="BY113" i="2"/>
  <c r="BY72" i="2"/>
  <c r="BY485" i="2"/>
  <c r="CH434" i="2"/>
  <c r="BY443" i="2"/>
  <c r="BY452" i="2"/>
  <c r="BY283" i="2"/>
  <c r="BY459" i="2"/>
  <c r="BY64" i="2"/>
  <c r="BY220" i="2"/>
  <c r="CD126" i="2" s="1"/>
  <c r="CE126" i="2" s="1"/>
  <c r="BY197" i="2"/>
  <c r="BY178" i="2"/>
  <c r="BY174" i="2"/>
  <c r="BY168" i="2"/>
  <c r="BY199" i="2"/>
  <c r="BY266" i="2"/>
  <c r="BY243" i="2"/>
  <c r="BY239" i="2"/>
  <c r="BY14" i="2"/>
  <c r="BY367" i="2"/>
  <c r="BY324" i="2"/>
  <c r="BY341" i="2"/>
  <c r="BY105" i="2"/>
  <c r="BY119" i="2"/>
  <c r="BY87" i="2"/>
  <c r="BY289" i="2"/>
  <c r="BY38" i="2"/>
  <c r="CH98" i="2"/>
  <c r="BY387" i="2"/>
  <c r="BY441" i="2"/>
  <c r="BY458" i="2"/>
  <c r="BY455" i="2"/>
  <c r="BY382" i="2"/>
  <c r="BY501" i="2"/>
  <c r="BY57" i="2"/>
  <c r="BY219" i="2"/>
  <c r="BY196" i="2"/>
  <c r="BY150" i="2"/>
  <c r="BY210" i="2"/>
  <c r="BY173" i="2"/>
  <c r="BY167" i="2"/>
  <c r="BY242" i="2"/>
  <c r="BY238" i="2"/>
  <c r="BY13" i="2"/>
  <c r="BY235" i="2"/>
  <c r="CD141" i="2" s="1"/>
  <c r="BY366" i="2"/>
  <c r="BY333" i="2"/>
  <c r="BY340" i="2"/>
  <c r="BY104" i="2"/>
  <c r="BY118" i="2"/>
  <c r="BY92" i="2"/>
  <c r="BY69" i="2"/>
  <c r="BY299" i="2"/>
  <c r="BY288" i="2"/>
  <c r="BY49" i="2"/>
  <c r="BY36" i="2"/>
  <c r="CH414" i="2"/>
  <c r="BY442" i="2"/>
  <c r="BY375" i="2"/>
  <c r="BY396" i="2"/>
  <c r="BY451" i="2"/>
  <c r="BY395" i="2"/>
  <c r="BY399" i="2"/>
  <c r="BY408" i="2"/>
  <c r="BY222" i="2"/>
  <c r="BY188" i="2"/>
  <c r="BY170" i="2"/>
  <c r="BY263" i="2"/>
  <c r="BY247" i="2"/>
  <c r="BY369" i="2"/>
  <c r="BY356" i="2"/>
  <c r="BY326" i="2"/>
  <c r="BY359" i="2"/>
  <c r="BY277" i="2"/>
  <c r="BY52" i="2"/>
  <c r="BY407" i="2"/>
  <c r="BY276" i="2"/>
  <c r="BY446" i="2"/>
  <c r="BY436" i="2"/>
  <c r="BY426" i="2"/>
  <c r="BY7" i="2"/>
  <c r="BY56" i="2"/>
  <c r="BY218" i="2"/>
  <c r="BY195" i="2"/>
  <c r="BY149" i="2"/>
  <c r="BY209" i="2"/>
  <c r="BY159" i="2"/>
  <c r="BY500" i="2"/>
  <c r="BY166" i="2"/>
  <c r="BY496" i="2"/>
  <c r="BY258" i="2"/>
  <c r="BY12" i="2"/>
  <c r="BY230" i="2"/>
  <c r="BY365" i="2"/>
  <c r="BY337" i="2"/>
  <c r="BY332" i="2"/>
  <c r="BY348" i="2"/>
  <c r="BY329" i="2"/>
  <c r="BY103" i="2"/>
  <c r="BY117" i="2"/>
  <c r="BY91" i="2"/>
  <c r="BY298" i="2"/>
  <c r="BY287" i="2"/>
  <c r="BY48" i="2"/>
  <c r="CH51" i="2"/>
  <c r="BY378" i="2"/>
  <c r="BY489" i="2"/>
  <c r="BY440" i="2"/>
  <c r="BY415" i="2"/>
  <c r="BY58" i="2"/>
  <c r="BY176" i="2"/>
  <c r="BY318" i="2"/>
  <c r="BY94" i="2"/>
  <c r="BY437" i="2"/>
  <c r="BY390" i="2"/>
  <c r="BY389" i="2"/>
  <c r="CD34" i="2" s="1"/>
  <c r="BY504" i="2"/>
  <c r="BY16" i="2"/>
  <c r="BY163" i="2"/>
  <c r="BY217" i="2"/>
  <c r="BY185" i="2"/>
  <c r="BY148" i="2"/>
  <c r="BY208" i="2"/>
  <c r="BY158" i="2"/>
  <c r="BY165" i="2"/>
  <c r="BY495" i="2"/>
  <c r="BY272" i="2"/>
  <c r="BY254" i="2"/>
  <c r="BY234" i="2"/>
  <c r="BY11" i="2"/>
  <c r="BY229" i="2"/>
  <c r="BY364" i="2"/>
  <c r="BY344" i="2"/>
  <c r="BY309" i="2"/>
  <c r="BY331" i="2"/>
  <c r="BY347" i="2"/>
  <c r="BY328" i="2"/>
  <c r="BY102" i="2"/>
  <c r="BY85" i="2"/>
  <c r="BY90" i="2"/>
  <c r="BY67" i="2"/>
  <c r="BY306" i="2"/>
  <c r="BY297" i="2"/>
  <c r="BY286" i="2"/>
  <c r="BY47" i="2"/>
  <c r="CH439" i="2"/>
  <c r="BY444" i="2"/>
  <c r="BY503" i="2"/>
  <c r="BY468" i="2"/>
  <c r="CH407" i="2"/>
  <c r="CH387" i="2"/>
  <c r="CH46" i="2"/>
  <c r="CH302" i="2"/>
  <c r="CH55" i="2"/>
  <c r="CH182" i="2"/>
  <c r="CH203" i="2"/>
  <c r="CH167" i="2"/>
  <c r="CH128" i="2"/>
  <c r="CH234" i="2"/>
  <c r="CH391" i="2"/>
  <c r="CH42" i="2"/>
  <c r="CH62" i="2"/>
  <c r="CH224" i="2"/>
  <c r="CH187" i="2"/>
  <c r="CH270" i="2"/>
  <c r="CH233" i="2"/>
  <c r="CH280" i="2"/>
  <c r="CH417" i="2"/>
  <c r="CH222" i="2"/>
  <c r="CH198" i="2"/>
  <c r="CH87" i="2"/>
  <c r="CH105" i="2"/>
  <c r="CH119" i="2"/>
  <c r="CH91" i="2"/>
  <c r="CH68" i="2"/>
  <c r="CH469" i="2"/>
  <c r="CH375" i="2"/>
  <c r="CH185" i="2"/>
  <c r="CH156" i="2"/>
  <c r="CH273" i="2"/>
  <c r="CH244" i="2"/>
  <c r="CH246" i="2"/>
  <c r="CH345" i="2"/>
  <c r="CH332" i="2"/>
  <c r="CH341" i="2"/>
  <c r="CH298" i="2"/>
  <c r="CH388" i="2"/>
  <c r="CH429" i="2"/>
  <c r="CH155" i="2"/>
  <c r="CH200" i="2"/>
  <c r="CH142" i="2"/>
  <c r="CH230" i="2"/>
  <c r="CH340" i="2"/>
  <c r="CH389" i="2"/>
  <c r="CH299" i="2"/>
  <c r="CH287" i="2"/>
  <c r="CH48" i="2"/>
  <c r="CH419" i="2"/>
  <c r="CH214" i="2"/>
  <c r="CH438" i="2"/>
  <c r="CH83" i="2"/>
  <c r="CH82" i="2"/>
  <c r="CH297" i="2"/>
  <c r="CH251" i="2"/>
  <c r="CH279" i="2"/>
  <c r="CH408" i="2"/>
  <c r="CH379" i="2"/>
  <c r="CH462" i="2"/>
  <c r="CH109" i="2"/>
  <c r="CH172" i="2"/>
  <c r="CH199" i="2"/>
  <c r="CH141" i="2"/>
  <c r="CH364" i="2"/>
  <c r="CH343" i="2"/>
  <c r="CH307" i="2"/>
  <c r="CH284" i="2"/>
  <c r="CH58" i="2"/>
  <c r="CH47" i="2"/>
  <c r="CH373" i="2"/>
  <c r="BY502" i="2"/>
  <c r="CH376" i="2"/>
  <c r="CH16" i="2"/>
  <c r="CH162" i="2"/>
  <c r="CH215" i="2"/>
  <c r="CH190" i="2"/>
  <c r="CH171" i="2"/>
  <c r="CH496" i="2"/>
  <c r="CH483" i="2"/>
  <c r="CH140" i="2"/>
  <c r="CH11" i="2"/>
  <c r="CH228" i="2"/>
  <c r="CH312" i="2"/>
  <c r="CH370" i="2"/>
  <c r="CH322" i="2"/>
  <c r="CH328" i="2"/>
  <c r="CH118" i="2"/>
  <c r="CH90" i="2"/>
  <c r="CH262" i="2"/>
  <c r="CH143" i="2"/>
  <c r="CH309" i="2"/>
  <c r="CH324" i="2"/>
  <c r="CH488" i="2"/>
  <c r="CH449" i="2"/>
  <c r="CH278" i="2"/>
  <c r="CH456" i="2"/>
  <c r="CH197" i="2"/>
  <c r="CH390" i="2"/>
  <c r="CH115" i="2"/>
  <c r="CH99" i="2"/>
  <c r="CH95" i="2"/>
  <c r="CH72" i="2"/>
  <c r="CH40" i="2"/>
  <c r="CH501" i="2"/>
  <c r="CH56" i="2"/>
  <c r="CH178" i="2"/>
  <c r="CH205" i="2"/>
  <c r="CH174" i="2"/>
  <c r="CH261" i="2"/>
  <c r="CH136" i="2"/>
  <c r="CH130" i="2"/>
  <c r="CH26" i="2"/>
  <c r="CH13" i="2"/>
  <c r="CH232" i="2"/>
  <c r="CH357" i="2"/>
  <c r="CH308" i="2"/>
  <c r="CH336" i="2"/>
  <c r="CH94" i="2"/>
  <c r="CH71" i="2"/>
  <c r="CH300" i="2"/>
  <c r="CH291" i="2"/>
  <c r="CH398" i="2"/>
  <c r="CH411" i="2"/>
  <c r="CH453" i="2"/>
  <c r="CH415" i="2"/>
  <c r="CH24" i="2"/>
  <c r="CH339" i="2"/>
  <c r="CH104" i="2"/>
  <c r="CH67" i="2"/>
  <c r="CH447" i="2"/>
  <c r="CH117" i="2"/>
  <c r="CH66" i="2"/>
  <c r="CH17" i="2"/>
  <c r="CH350" i="2"/>
  <c r="CH86" i="2"/>
  <c r="CH158" i="2"/>
  <c r="CH252" i="2"/>
  <c r="CH443" i="2"/>
  <c r="CH450" i="2"/>
  <c r="CH461" i="2"/>
  <c r="CH512" i="2"/>
  <c r="CH59" i="2"/>
  <c r="CH209" i="2"/>
  <c r="CH267" i="2"/>
  <c r="CH253" i="2"/>
  <c r="CH146" i="2"/>
  <c r="CH134" i="2"/>
  <c r="CH35" i="2"/>
  <c r="CH305" i="2"/>
  <c r="CH293" i="2"/>
  <c r="CH54" i="2"/>
  <c r="CH455" i="2"/>
  <c r="CD27" i="2"/>
  <c r="CE27" i="2" s="1"/>
  <c r="BA323" i="2"/>
  <c r="BV323" i="2" s="1" a="1"/>
  <c r="BV323" i="2" s="1"/>
  <c r="CH471" i="2"/>
  <c r="CH437" i="2"/>
  <c r="CH32" i="2"/>
  <c r="CH295" i="2"/>
  <c r="CH457" i="2"/>
  <c r="CH43" i="2"/>
  <c r="CH463" i="2"/>
  <c r="CH445" i="2"/>
  <c r="CH216" i="2"/>
  <c r="CH163" i="2"/>
  <c r="CH296" i="2"/>
  <c r="BY464" i="2"/>
  <c r="CH460" i="2"/>
  <c r="CH409" i="2"/>
  <c r="CH61" i="2"/>
  <c r="CH223" i="2"/>
  <c r="CH211" i="2"/>
  <c r="CH179" i="2"/>
  <c r="CH175" i="2"/>
  <c r="CH168" i="2"/>
  <c r="CH164" i="2"/>
  <c r="CH259" i="2"/>
  <c r="CH240" i="2"/>
  <c r="CH5" i="2"/>
  <c r="CH137" i="2"/>
  <c r="CH125" i="2"/>
  <c r="CH8" i="2"/>
  <c r="CH358" i="2"/>
  <c r="CH353" i="2"/>
  <c r="CH319" i="2"/>
  <c r="CH314" i="2"/>
  <c r="CH111" i="2"/>
  <c r="CH78" i="2"/>
  <c r="CH74" i="2"/>
  <c r="CH458" i="2"/>
  <c r="BY456" i="2"/>
  <c r="CH452" i="2"/>
  <c r="BZ171" i="2"/>
  <c r="BZ321" i="2"/>
  <c r="BZ457" i="2"/>
  <c r="BZ453" i="2"/>
  <c r="BZ456" i="2"/>
  <c r="BZ469" i="2"/>
  <c r="BZ455" i="2"/>
  <c r="BZ458" i="2"/>
  <c r="BZ452" i="2"/>
  <c r="BZ468" i="2"/>
  <c r="BZ80" i="2"/>
  <c r="BZ166" i="2"/>
  <c r="BZ89" i="2"/>
  <c r="BZ444" i="2"/>
  <c r="BZ325" i="2"/>
  <c r="BZ378" i="2"/>
  <c r="BZ312" i="2"/>
  <c r="BZ225" i="2"/>
  <c r="BZ172" i="2"/>
  <c r="BZ389" i="2"/>
  <c r="BZ237" i="2"/>
  <c r="BZ67" i="2"/>
  <c r="BZ13" i="2"/>
  <c r="BZ68" i="2"/>
  <c r="BZ367" i="2"/>
  <c r="BZ219" i="2"/>
  <c r="BZ114" i="2"/>
  <c r="BZ159" i="2"/>
  <c r="BZ425" i="2"/>
  <c r="BZ150" i="2"/>
  <c r="BZ499" i="2"/>
  <c r="BZ394" i="2"/>
  <c r="BZ42" i="2"/>
  <c r="BZ310" i="2"/>
  <c r="BZ174" i="2"/>
  <c r="BZ101" i="2"/>
  <c r="BZ177" i="2"/>
  <c r="BZ329" i="2"/>
  <c r="BZ91" i="2"/>
  <c r="BZ207" i="2"/>
  <c r="BZ100" i="2"/>
  <c r="BZ228" i="2"/>
  <c r="BZ372" i="2"/>
  <c r="BZ162" i="2"/>
  <c r="BZ342" i="2"/>
  <c r="BZ148" i="2"/>
  <c r="BZ86" i="2"/>
  <c r="BZ155" i="2"/>
  <c r="BZ309" i="2"/>
  <c r="BZ157" i="2"/>
  <c r="BZ448" i="2"/>
  <c r="BZ360" i="2"/>
  <c r="BZ149" i="2"/>
  <c r="BZ72" i="2"/>
  <c r="BZ59" i="2"/>
  <c r="BZ197" i="2"/>
  <c r="BZ83" i="2"/>
  <c r="BZ43" i="2"/>
  <c r="BZ165" i="2"/>
  <c r="BZ352" i="2"/>
  <c r="BZ181" i="2"/>
  <c r="BZ12" i="2"/>
  <c r="BZ411" i="2"/>
  <c r="BZ151" i="2"/>
  <c r="BZ408" i="2"/>
  <c r="BZ327" i="2"/>
  <c r="BZ213" i="2"/>
  <c r="BZ204" i="2"/>
  <c r="BZ49" i="2"/>
  <c r="BZ195" i="2"/>
  <c r="BZ11" i="2"/>
  <c r="BZ443" i="2"/>
  <c r="BZ324" i="2"/>
  <c r="BZ97" i="2"/>
  <c r="BZ47" i="2"/>
  <c r="BZ205" i="2"/>
  <c r="BZ56" i="2"/>
  <c r="BZ107" i="2"/>
  <c r="BZ71" i="2"/>
  <c r="BZ498" i="2"/>
  <c r="BZ95" i="2"/>
  <c r="BZ450" i="2"/>
  <c r="BZ26" i="2"/>
  <c r="BZ8" i="2"/>
  <c r="BZ112" i="2"/>
  <c r="BZ61" i="2"/>
  <c r="BZ186" i="2"/>
  <c r="BZ176" i="2"/>
  <c r="BZ227" i="2"/>
  <c r="BZ330" i="2"/>
  <c r="BZ185" i="2"/>
  <c r="BZ45" i="2"/>
  <c r="BZ203" i="2"/>
  <c r="BZ229" i="2"/>
  <c r="BZ236" i="2"/>
  <c r="BZ366" i="2"/>
  <c r="BZ365" i="2"/>
  <c r="BZ14" i="2"/>
  <c r="BZ93" i="2"/>
  <c r="BZ94" i="2"/>
  <c r="BZ196" i="2"/>
  <c r="BZ335" i="2"/>
  <c r="BZ356" i="2"/>
  <c r="BZ60" i="2"/>
  <c r="BZ54" i="2"/>
  <c r="BZ96" i="2"/>
  <c r="BZ314" i="2"/>
  <c r="BZ82" i="2"/>
  <c r="BZ22" i="2"/>
  <c r="BZ307" i="2"/>
  <c r="BZ69" i="2"/>
  <c r="BZ77" i="2"/>
  <c r="BZ190" i="2"/>
  <c r="BZ191" i="2"/>
  <c r="BZ147" i="2"/>
  <c r="BZ470" i="2"/>
  <c r="BZ230" i="2"/>
  <c r="BZ193" i="2"/>
  <c r="BZ349" i="2"/>
  <c r="BZ98" i="2"/>
  <c r="BZ220" i="2"/>
  <c r="BZ351" i="2"/>
  <c r="BZ231" i="2"/>
  <c r="BZ187" i="2"/>
  <c r="BZ436" i="2"/>
  <c r="BZ363" i="2"/>
  <c r="BZ211" i="2"/>
  <c r="BZ320" i="2"/>
  <c r="BZ10" i="2"/>
  <c r="BZ364" i="2"/>
  <c r="BZ170" i="2"/>
  <c r="BZ183" i="2"/>
  <c r="BZ316" i="2"/>
  <c r="BZ214" i="2"/>
  <c r="BZ376" i="2"/>
  <c r="BZ113" i="2"/>
  <c r="BZ192" i="2"/>
  <c r="BZ446" i="2"/>
  <c r="BZ497" i="2"/>
  <c r="BZ334" i="2"/>
  <c r="BZ422" i="2"/>
  <c r="BZ18" i="2"/>
  <c r="BZ210" i="2"/>
  <c r="BZ21" i="2"/>
  <c r="BZ19" i="2"/>
  <c r="BZ78" i="2"/>
  <c r="BZ232" i="2"/>
  <c r="BZ224" i="2"/>
  <c r="BZ63" i="2"/>
  <c r="BZ235" i="2"/>
  <c r="BZ102" i="2"/>
  <c r="BZ66" i="2"/>
  <c r="BZ88" i="2"/>
  <c r="BZ90" i="2"/>
  <c r="BZ388" i="2"/>
  <c r="BZ412" i="2"/>
  <c r="BZ350" i="2"/>
  <c r="BZ449" i="2"/>
  <c r="BZ99" i="2"/>
  <c r="BZ62" i="2"/>
  <c r="BZ180" i="2"/>
  <c r="BZ500" i="2"/>
  <c r="BZ20" i="2"/>
  <c r="BZ454" i="2"/>
  <c r="BZ156" i="2"/>
  <c r="BZ328" i="2"/>
  <c r="BZ85" i="2"/>
  <c r="BZ337" i="2"/>
  <c r="BZ118" i="2"/>
  <c r="BZ374" i="2"/>
  <c r="BZ38" i="2"/>
  <c r="BZ339" i="2"/>
  <c r="BZ415" i="2"/>
  <c r="BZ361" i="2"/>
  <c r="BZ111" i="2"/>
  <c r="BZ459" i="2"/>
  <c r="BZ198" i="2"/>
  <c r="BZ395" i="2"/>
  <c r="BZ120" i="2"/>
  <c r="BZ347" i="2"/>
  <c r="BZ103" i="2"/>
  <c r="BZ218" i="2"/>
  <c r="BZ104" i="2"/>
  <c r="BZ398" i="2"/>
  <c r="BZ317" i="2"/>
  <c r="BZ318" i="2"/>
  <c r="BZ52" i="2"/>
  <c r="BZ25" i="2"/>
  <c r="BZ358" i="2"/>
  <c r="BZ417" i="2"/>
  <c r="BZ169" i="2"/>
  <c r="BZ44" i="2"/>
  <c r="BZ442" i="2"/>
  <c r="BZ57" i="2"/>
  <c r="BZ322" i="2"/>
  <c r="BZ348" i="2"/>
  <c r="BZ447" i="2"/>
  <c r="BZ340" i="2"/>
  <c r="BZ445" i="2"/>
  <c r="BZ208" i="2"/>
  <c r="BZ369" i="2"/>
  <c r="BZ115" i="2"/>
  <c r="BZ390" i="2"/>
  <c r="BZ164" i="2"/>
  <c r="BZ75" i="2"/>
  <c r="BZ353" i="2"/>
  <c r="BZ50" i="2"/>
  <c r="BZ161" i="2"/>
  <c r="BZ368" i="2"/>
  <c r="BZ184" i="2"/>
  <c r="BZ41" i="2"/>
  <c r="BZ399" i="2"/>
  <c r="BZ110" i="2"/>
  <c r="BZ435" i="2"/>
  <c r="BZ79" i="2"/>
  <c r="BZ160" i="2"/>
  <c r="BZ359" i="2"/>
  <c r="BZ396" i="2"/>
  <c r="BZ64" i="2"/>
  <c r="BZ163" i="2"/>
  <c r="BZ73" i="2"/>
  <c r="BZ414" i="2"/>
  <c r="BZ154" i="2"/>
  <c r="BZ9" i="2"/>
  <c r="BZ233" i="2"/>
  <c r="BZ311" i="2"/>
  <c r="BZ338" i="2"/>
  <c r="BZ48" i="2"/>
  <c r="BZ323" i="2"/>
  <c r="BZ15" i="2"/>
  <c r="BZ58" i="2"/>
  <c r="BZ178" i="2"/>
  <c r="BZ222" i="2"/>
  <c r="BZ189" i="2"/>
  <c r="BZ23" i="2"/>
  <c r="BZ119" i="2"/>
  <c r="BZ331" i="2"/>
  <c r="BZ194" i="2"/>
  <c r="BZ379" i="2"/>
  <c r="BZ84" i="2"/>
  <c r="BZ46" i="2"/>
  <c r="BZ410" i="2"/>
  <c r="BZ345" i="2"/>
  <c r="BZ308" i="2"/>
  <c r="BZ109" i="2"/>
  <c r="BZ336" i="2"/>
  <c r="BZ188" i="2"/>
  <c r="BZ35" i="2"/>
  <c r="BZ343" i="2"/>
  <c r="BZ200" i="2"/>
  <c r="BZ108" i="2"/>
  <c r="BZ416" i="2"/>
  <c r="BZ313" i="2"/>
  <c r="BZ179" i="2"/>
  <c r="BZ105" i="2"/>
  <c r="BZ373" i="2"/>
  <c r="BZ216" i="2"/>
  <c r="BZ17" i="2"/>
  <c r="BZ357" i="2"/>
  <c r="BZ152" i="2"/>
  <c r="BZ217" i="2"/>
  <c r="BZ332" i="2"/>
  <c r="BZ201" i="2"/>
  <c r="BZ341" i="2"/>
  <c r="BZ24" i="2"/>
  <c r="BZ451" i="2"/>
  <c r="BZ55" i="2"/>
  <c r="BZ377" i="2"/>
  <c r="BZ375" i="2"/>
  <c r="BZ319" i="2"/>
  <c r="BZ70" i="2"/>
  <c r="BZ381" i="2"/>
  <c r="BZ206" i="2"/>
  <c r="BZ76" i="2"/>
  <c r="BZ36" i="2"/>
  <c r="BZ209" i="2"/>
  <c r="BZ175" i="2"/>
  <c r="BZ355" i="2"/>
  <c r="BZ326" i="2"/>
  <c r="BZ39" i="2"/>
  <c r="BZ354" i="2"/>
  <c r="BZ397" i="2"/>
  <c r="BZ87" i="2"/>
  <c r="BZ223" i="2"/>
  <c r="BZ202" i="2"/>
  <c r="BZ392" i="2"/>
  <c r="BZ344" i="2"/>
  <c r="BZ167" i="2"/>
  <c r="BZ40" i="2"/>
  <c r="BZ117" i="2"/>
  <c r="BZ158" i="2"/>
  <c r="BZ51" i="2"/>
  <c r="BZ168" i="2"/>
  <c r="BZ387" i="2"/>
  <c r="BZ199" i="2"/>
  <c r="BZ153" i="2"/>
  <c r="BZ74" i="2"/>
  <c r="BZ173" i="2"/>
  <c r="BZ221" i="2"/>
  <c r="BZ370" i="2"/>
  <c r="BZ106" i="2"/>
  <c r="BZ215" i="2"/>
  <c r="BZ413" i="2"/>
  <c r="BZ362" i="2"/>
  <c r="BZ212" i="2"/>
  <c r="BZ226" i="2"/>
  <c r="BZ92" i="2"/>
  <c r="BZ81" i="2"/>
  <c r="BZ234" i="2"/>
  <c r="BZ380" i="2"/>
  <c r="BZ393" i="2"/>
  <c r="BZ315" i="2"/>
  <c r="CB113" i="2"/>
  <c r="CB90" i="2"/>
  <c r="CB372" i="2"/>
  <c r="CB110" i="2"/>
  <c r="CB373" i="2"/>
  <c r="BY273" i="2"/>
  <c r="BY433" i="2"/>
  <c r="BY268" i="2"/>
  <c r="BY512" i="2"/>
  <c r="BY275" i="2"/>
  <c r="BY427" i="2"/>
  <c r="BY291" i="2"/>
  <c r="BY281" i="2"/>
  <c r="BY434" i="2"/>
  <c r="BY300" i="2"/>
  <c r="BY274" i="2"/>
  <c r="BY265" i="2"/>
  <c r="BY256" i="2"/>
  <c r="BY494" i="2"/>
  <c r="BY303" i="2"/>
  <c r="CD187" i="2" l="1"/>
  <c r="CE187" i="2" s="1"/>
  <c r="CD80" i="2"/>
  <c r="CE80" i="2" s="1"/>
  <c r="CD237" i="2"/>
  <c r="CE237" i="2" s="1"/>
  <c r="CD387" i="2"/>
  <c r="CD310" i="2"/>
  <c r="CI310" i="2" s="1"/>
  <c r="CJ310" i="2" s="1"/>
  <c r="CK310" i="2" s="1"/>
  <c r="CD388" i="2"/>
  <c r="CE388" i="2" s="1"/>
  <c r="CD197" i="2"/>
  <c r="CE197" i="2" s="1"/>
  <c r="CD215" i="2"/>
  <c r="CI215" i="2" s="1"/>
  <c r="CJ215" i="2" s="1"/>
  <c r="CK215" i="2" s="1"/>
  <c r="CD175" i="2"/>
  <c r="CE175" i="2" s="1"/>
  <c r="CD415" i="2"/>
  <c r="CD158" i="2"/>
  <c r="CI158" i="2" s="1"/>
  <c r="CJ158" i="2" s="1"/>
  <c r="CK158" i="2" s="1"/>
  <c r="CD339" i="2"/>
  <c r="CI339" i="2" s="1"/>
  <c r="CJ339" i="2" s="1"/>
  <c r="CK339" i="2" s="1"/>
  <c r="CD499" i="2"/>
  <c r="CE499" i="2" s="1"/>
  <c r="CD469" i="2"/>
  <c r="CD368" i="2"/>
  <c r="CE368" i="2" s="1"/>
  <c r="CD207" i="2"/>
  <c r="CD459" i="2"/>
  <c r="CE459" i="2" s="1"/>
  <c r="CD318" i="2"/>
  <c r="CE318" i="2" s="1"/>
  <c r="CD500" i="2"/>
  <c r="CI500" i="2" s="1"/>
  <c r="CJ500" i="2" s="1"/>
  <c r="CK500" i="2" s="1"/>
  <c r="CD26" i="2"/>
  <c r="CI26" i="2" s="1"/>
  <c r="CJ26" i="2" s="1"/>
  <c r="CK26" i="2" s="1"/>
  <c r="CD56" i="2"/>
  <c r="CD200" i="2"/>
  <c r="CI200" i="2" s="1"/>
  <c r="CJ200" i="2" s="1"/>
  <c r="CK200" i="2" s="1"/>
  <c r="CD92" i="2"/>
  <c r="CD53" i="2"/>
  <c r="CI53" i="2" s="1"/>
  <c r="CJ53" i="2" s="1"/>
  <c r="CK53" i="2" s="1"/>
  <c r="CD234" i="2"/>
  <c r="CD64" i="2"/>
  <c r="CE64" i="2" s="1"/>
  <c r="CD93" i="2"/>
  <c r="CE93" i="2" s="1"/>
  <c r="CD12" i="2"/>
  <c r="CD217" i="2"/>
  <c r="CE217" i="2" s="1"/>
  <c r="CD47" i="2"/>
  <c r="CI47" i="2" s="1"/>
  <c r="CD344" i="2"/>
  <c r="CE344" i="2" s="1"/>
  <c r="CD185" i="2"/>
  <c r="CI185" i="2" s="1"/>
  <c r="CD174" i="2"/>
  <c r="CI174" i="2" s="1"/>
  <c r="CD42" i="2"/>
  <c r="CD232" i="2"/>
  <c r="CD78" i="2"/>
  <c r="CE78" i="2" s="1"/>
  <c r="CD357" i="2"/>
  <c r="CD62" i="2"/>
  <c r="CI62" i="2" s="1"/>
  <c r="CJ62" i="2" s="1"/>
  <c r="CK62" i="2" s="1"/>
  <c r="CD450" i="2"/>
  <c r="CI450" i="2" s="1"/>
  <c r="CD205" i="2"/>
  <c r="CD206" i="2"/>
  <c r="CE206" i="2" s="1"/>
  <c r="CD135" i="2"/>
  <c r="CE135" i="2" s="1"/>
  <c r="CD119" i="2"/>
  <c r="CE119" i="2" s="1"/>
  <c r="CD41" i="2"/>
  <c r="CD386" i="2"/>
  <c r="CI386" i="2" s="1"/>
  <c r="CJ386" i="2" s="1"/>
  <c r="CD67" i="2"/>
  <c r="CE67" i="2" s="1"/>
  <c r="CD230" i="2"/>
  <c r="CE230" i="2" s="1"/>
  <c r="CD74" i="2"/>
  <c r="CD214" i="2"/>
  <c r="CI214" i="2" s="1"/>
  <c r="CJ214" i="2" s="1"/>
  <c r="CK214" i="2" s="1"/>
  <c r="CD370" i="2"/>
  <c r="CE370" i="2" s="1"/>
  <c r="CD24" i="2"/>
  <c r="CD226" i="2"/>
  <c r="CE226" i="2" s="1"/>
  <c r="CD350" i="2"/>
  <c r="CD86" i="2"/>
  <c r="CI86" i="2" s="1"/>
  <c r="CJ86" i="2" s="1"/>
  <c r="CK86" i="2" s="1"/>
  <c r="CD223" i="2"/>
  <c r="CE223" i="2" s="1"/>
  <c r="CD227" i="2"/>
  <c r="CI227" i="2" s="1"/>
  <c r="CJ227" i="2" s="1"/>
  <c r="CK227" i="2" s="1"/>
  <c r="CD112" i="2"/>
  <c r="CD478" i="2"/>
  <c r="CE478" i="2" s="1"/>
  <c r="CD424" i="2"/>
  <c r="CE424" i="2" s="1"/>
  <c r="CD90" i="2"/>
  <c r="CI90" i="2" s="1"/>
  <c r="CJ90" i="2" s="1"/>
  <c r="CK90" i="2" s="1"/>
  <c r="CD96" i="2"/>
  <c r="CI96" i="2" s="1"/>
  <c r="CJ96" i="2" s="1"/>
  <c r="CK96" i="2" s="1"/>
  <c r="CD102" i="2"/>
  <c r="CE102" i="2" s="1"/>
  <c r="CD233" i="2"/>
  <c r="CD95" i="2"/>
  <c r="CE95" i="2" s="1"/>
  <c r="CD328" i="2"/>
  <c r="CD165" i="2"/>
  <c r="CI165" i="2" s="1"/>
  <c r="CD222" i="2"/>
  <c r="CD412" i="2"/>
  <c r="CD190" i="2"/>
  <c r="CI190" i="2" s="1"/>
  <c r="CJ190" i="2" s="1"/>
  <c r="CK190" i="2" s="1"/>
  <c r="CD393" i="2"/>
  <c r="CE393" i="2" s="1"/>
  <c r="CD44" i="2"/>
  <c r="CD114" i="2"/>
  <c r="CE114" i="2" s="1"/>
  <c r="CD101" i="2"/>
  <c r="CI101" i="2" s="1"/>
  <c r="CJ101" i="2" s="1"/>
  <c r="CK101" i="2" s="1"/>
  <c r="CD414" i="2"/>
  <c r="CD189" i="2"/>
  <c r="CI189" i="2" s="1"/>
  <c r="CJ189" i="2" s="1"/>
  <c r="CK189" i="2" s="1"/>
  <c r="CD352" i="2"/>
  <c r="CE352" i="2" s="1"/>
  <c r="CD76" i="2"/>
  <c r="CD338" i="2"/>
  <c r="CD117" i="2"/>
  <c r="CE117" i="2" s="1"/>
  <c r="CD213" i="2"/>
  <c r="CE213" i="2" s="1"/>
  <c r="CD410" i="2"/>
  <c r="CI410" i="2" s="1"/>
  <c r="CJ410" i="2" s="1"/>
  <c r="CD23" i="2"/>
  <c r="CE23" i="2" s="1"/>
  <c r="CD400" i="2"/>
  <c r="CE400" i="2" s="1"/>
  <c r="CD390" i="2"/>
  <c r="CD14" i="2"/>
  <c r="CD52" i="2"/>
  <c r="CD309" i="2"/>
  <c r="CE309" i="2" s="1"/>
  <c r="CD58" i="2"/>
  <c r="CE58" i="2" s="1"/>
  <c r="CD384" i="2"/>
  <c r="CE384" i="2" s="1"/>
  <c r="CD468" i="2"/>
  <c r="CI468" i="2" s="1"/>
  <c r="CJ468" i="2" s="1"/>
  <c r="CK468" i="2" s="1"/>
  <c r="CD167" i="2"/>
  <c r="CE167" i="2" s="1"/>
  <c r="CD149" i="2"/>
  <c r="CD87" i="2"/>
  <c r="CE87" i="2" s="1"/>
  <c r="CD60" i="2"/>
  <c r="CD411" i="2"/>
  <c r="CI411" i="2" s="1"/>
  <c r="CJ411" i="2" s="1"/>
  <c r="CD83" i="2"/>
  <c r="CD377" i="2"/>
  <c r="CI377" i="2" s="1"/>
  <c r="CJ377" i="2" s="1"/>
  <c r="CD401" i="2"/>
  <c r="CD130" i="2"/>
  <c r="CI130" i="2" s="1"/>
  <c r="CJ130" i="2" s="1"/>
  <c r="CK130" i="2" s="1"/>
  <c r="CD145" i="2"/>
  <c r="CE145" i="2" s="1"/>
  <c r="CD364" i="2"/>
  <c r="CE364" i="2" s="1"/>
  <c r="CD195" i="2"/>
  <c r="CI195" i="2" s="1"/>
  <c r="CJ195" i="2" s="1"/>
  <c r="CK195" i="2" s="1"/>
  <c r="CD340" i="2"/>
  <c r="CE340" i="2" s="1"/>
  <c r="CD219" i="2"/>
  <c r="CE219" i="2" s="1"/>
  <c r="CD178" i="2"/>
  <c r="CD15" i="2"/>
  <c r="CD18" i="2"/>
  <c r="CI18" i="2" s="1"/>
  <c r="CJ18" i="2" s="1"/>
  <c r="CK18" i="2" s="1"/>
  <c r="CD155" i="2"/>
  <c r="CI155" i="2" s="1"/>
  <c r="CD166" i="2"/>
  <c r="CE166" i="2" s="1"/>
  <c r="CD194" i="2"/>
  <c r="CI194" i="2" s="1"/>
  <c r="CJ194" i="2" s="1"/>
  <c r="CK194" i="2" s="1"/>
  <c r="CD176" i="2"/>
  <c r="CI176" i="2" s="1"/>
  <c r="CJ176" i="2" s="1"/>
  <c r="CK176" i="2" s="1"/>
  <c r="CD163" i="2"/>
  <c r="CI163" i="2" s="1"/>
  <c r="CJ163" i="2" s="1"/>
  <c r="CK163" i="2" s="1"/>
  <c r="CD218" i="2"/>
  <c r="CI218" i="2" s="1"/>
  <c r="CJ218" i="2" s="1"/>
  <c r="CK218" i="2" s="1"/>
  <c r="CD356" i="2"/>
  <c r="CI356" i="2" s="1"/>
  <c r="CJ356" i="2" s="1"/>
  <c r="CK356" i="2" s="1"/>
  <c r="CD105" i="2"/>
  <c r="CD116" i="2"/>
  <c r="CE116" i="2" s="1"/>
  <c r="CD191" i="2"/>
  <c r="CD10" i="2"/>
  <c r="CD113" i="2"/>
  <c r="CD121" i="2"/>
  <c r="CE121" i="2" s="1"/>
  <c r="CD11" i="2"/>
  <c r="CI11" i="2" s="1"/>
  <c r="CJ11" i="2" s="1"/>
  <c r="CK11" i="2" s="1"/>
  <c r="CD365" i="2"/>
  <c r="CE365" i="2" s="1"/>
  <c r="CD369" i="2"/>
  <c r="CE369" i="2" s="1"/>
  <c r="CD366" i="2"/>
  <c r="CD220" i="2"/>
  <c r="CD182" i="2"/>
  <c r="CE182" i="2" s="1"/>
  <c r="CD345" i="2"/>
  <c r="CE345" i="2" s="1"/>
  <c r="CD153" i="2"/>
  <c r="CE153" i="2" s="1"/>
  <c r="CD136" i="2"/>
  <c r="CE136" i="2" s="1"/>
  <c r="CD351" i="2"/>
  <c r="CD40" i="2"/>
  <c r="CD100" i="2"/>
  <c r="CI100" i="2" s="1"/>
  <c r="CD204" i="2"/>
  <c r="CD362" i="2"/>
  <c r="CD186" i="2"/>
  <c r="CI186" i="2" s="1"/>
  <c r="CJ186" i="2" s="1"/>
  <c r="CK186" i="2" s="1"/>
  <c r="CD449" i="2"/>
  <c r="CE449" i="2" s="1"/>
  <c r="CD431" i="2"/>
  <c r="CD343" i="2"/>
  <c r="CD21" i="2"/>
  <c r="CD475" i="2"/>
  <c r="CE475" i="2" s="1"/>
  <c r="CD29" i="2"/>
  <c r="CI29" i="2" s="1"/>
  <c r="CJ29" i="2" s="1"/>
  <c r="CK29" i="2" s="1"/>
  <c r="CD337" i="2"/>
  <c r="CD375" i="2"/>
  <c r="CE375" i="2" s="1"/>
  <c r="CD57" i="2"/>
  <c r="CI57" i="2" s="1"/>
  <c r="CJ57" i="2" s="1"/>
  <c r="CK57" i="2" s="1"/>
  <c r="CD25" i="2"/>
  <c r="CD192" i="2"/>
  <c r="CD231" i="2"/>
  <c r="CI231" i="2" s="1"/>
  <c r="CJ231" i="2" s="1"/>
  <c r="CK231" i="2" s="1"/>
  <c r="CD81" i="2"/>
  <c r="CD373" i="2"/>
  <c r="CI373" i="2" s="1"/>
  <c r="CJ373" i="2" s="1"/>
  <c r="CK373" i="2" s="1"/>
  <c r="CD184" i="2"/>
  <c r="CI184" i="2" s="1"/>
  <c r="CJ184" i="2" s="1"/>
  <c r="CK184" i="2" s="1"/>
  <c r="CD63" i="2"/>
  <c r="CI63" i="2" s="1"/>
  <c r="CJ63" i="2" s="1"/>
  <c r="CK63" i="2" s="1"/>
  <c r="CD183" i="2"/>
  <c r="CD156" i="2"/>
  <c r="CI156" i="2" s="1"/>
  <c r="CJ156" i="2" s="1"/>
  <c r="CK156" i="2" s="1"/>
  <c r="CD402" i="2"/>
  <c r="CI402" i="2" s="1"/>
  <c r="CJ402" i="2" s="1"/>
  <c r="CK402" i="2" s="1"/>
  <c r="CD65" i="2"/>
  <c r="CE65" i="2" s="1"/>
  <c r="CD71" i="2"/>
  <c r="CE71" i="2" s="1"/>
  <c r="CD457" i="2"/>
  <c r="CI457" i="2" s="1"/>
  <c r="CD110" i="2"/>
  <c r="CI110" i="2" s="1"/>
  <c r="CJ110" i="2" s="1"/>
  <c r="CK110" i="2" s="1"/>
  <c r="CD181" i="2"/>
  <c r="CE181" i="2" s="1"/>
  <c r="CD17" i="2"/>
  <c r="CE17" i="2" s="1"/>
  <c r="CD89" i="2"/>
  <c r="CE89" i="2" s="1"/>
  <c r="CD327" i="2"/>
  <c r="CE327" i="2" s="1"/>
  <c r="CD497" i="2"/>
  <c r="CE497" i="2" s="1"/>
  <c r="CD46" i="2"/>
  <c r="CI46" i="2" s="1"/>
  <c r="CJ46" i="2" s="1"/>
  <c r="CK46" i="2" s="1"/>
  <c r="CD413" i="2"/>
  <c r="CI413" i="2" s="1"/>
  <c r="CJ413" i="2" s="1"/>
  <c r="CK413" i="2" s="1"/>
  <c r="CD164" i="2"/>
  <c r="CD216" i="2"/>
  <c r="CE216" i="2" s="1"/>
  <c r="CD84" i="2"/>
  <c r="CD481" i="2"/>
  <c r="CE481" i="2" s="1"/>
  <c r="CD404" i="2"/>
  <c r="CI404" i="2" s="1"/>
  <c r="CJ404" i="2" s="1"/>
  <c r="CK404" i="2" s="1"/>
  <c r="CD123" i="2"/>
  <c r="CE123" i="2" s="1"/>
  <c r="CD132" i="2"/>
  <c r="CE132" i="2" s="1"/>
  <c r="CD5" i="2"/>
  <c r="CE5" i="2" s="1"/>
  <c r="CD389" i="2"/>
  <c r="CE389" i="2" s="1"/>
  <c r="CD48" i="2"/>
  <c r="CE48" i="2" s="1"/>
  <c r="CD13" i="2"/>
  <c r="CE13" i="2" s="1"/>
  <c r="CD367" i="2"/>
  <c r="CE367" i="2" s="1"/>
  <c r="CD211" i="2"/>
  <c r="CD88" i="2"/>
  <c r="CI88" i="2" s="1"/>
  <c r="CJ88" i="2" s="1"/>
  <c r="CK88" i="2" s="1"/>
  <c r="CD169" i="2"/>
  <c r="CD160" i="2"/>
  <c r="CI160" i="2" s="1"/>
  <c r="CJ160" i="2" s="1"/>
  <c r="CK160" i="2" s="1"/>
  <c r="CD311" i="2"/>
  <c r="CE311" i="2" s="1"/>
  <c r="CD161" i="2"/>
  <c r="CE161" i="2" s="1"/>
  <c r="CD73" i="2"/>
  <c r="CI73" i="2" s="1"/>
  <c r="CJ73" i="2" s="1"/>
  <c r="CK73" i="2" s="1"/>
  <c r="CD171" i="2"/>
  <c r="CD45" i="2"/>
  <c r="CD349" i="2"/>
  <c r="CE349" i="2" s="1"/>
  <c r="CD398" i="2"/>
  <c r="CE398" i="2" s="1"/>
  <c r="CD22" i="2"/>
  <c r="CD355" i="2"/>
  <c r="CE355" i="2" s="1"/>
  <c r="CD403" i="2"/>
  <c r="CE403" i="2" s="1"/>
  <c r="CD493" i="2"/>
  <c r="CE493" i="2" s="1"/>
  <c r="CD139" i="2"/>
  <c r="CI139" i="2" s="1"/>
  <c r="CJ139" i="2" s="1"/>
  <c r="CK139" i="2" s="1"/>
  <c r="CD6" i="2"/>
  <c r="CI6" i="2" s="1"/>
  <c r="CJ6" i="2" s="1"/>
  <c r="CK6" i="2" s="1"/>
  <c r="CD391" i="2"/>
  <c r="CE391" i="2" s="1"/>
  <c r="CD85" i="2"/>
  <c r="CE85" i="2" s="1"/>
  <c r="CD436" i="2"/>
  <c r="CI436" i="2" s="1"/>
  <c r="CJ436" i="2" s="1"/>
  <c r="CD170" i="2"/>
  <c r="CE170" i="2" s="1"/>
  <c r="CD49" i="2"/>
  <c r="CI49" i="2" s="1"/>
  <c r="CJ49" i="2" s="1"/>
  <c r="CK49" i="2" s="1"/>
  <c r="CD106" i="2"/>
  <c r="CD115" i="2"/>
  <c r="CE115" i="2" s="1"/>
  <c r="CD152" i="2"/>
  <c r="CI152" i="2" s="1"/>
  <c r="CJ152" i="2" s="1"/>
  <c r="CK152" i="2" s="1"/>
  <c r="CD61" i="2"/>
  <c r="CI61" i="2" s="1"/>
  <c r="CJ61" i="2" s="1"/>
  <c r="CK61" i="2" s="1"/>
  <c r="CD363" i="2"/>
  <c r="CI363" i="2" s="1"/>
  <c r="CD397" i="2"/>
  <c r="CD151" i="2"/>
  <c r="CI151" i="2" s="1"/>
  <c r="CJ151" i="2" s="1"/>
  <c r="CK151" i="2" s="1"/>
  <c r="CD179" i="2"/>
  <c r="CI179" i="2" s="1"/>
  <c r="CD448" i="2"/>
  <c r="CI448" i="2" s="1"/>
  <c r="CD9" i="2"/>
  <c r="CE9" i="2" s="1"/>
  <c r="CD406" i="2"/>
  <c r="CI406" i="2" s="1"/>
  <c r="CJ406" i="2" s="1"/>
  <c r="CK406" i="2" s="1"/>
  <c r="CD420" i="2"/>
  <c r="CE420" i="2" s="1"/>
  <c r="CD37" i="2"/>
  <c r="CI37" i="2" s="1"/>
  <c r="CJ37" i="2" s="1"/>
  <c r="CK37" i="2" s="1"/>
  <c r="CD235" i="2"/>
  <c r="CE235" i="2" s="1"/>
  <c r="CD445" i="2"/>
  <c r="CD467" i="2"/>
  <c r="CD128" i="2"/>
  <c r="CI128" i="2" s="1"/>
  <c r="CJ128" i="2" s="1"/>
  <c r="CK128" i="2" s="1"/>
  <c r="CD502" i="2"/>
  <c r="CE502" i="2" s="1"/>
  <c r="CD446" i="2"/>
  <c r="CI446" i="2" s="1"/>
  <c r="CJ446" i="2" s="1"/>
  <c r="CK446" i="2" s="1"/>
  <c r="CD430" i="2"/>
  <c r="CD188" i="2"/>
  <c r="CI188" i="2" s="1"/>
  <c r="CJ188" i="2" s="1"/>
  <c r="CK188" i="2" s="1"/>
  <c r="CD374" i="2"/>
  <c r="CE374" i="2" s="1"/>
  <c r="CD198" i="2"/>
  <c r="CD109" i="2"/>
  <c r="CI109" i="2" s="1"/>
  <c r="CJ109" i="2" s="1"/>
  <c r="CK109" i="2" s="1"/>
  <c r="CD203" i="2"/>
  <c r="CE203" i="2" s="1"/>
  <c r="CD43" i="2"/>
  <c r="CE43" i="2" s="1"/>
  <c r="CD20" i="2"/>
  <c r="CE20" i="2" s="1"/>
  <c r="CD447" i="2"/>
  <c r="CD98" i="2"/>
  <c r="CD201" i="2"/>
  <c r="CD68" i="2"/>
  <c r="CE68" i="2" s="1"/>
  <c r="CD316" i="2"/>
  <c r="CD423" i="2"/>
  <c r="CE423" i="2" s="1"/>
  <c r="CD157" i="2"/>
  <c r="CD394" i="2"/>
  <c r="CE394" i="2" s="1"/>
  <c r="CD212" i="2"/>
  <c r="CI212" i="2" s="1"/>
  <c r="CJ212" i="2" s="1"/>
  <c r="CK212" i="2" s="1"/>
  <c r="CD177" i="2"/>
  <c r="CE177" i="2" s="1"/>
  <c r="CD308" i="2"/>
  <c r="CI308" i="2" s="1"/>
  <c r="CJ308" i="2" s="1"/>
  <c r="CK308" i="2" s="1"/>
  <c r="CD405" i="2"/>
  <c r="CI405" i="2" s="1"/>
  <c r="CJ405" i="2" s="1"/>
  <c r="CK405" i="2" s="1"/>
  <c r="CD4" i="2"/>
  <c r="CE4" i="2" s="1"/>
  <c r="CD33" i="2"/>
  <c r="CE33" i="2" s="1"/>
  <c r="CD490" i="2"/>
  <c r="CI490" i="2" s="1"/>
  <c r="CJ490" i="2" s="1"/>
  <c r="CK490" i="2" s="1"/>
  <c r="CD408" i="2"/>
  <c r="CD435" i="2"/>
  <c r="CD147" i="2"/>
  <c r="CE147" i="2" s="1"/>
  <c r="CD312" i="2"/>
  <c r="CI312" i="2" s="1"/>
  <c r="CJ312" i="2" s="1"/>
  <c r="CK312" i="2" s="1"/>
  <c r="CD193" i="2"/>
  <c r="CI193" i="2" s="1"/>
  <c r="CJ193" i="2" s="1"/>
  <c r="CK193" i="2" s="1"/>
  <c r="CD138" i="2"/>
  <c r="CE138" i="2" s="1"/>
  <c r="CD443" i="2"/>
  <c r="CI443" i="2" s="1"/>
  <c r="CJ443" i="2" s="1"/>
  <c r="CK443" i="2" s="1"/>
  <c r="CD466" i="2"/>
  <c r="CD32" i="2"/>
  <c r="CE32" i="2" s="1"/>
  <c r="CD173" i="2"/>
  <c r="CI173" i="2" s="1"/>
  <c r="CJ173" i="2" s="1"/>
  <c r="CK173" i="2" s="1"/>
  <c r="CD392" i="2"/>
  <c r="CI392" i="2" s="1"/>
  <c r="CJ392" i="2" s="1"/>
  <c r="CD159" i="2"/>
  <c r="CD79" i="2"/>
  <c r="CD107" i="2"/>
  <c r="CD228" i="2"/>
  <c r="CE228" i="2" s="1"/>
  <c r="CD372" i="2"/>
  <c r="CE372" i="2" s="1"/>
  <c r="CD498" i="2"/>
  <c r="CD50" i="2"/>
  <c r="CI50" i="2" s="1"/>
  <c r="CJ50" i="2" s="1"/>
  <c r="CK50" i="2" s="1"/>
  <c r="CD417" i="2"/>
  <c r="CI417" i="2" s="1"/>
  <c r="CJ417" i="2" s="1"/>
  <c r="CD124" i="2"/>
  <c r="CE124" i="2" s="1"/>
  <c r="CD129" i="2"/>
  <c r="CE129" i="2" s="1"/>
  <c r="CD143" i="2"/>
  <c r="CE143" i="2" s="1"/>
  <c r="CD137" i="2"/>
  <c r="CE137" i="2" s="1"/>
  <c r="CD180" i="2"/>
  <c r="CI180" i="2" s="1"/>
  <c r="CJ180" i="2" s="1"/>
  <c r="CK180" i="2" s="1"/>
  <c r="CD108" i="2"/>
  <c r="CD225" i="2"/>
  <c r="CD140" i="2"/>
  <c r="CI140" i="2" s="1"/>
  <c r="CJ140" i="2" s="1"/>
  <c r="CK140" i="2" s="1"/>
  <c r="CD127" i="2"/>
  <c r="CE127" i="2" s="1"/>
  <c r="CD444" i="2"/>
  <c r="CI444" i="2" s="1"/>
  <c r="CJ444" i="2" s="1"/>
  <c r="CK444" i="2" s="1"/>
  <c r="CD432" i="2"/>
  <c r="CD210" i="2"/>
  <c r="CE210" i="2" s="1"/>
  <c r="CD199" i="2"/>
  <c r="CE199" i="2" s="1"/>
  <c r="CD354" i="2"/>
  <c r="CE354" i="2" s="1"/>
  <c r="CD492" i="2"/>
  <c r="CI492" i="2" s="1"/>
  <c r="CJ492" i="2" s="1"/>
  <c r="CK492" i="2" s="1"/>
  <c r="CD146" i="2"/>
  <c r="CE146" i="2" s="1"/>
  <c r="CD148" i="2"/>
  <c r="CI148" i="2" s="1"/>
  <c r="CJ148" i="2" s="1"/>
  <c r="CK148" i="2" s="1"/>
  <c r="CD329" i="2"/>
  <c r="CD209" i="2"/>
  <c r="CE209" i="2" s="1"/>
  <c r="CD118" i="2"/>
  <c r="CD150" i="2"/>
  <c r="CD168" i="2"/>
  <c r="CD72" i="2"/>
  <c r="CD39" i="2"/>
  <c r="CE39" i="2" s="1"/>
  <c r="CD358" i="2"/>
  <c r="CE358" i="2" s="1"/>
  <c r="CD224" i="2"/>
  <c r="CE224" i="2" s="1"/>
  <c r="CD75" i="2"/>
  <c r="CD202" i="2"/>
  <c r="CD353" i="2"/>
  <c r="CE353" i="2" s="1"/>
  <c r="CD470" i="2"/>
  <c r="CE470" i="2" s="1"/>
  <c r="CD376" i="2"/>
  <c r="CD59" i="2"/>
  <c r="CD162" i="2"/>
  <c r="CI162" i="2" s="1"/>
  <c r="CJ162" i="2" s="1"/>
  <c r="CK162" i="2" s="1"/>
  <c r="CD55" i="2"/>
  <c r="CI55" i="2" s="1"/>
  <c r="CJ55" i="2" s="1"/>
  <c r="CK55" i="2" s="1"/>
  <c r="CD122" i="2"/>
  <c r="CI122" i="2" s="1"/>
  <c r="CJ122" i="2" s="1"/>
  <c r="CK122" i="2" s="1"/>
  <c r="CD30" i="2"/>
  <c r="CE30" i="2" s="1"/>
  <c r="CD483" i="2"/>
  <c r="CE483" i="2" s="1"/>
  <c r="CD418" i="2"/>
  <c r="CI418" i="2" s="1"/>
  <c r="CJ418" i="2" s="1"/>
  <c r="CD196" i="2"/>
  <c r="CD51" i="2"/>
  <c r="CE51" i="2" s="1"/>
  <c r="CD236" i="2"/>
  <c r="CE236" i="2" s="1"/>
  <c r="CD154" i="2"/>
  <c r="CE154" i="2" s="1"/>
  <c r="CD425" i="2"/>
  <c r="CD307" i="2"/>
  <c r="CD482" i="2"/>
  <c r="CE482" i="2" s="1"/>
  <c r="CD133" i="2"/>
  <c r="CE133" i="2" s="1"/>
  <c r="CD125" i="2"/>
  <c r="CE125" i="2" s="1"/>
  <c r="CD131" i="2"/>
  <c r="CE131" i="2" s="1"/>
  <c r="CB477" i="2"/>
  <c r="CB479" i="2"/>
  <c r="CB476" i="2"/>
  <c r="CB472" i="2"/>
  <c r="CB66" i="2"/>
  <c r="CB91" i="2"/>
  <c r="CB70" i="2"/>
  <c r="CB77" i="2"/>
  <c r="CB399" i="2"/>
  <c r="CB99" i="2"/>
  <c r="CB396" i="2"/>
  <c r="CB120" i="2"/>
  <c r="CB97" i="2"/>
  <c r="CB111" i="2"/>
  <c r="CB473" i="2"/>
  <c r="CB104" i="2"/>
  <c r="CB82" i="2"/>
  <c r="CB395" i="2"/>
  <c r="CB94" i="2"/>
  <c r="CB474" i="2"/>
  <c r="BZ261" i="2"/>
  <c r="BZ480" i="2"/>
  <c r="BZ465" i="2"/>
  <c r="CD465" i="2" s="1"/>
  <c r="CE465" i="2" s="1"/>
  <c r="CI507" i="2"/>
  <c r="CJ507" i="2" s="1"/>
  <c r="CI505" i="2"/>
  <c r="CJ505" i="2" s="1"/>
  <c r="CI508" i="2"/>
  <c r="CJ508" i="2" s="1"/>
  <c r="CI510" i="2"/>
  <c r="CJ510" i="2" s="1"/>
  <c r="CI511" i="2"/>
  <c r="CJ511" i="2" s="1"/>
  <c r="CI506" i="2"/>
  <c r="CJ506" i="2" s="1"/>
  <c r="CI509" i="2"/>
  <c r="CJ509" i="2" s="1"/>
  <c r="CD144" i="2"/>
  <c r="CI144" i="2" s="1"/>
  <c r="CJ144" i="2" s="1"/>
  <c r="CK144" i="2" s="1"/>
  <c r="CD346" i="2"/>
  <c r="CE346" i="2" s="1"/>
  <c r="BZ298" i="2"/>
  <c r="BZ239" i="2"/>
  <c r="BZ289" i="2"/>
  <c r="CD289" i="2" s="1"/>
  <c r="CI289" i="2" s="1"/>
  <c r="CJ289" i="2" s="1"/>
  <c r="CK289" i="2" s="1"/>
  <c r="BZ257" i="2"/>
  <c r="BZ255" i="2"/>
  <c r="BZ238" i="2"/>
  <c r="BZ504" i="2"/>
  <c r="BZ260" i="2"/>
  <c r="BZ253" i="2"/>
  <c r="BZ294" i="2"/>
  <c r="BZ484" i="2"/>
  <c r="BZ284" i="2"/>
  <c r="BZ272" i="2"/>
  <c r="BZ437" i="2"/>
  <c r="BZ266" i="2"/>
  <c r="BZ264" i="2"/>
  <c r="BZ439" i="2"/>
  <c r="BZ292" i="2"/>
  <c r="CD292" i="2" s="1"/>
  <c r="CI292" i="2" s="1"/>
  <c r="CJ292" i="2" s="1"/>
  <c r="CK292" i="2" s="1"/>
  <c r="BZ274" i="2"/>
  <c r="BZ288" i="2"/>
  <c r="CD288" i="2" s="1"/>
  <c r="BZ285" i="2"/>
  <c r="BZ290" i="2"/>
  <c r="CD290" i="2" s="1"/>
  <c r="CE290" i="2" s="1"/>
  <c r="BZ256" i="2"/>
  <c r="BZ382" i="2"/>
  <c r="CD463" i="2"/>
  <c r="CE463" i="2" s="1"/>
  <c r="BZ427" i="2"/>
  <c r="BZ259" i="2"/>
  <c r="BZ371" i="2"/>
  <c r="CD371" i="2" s="1"/>
  <c r="CI371" i="2" s="1"/>
  <c r="CJ371" i="2" s="1"/>
  <c r="CK371" i="2" s="1"/>
  <c r="BZ296" i="2"/>
  <c r="CD296" i="2" s="1"/>
  <c r="CE296" i="2" s="1"/>
  <c r="BZ242" i="2"/>
  <c r="BZ461" i="2"/>
  <c r="CD461" i="2" s="1"/>
  <c r="CE461" i="2" s="1"/>
  <c r="BZ297" i="2"/>
  <c r="BZ496" i="2"/>
  <c r="BZ494" i="2"/>
  <c r="BZ305" i="2"/>
  <c r="BZ488" i="2"/>
  <c r="BZ460" i="2"/>
  <c r="BZ407" i="2"/>
  <c r="BZ279" i="2"/>
  <c r="BZ426" i="2"/>
  <c r="BZ489" i="2"/>
  <c r="BZ301" i="2"/>
  <c r="BZ438" i="2"/>
  <c r="BZ302" i="2"/>
  <c r="BZ249" i="2"/>
  <c r="BZ462" i="2"/>
  <c r="BZ495" i="2"/>
  <c r="BZ258" i="2"/>
  <c r="BZ304" i="2"/>
  <c r="BZ486" i="2"/>
  <c r="BZ299" i="2"/>
  <c r="BZ385" i="2"/>
  <c r="BZ245" i="2"/>
  <c r="BZ295" i="2"/>
  <c r="BZ286" i="2"/>
  <c r="CD286" i="2" s="1"/>
  <c r="CE286" i="2" s="1"/>
  <c r="BZ270" i="2"/>
  <c r="BZ281" i="2"/>
  <c r="BZ487" i="2"/>
  <c r="BZ251" i="2"/>
  <c r="BZ241" i="2"/>
  <c r="BZ268" i="2"/>
  <c r="BZ248" i="2"/>
  <c r="BZ471" i="2"/>
  <c r="BZ441" i="2"/>
  <c r="BZ433" i="2"/>
  <c r="BZ428" i="2"/>
  <c r="BZ240" i="2"/>
  <c r="BZ303" i="2"/>
  <c r="BZ263" i="2"/>
  <c r="BZ306" i="2"/>
  <c r="BZ485" i="2"/>
  <c r="BZ244" i="2"/>
  <c r="CD244" i="2" s="1"/>
  <c r="CI244" i="2" s="1"/>
  <c r="CJ244" i="2" s="1"/>
  <c r="CK244" i="2" s="1"/>
  <c r="BZ254" i="2"/>
  <c r="BZ280" i="2"/>
  <c r="BZ243" i="2"/>
  <c r="BZ512" i="2"/>
  <c r="BZ267" i="2"/>
  <c r="BZ271" i="2"/>
  <c r="BZ275" i="2"/>
  <c r="BZ503" i="2"/>
  <c r="CD503" i="2" s="1"/>
  <c r="CI503" i="2" s="1"/>
  <c r="CJ503" i="2" s="1"/>
  <c r="CK503" i="2" s="1"/>
  <c r="BZ246" i="2"/>
  <c r="BZ252" i="2"/>
  <c r="BZ434" i="2"/>
  <c r="BZ283" i="2"/>
  <c r="BZ278" i="2"/>
  <c r="BZ293" i="2"/>
  <c r="CD293" i="2" s="1"/>
  <c r="CE293" i="2" s="1"/>
  <c r="BZ276" i="2"/>
  <c r="BZ269" i="2"/>
  <c r="BZ282" i="2"/>
  <c r="BZ273" i="2"/>
  <c r="BZ250" i="2"/>
  <c r="BZ409" i="2"/>
  <c r="CD409" i="2" s="1"/>
  <c r="CE409" i="2" s="1"/>
  <c r="BZ464" i="2"/>
  <c r="BZ277" i="2"/>
  <c r="CD277" i="2" s="1"/>
  <c r="BZ247" i="2"/>
  <c r="BZ265" i="2"/>
  <c r="BZ291" i="2"/>
  <c r="BZ300" i="2"/>
  <c r="BZ440" i="2"/>
  <c r="BZ262" i="2"/>
  <c r="BZ287" i="2"/>
  <c r="CD287" i="2" s="1"/>
  <c r="CI287" i="2" s="1"/>
  <c r="CJ287" i="2" s="1"/>
  <c r="CK287" i="2" s="1"/>
  <c r="CI134" i="2"/>
  <c r="CJ134" i="2" s="1"/>
  <c r="CK134" i="2" s="1"/>
  <c r="BZ501" i="2"/>
  <c r="CI422" i="2"/>
  <c r="CJ422" i="2" s="1"/>
  <c r="CK422" i="2" s="1"/>
  <c r="CD322" i="2"/>
  <c r="CI322" i="2" s="1"/>
  <c r="CJ322" i="2" s="1"/>
  <c r="CK322" i="2" s="1"/>
  <c r="CD19" i="2"/>
  <c r="CE19" i="2" s="1"/>
  <c r="CD333" i="2"/>
  <c r="CE333" i="2" s="1"/>
  <c r="BZ16" i="2"/>
  <c r="BZ7" i="2"/>
  <c r="CD347" i="2"/>
  <c r="CE347" i="2" s="1"/>
  <c r="CE422" i="2"/>
  <c r="CD454" i="2"/>
  <c r="CE454" i="2" s="1"/>
  <c r="CD334" i="2"/>
  <c r="CI334" i="2" s="1"/>
  <c r="CJ334" i="2" s="1"/>
  <c r="CK334" i="2" s="1"/>
  <c r="CI126" i="2"/>
  <c r="CJ126" i="2" s="1"/>
  <c r="CK126" i="2" s="1"/>
  <c r="CD315" i="2"/>
  <c r="CI315" i="2" s="1"/>
  <c r="CJ315" i="2" s="1"/>
  <c r="CK315" i="2" s="1"/>
  <c r="CD229" i="2"/>
  <c r="CE229" i="2" s="1"/>
  <c r="CD325" i="2"/>
  <c r="CE325" i="2" s="1"/>
  <c r="CD453" i="2"/>
  <c r="CI453" i="2" s="1"/>
  <c r="CJ453" i="2" s="1"/>
  <c r="CK453" i="2" s="1"/>
  <c r="CD335" i="2"/>
  <c r="CI335" i="2" s="1"/>
  <c r="CJ335" i="2" s="1"/>
  <c r="CK335" i="2" s="1"/>
  <c r="CD458" i="2"/>
  <c r="CE458" i="2" s="1"/>
  <c r="CD380" i="2"/>
  <c r="CI380" i="2" s="1"/>
  <c r="CJ380" i="2" s="1"/>
  <c r="CK380" i="2" s="1"/>
  <c r="CD54" i="2"/>
  <c r="CE54" i="2" s="1"/>
  <c r="BU323" i="2" a="1"/>
  <c r="BU323" i="2" s="1"/>
  <c r="BX323" i="2" s="1"/>
  <c r="BY323" i="2" s="1"/>
  <c r="CI142" i="2"/>
  <c r="CJ142" i="2" s="1"/>
  <c r="CK142" i="2" s="1"/>
  <c r="CD326" i="2"/>
  <c r="CI326" i="2" s="1"/>
  <c r="CJ326" i="2" s="1"/>
  <c r="CK326" i="2" s="1"/>
  <c r="CD361" i="2"/>
  <c r="CI361" i="2" s="1"/>
  <c r="CJ361" i="2" s="1"/>
  <c r="CK361" i="2" s="1"/>
  <c r="CD320" i="2"/>
  <c r="CE320" i="2" s="1"/>
  <c r="CI28" i="2"/>
  <c r="CJ28" i="2" s="1"/>
  <c r="CK28" i="2" s="1"/>
  <c r="CD442" i="2"/>
  <c r="CI442" i="2" s="1"/>
  <c r="CJ442" i="2" s="1"/>
  <c r="CD452" i="2"/>
  <c r="CE452" i="2" s="1"/>
  <c r="CD341" i="2"/>
  <c r="CE341" i="2" s="1"/>
  <c r="CD456" i="2"/>
  <c r="CE456" i="2" s="1"/>
  <c r="CD378" i="2"/>
  <c r="CE378" i="2" s="1"/>
  <c r="CI27" i="2"/>
  <c r="CJ27" i="2" s="1"/>
  <c r="CK27" i="2" s="1"/>
  <c r="CI31" i="2"/>
  <c r="CJ31" i="2" s="1"/>
  <c r="CK31" i="2" s="1"/>
  <c r="CE31" i="2"/>
  <c r="CE141" i="2"/>
  <c r="CI141" i="2"/>
  <c r="CJ141" i="2" s="1"/>
  <c r="CK141" i="2" s="1"/>
  <c r="CE419" i="2"/>
  <c r="CI419" i="2"/>
  <c r="CJ419" i="2" s="1"/>
  <c r="CK419" i="2" s="1"/>
  <c r="CD313" i="2"/>
  <c r="CI313" i="2" s="1"/>
  <c r="CD330" i="2"/>
  <c r="CI330" i="2" s="1"/>
  <c r="CJ330" i="2" s="1"/>
  <c r="CK330" i="2" s="1"/>
  <c r="CD221" i="2"/>
  <c r="CE221" i="2" s="1"/>
  <c r="CD36" i="2"/>
  <c r="CE36" i="2" s="1"/>
  <c r="CD332" i="2"/>
  <c r="CI332" i="2" s="1"/>
  <c r="CJ332" i="2" s="1"/>
  <c r="CK332" i="2" s="1"/>
  <c r="CD336" i="2"/>
  <c r="CE336" i="2" s="1"/>
  <c r="CD314" i="2"/>
  <c r="CE314" i="2" s="1"/>
  <c r="CE421" i="2"/>
  <c r="CI421" i="2"/>
  <c r="CJ421" i="2" s="1"/>
  <c r="CE491" i="2"/>
  <c r="CI491" i="2"/>
  <c r="CJ491" i="2" s="1"/>
  <c r="CK491" i="2" s="1"/>
  <c r="CE383" i="2"/>
  <c r="CI383" i="2"/>
  <c r="CJ383" i="2" s="1"/>
  <c r="CD317" i="2"/>
  <c r="CD342" i="2"/>
  <c r="CD451" i="2"/>
  <c r="CD416" i="2"/>
  <c r="CD38" i="2"/>
  <c r="CD172" i="2"/>
  <c r="CD455" i="2"/>
  <c r="CE34" i="2"/>
  <c r="CI34" i="2"/>
  <c r="CJ34" i="2" s="1"/>
  <c r="CK34" i="2" s="1"/>
  <c r="CD359" i="2"/>
  <c r="CD69" i="2"/>
  <c r="CD103" i="2"/>
  <c r="CI429" i="2"/>
  <c r="CJ429" i="2" s="1"/>
  <c r="CK429" i="2" s="1"/>
  <c r="CE429" i="2"/>
  <c r="CD381" i="2"/>
  <c r="CD379" i="2"/>
  <c r="CD360" i="2"/>
  <c r="CD321" i="2"/>
  <c r="CD348" i="2"/>
  <c r="CA512" i="2"/>
  <c r="CD35" i="2"/>
  <c r="CD324" i="2"/>
  <c r="CD319" i="2"/>
  <c r="CD331" i="2"/>
  <c r="CD8" i="2"/>
  <c r="CD471" i="2" l="1"/>
  <c r="CE471" i="2" s="1"/>
  <c r="CD246" i="2"/>
  <c r="CI246" i="2" s="1"/>
  <c r="CJ246" i="2" s="1"/>
  <c r="CK246" i="2" s="1"/>
  <c r="CD476" i="2"/>
  <c r="CE476" i="2" s="1"/>
  <c r="CD284" i="2"/>
  <c r="CE284" i="2" s="1"/>
  <c r="CD294" i="2"/>
  <c r="CE294" i="2" s="1"/>
  <c r="CD496" i="2"/>
  <c r="CE496" i="2" s="1"/>
  <c r="CD253" i="2"/>
  <c r="CI253" i="2" s="1"/>
  <c r="CJ253" i="2" s="1"/>
  <c r="CK253" i="2" s="1"/>
  <c r="CD266" i="2"/>
  <c r="CE266" i="2" s="1"/>
  <c r="CD428" i="2"/>
  <c r="CI428" i="2" s="1"/>
  <c r="CD304" i="2"/>
  <c r="CE304" i="2" s="1"/>
  <c r="CD504" i="2"/>
  <c r="CE504" i="2" s="1"/>
  <c r="CD276" i="2"/>
  <c r="CI276" i="2" s="1"/>
  <c r="CJ276" i="2" s="1"/>
  <c r="CK276" i="2" s="1"/>
  <c r="CE418" i="2"/>
  <c r="CD247" i="2"/>
  <c r="CI247" i="2" s="1"/>
  <c r="CJ247" i="2" s="1"/>
  <c r="CK247" i="2" s="1"/>
  <c r="CI391" i="2"/>
  <c r="CJ391" i="2" s="1"/>
  <c r="CK391" i="2" s="1"/>
  <c r="CI121" i="2"/>
  <c r="CJ121" i="2" s="1"/>
  <c r="CK121" i="2" s="1"/>
  <c r="CD94" i="2"/>
  <c r="CE94" i="2" s="1"/>
  <c r="CI135" i="2"/>
  <c r="CJ135" i="2" s="1"/>
  <c r="CK135" i="2" s="1"/>
  <c r="CD242" i="2"/>
  <c r="CE242" i="2" s="1"/>
  <c r="CE492" i="2"/>
  <c r="CD97" i="2"/>
  <c r="CE97" i="2" s="1"/>
  <c r="CI132" i="2"/>
  <c r="CJ132" i="2" s="1"/>
  <c r="CK132" i="2" s="1"/>
  <c r="CD396" i="2"/>
  <c r="CE396" i="2" s="1"/>
  <c r="CE122" i="2"/>
  <c r="CD245" i="2"/>
  <c r="CE245" i="2" s="1"/>
  <c r="CD272" i="2"/>
  <c r="CE272" i="2" s="1"/>
  <c r="CD426" i="2"/>
  <c r="CI426" i="2" s="1"/>
  <c r="CJ426" i="2" s="1"/>
  <c r="CK426" i="2" s="1"/>
  <c r="CD257" i="2"/>
  <c r="CI257" i="2" s="1"/>
  <c r="CJ257" i="2" s="1"/>
  <c r="CK257" i="2" s="1"/>
  <c r="CI125" i="2"/>
  <c r="CJ125" i="2" s="1"/>
  <c r="CK125" i="2" s="1"/>
  <c r="CD462" i="2"/>
  <c r="CE462" i="2" s="1"/>
  <c r="CD295" i="2"/>
  <c r="CE295" i="2" s="1"/>
  <c r="CD238" i="2"/>
  <c r="CI238" i="2" s="1"/>
  <c r="CJ238" i="2" s="1"/>
  <c r="CK238" i="2" s="1"/>
  <c r="CE6" i="2"/>
  <c r="CD91" i="2"/>
  <c r="CE91" i="2" s="1"/>
  <c r="CI384" i="2"/>
  <c r="CJ384" i="2" s="1"/>
  <c r="CK384" i="2" s="1"/>
  <c r="CE29" i="2"/>
  <c r="CD282" i="2"/>
  <c r="CE282" i="2" s="1"/>
  <c r="CD489" i="2"/>
  <c r="CI489" i="2" s="1"/>
  <c r="CJ489" i="2" s="1"/>
  <c r="CK489" i="2" s="1"/>
  <c r="CD66" i="2"/>
  <c r="CE66" i="2" s="1"/>
  <c r="CI136" i="2"/>
  <c r="CJ136" i="2" s="1"/>
  <c r="CK136" i="2" s="1"/>
  <c r="CI423" i="2"/>
  <c r="CJ423" i="2" s="1"/>
  <c r="CK423" i="2" s="1"/>
  <c r="CI143" i="2"/>
  <c r="CJ143" i="2" s="1"/>
  <c r="CK143" i="2" s="1"/>
  <c r="CD270" i="2"/>
  <c r="CI270" i="2" s="1"/>
  <c r="CJ270" i="2" s="1"/>
  <c r="CK270" i="2" s="1"/>
  <c r="CD297" i="2"/>
  <c r="CI297" i="2" s="1"/>
  <c r="CJ297" i="2" s="1"/>
  <c r="CK297" i="2" s="1"/>
  <c r="CD77" i="2"/>
  <c r="CE77" i="2" s="1"/>
  <c r="CD271" i="2"/>
  <c r="CI271" i="2" s="1"/>
  <c r="CJ271" i="2" s="1"/>
  <c r="CK271" i="2" s="1"/>
  <c r="CD269" i="2"/>
  <c r="CE269" i="2" s="1"/>
  <c r="CD440" i="2"/>
  <c r="CI440" i="2" s="1"/>
  <c r="CJ440" i="2" s="1"/>
  <c r="CK440" i="2" s="1"/>
  <c r="CD243" i="2"/>
  <c r="CI243" i="2" s="1"/>
  <c r="CJ243" i="2" s="1"/>
  <c r="CK243" i="2" s="1"/>
  <c r="CD299" i="2"/>
  <c r="CI299" i="2" s="1"/>
  <c r="CJ299" i="2" s="1"/>
  <c r="CK299" i="2" s="1"/>
  <c r="CD280" i="2"/>
  <c r="CE280" i="2" s="1"/>
  <c r="CD248" i="2"/>
  <c r="CE248" i="2" s="1"/>
  <c r="CD407" i="2"/>
  <c r="CI407" i="2" s="1"/>
  <c r="CJ407" i="2" s="1"/>
  <c r="CK407" i="2" s="1"/>
  <c r="CD437" i="2"/>
  <c r="CI437" i="2" s="1"/>
  <c r="CJ437" i="2" s="1"/>
  <c r="CK437" i="2" s="1"/>
  <c r="CD239" i="2"/>
  <c r="CI239" i="2" s="1"/>
  <c r="CJ239" i="2" s="1"/>
  <c r="CK239" i="2" s="1"/>
  <c r="CI137" i="2"/>
  <c r="CJ137" i="2" s="1"/>
  <c r="CK137" i="2" s="1"/>
  <c r="CD279" i="2"/>
  <c r="CI279" i="2" s="1"/>
  <c r="CJ279" i="2" s="1"/>
  <c r="CK279" i="2" s="1"/>
  <c r="CD278" i="2"/>
  <c r="CE278" i="2" s="1"/>
  <c r="CD254" i="2"/>
  <c r="CI254" i="2" s="1"/>
  <c r="CJ254" i="2" s="1"/>
  <c r="CK254" i="2" s="1"/>
  <c r="CD460" i="2"/>
  <c r="CE460" i="2" s="1"/>
  <c r="CD298" i="2"/>
  <c r="CE298" i="2" s="1"/>
  <c r="CD111" i="2"/>
  <c r="CI111" i="2" s="1"/>
  <c r="CJ111" i="2" s="1"/>
  <c r="CK111" i="2" s="1"/>
  <c r="CD480" i="2"/>
  <c r="CE480" i="2" s="1"/>
  <c r="CD262" i="2"/>
  <c r="CE262" i="2" s="1"/>
  <c r="CD385" i="2"/>
  <c r="CI385" i="2" s="1"/>
  <c r="CJ385" i="2" s="1"/>
  <c r="CK385" i="2" s="1"/>
  <c r="CD264" i="2"/>
  <c r="CE264" i="2" s="1"/>
  <c r="CD104" i="2"/>
  <c r="CE104" i="2" s="1"/>
  <c r="CD472" i="2"/>
  <c r="CE472" i="2" s="1"/>
  <c r="CE130" i="2"/>
  <c r="CE37" i="2"/>
  <c r="CI146" i="2"/>
  <c r="CJ146" i="2" s="1"/>
  <c r="CK146" i="2" s="1"/>
  <c r="CD473" i="2"/>
  <c r="CE473" i="2" s="1"/>
  <c r="CD464" i="2"/>
  <c r="CE464" i="2" s="1"/>
  <c r="CD249" i="2"/>
  <c r="CE249" i="2" s="1"/>
  <c r="CD305" i="2"/>
  <c r="CI305" i="2" s="1"/>
  <c r="CJ305" i="2" s="1"/>
  <c r="CK305" i="2" s="1"/>
  <c r="CI123" i="2"/>
  <c r="CJ123" i="2" s="1"/>
  <c r="CK123" i="2" s="1"/>
  <c r="CI420" i="2"/>
  <c r="CJ420" i="2" s="1"/>
  <c r="CK420" i="2" s="1"/>
  <c r="CD7" i="2"/>
  <c r="CE7" i="2" s="1"/>
  <c r="CE401" i="2"/>
  <c r="CI401" i="2"/>
  <c r="CJ401" i="2" s="1"/>
  <c r="CK401" i="2" s="1"/>
  <c r="CD240" i="2"/>
  <c r="CE240" i="2" s="1"/>
  <c r="CD438" i="2"/>
  <c r="CE438" i="2" s="1"/>
  <c r="CI483" i="2"/>
  <c r="CJ483" i="2" s="1"/>
  <c r="CK483" i="2" s="1"/>
  <c r="CE139" i="2"/>
  <c r="CD301" i="2"/>
  <c r="CI301" i="2" s="1"/>
  <c r="CJ301" i="2" s="1"/>
  <c r="CK301" i="2" s="1"/>
  <c r="CD261" i="2"/>
  <c r="CI261" i="2" s="1"/>
  <c r="CJ261" i="2" s="1"/>
  <c r="CK261" i="2" s="1"/>
  <c r="CD479" i="2"/>
  <c r="CI479" i="2" s="1"/>
  <c r="CJ479" i="2" s="1"/>
  <c r="CK479" i="2" s="1"/>
  <c r="CI131" i="2"/>
  <c r="CJ131" i="2" s="1"/>
  <c r="CK131" i="2" s="1"/>
  <c r="CI30" i="2"/>
  <c r="CJ30" i="2" s="1"/>
  <c r="CK30" i="2" s="1"/>
  <c r="CI33" i="2"/>
  <c r="CJ33" i="2" s="1"/>
  <c r="CK33" i="2" s="1"/>
  <c r="CD399" i="2"/>
  <c r="CE399" i="2" s="1"/>
  <c r="CI145" i="2"/>
  <c r="CJ145" i="2" s="1"/>
  <c r="CK145" i="2" s="1"/>
  <c r="CD488" i="2"/>
  <c r="CI488" i="2" s="1"/>
  <c r="CJ488" i="2" s="1"/>
  <c r="CK488" i="2" s="1"/>
  <c r="CD477" i="2"/>
  <c r="CI477" i="2" s="1"/>
  <c r="CJ477" i="2" s="1"/>
  <c r="CK477" i="2" s="1"/>
  <c r="CD474" i="2"/>
  <c r="CE474" i="2" s="1"/>
  <c r="CD259" i="2"/>
  <c r="CI259" i="2" s="1"/>
  <c r="CJ259" i="2" s="1"/>
  <c r="CK259" i="2" s="1"/>
  <c r="CI493" i="2"/>
  <c r="CJ493" i="2" s="1"/>
  <c r="CK493" i="2" s="1"/>
  <c r="CI133" i="2"/>
  <c r="CJ133" i="2" s="1"/>
  <c r="CK133" i="2" s="1"/>
  <c r="CD485" i="2"/>
  <c r="CE485" i="2" s="1"/>
  <c r="CD495" i="2"/>
  <c r="CI495" i="2" s="1"/>
  <c r="CJ495" i="2" s="1"/>
  <c r="CK495" i="2" s="1"/>
  <c r="CD484" i="2"/>
  <c r="CI484" i="2" s="1"/>
  <c r="CJ484" i="2" s="1"/>
  <c r="CK484" i="2" s="1"/>
  <c r="CD441" i="2"/>
  <c r="CI441" i="2" s="1"/>
  <c r="CJ441" i="2" s="1"/>
  <c r="CK441" i="2" s="1"/>
  <c r="CE140" i="2"/>
  <c r="CD252" i="2"/>
  <c r="CI252" i="2" s="1"/>
  <c r="CD306" i="2"/>
  <c r="CE306" i="2" s="1"/>
  <c r="CD487" i="2"/>
  <c r="CI487" i="2" s="1"/>
  <c r="CJ487" i="2" s="1"/>
  <c r="CK487" i="2" s="1"/>
  <c r="CD395" i="2"/>
  <c r="CE395" i="2" s="1"/>
  <c r="CD263" i="2"/>
  <c r="CE263" i="2" s="1"/>
  <c r="CD82" i="2"/>
  <c r="CI82" i="2" s="1"/>
  <c r="CJ82" i="2" s="1"/>
  <c r="CK82" i="2" s="1"/>
  <c r="CI4" i="2"/>
  <c r="CJ4" i="2" s="1"/>
  <c r="CK4" i="2" s="1"/>
  <c r="CI129" i="2"/>
  <c r="CJ129" i="2" s="1"/>
  <c r="CK129" i="2" s="1"/>
  <c r="CD267" i="2"/>
  <c r="CE267" i="2" s="1"/>
  <c r="CE466" i="2"/>
  <c r="CI466" i="2"/>
  <c r="CJ466" i="2" s="1"/>
  <c r="CK466" i="2" s="1"/>
  <c r="CD439" i="2"/>
  <c r="CE439" i="2" s="1"/>
  <c r="CD255" i="2"/>
  <c r="CE255" i="2" s="1"/>
  <c r="CD70" i="2"/>
  <c r="CI70" i="2" s="1"/>
  <c r="CJ70" i="2" s="1"/>
  <c r="CK70" i="2" s="1"/>
  <c r="CE431" i="2"/>
  <c r="CI431" i="2"/>
  <c r="CJ431" i="2" s="1"/>
  <c r="CK431" i="2" s="1"/>
  <c r="CI124" i="2"/>
  <c r="CJ124" i="2" s="1"/>
  <c r="CK124" i="2" s="1"/>
  <c r="CE128" i="2"/>
  <c r="CD283" i="2"/>
  <c r="CI283" i="2" s="1"/>
  <c r="CJ283" i="2" s="1"/>
  <c r="CK283" i="2" s="1"/>
  <c r="CD241" i="2"/>
  <c r="CE241" i="2" s="1"/>
  <c r="CD258" i="2"/>
  <c r="CE258" i="2" s="1"/>
  <c r="CE432" i="2"/>
  <c r="CI432" i="2"/>
  <c r="CJ432" i="2" s="1"/>
  <c r="CK432" i="2" s="1"/>
  <c r="CD251" i="2"/>
  <c r="CE251" i="2" s="1"/>
  <c r="CD382" i="2"/>
  <c r="CE382" i="2" s="1"/>
  <c r="CI138" i="2"/>
  <c r="CJ138" i="2" s="1"/>
  <c r="CK138" i="2" s="1"/>
  <c r="CD120" i="2"/>
  <c r="CI120" i="2" s="1"/>
  <c r="CJ120" i="2" s="1"/>
  <c r="CK120" i="2" s="1"/>
  <c r="CD208" i="2"/>
  <c r="CE208" i="2" s="1"/>
  <c r="CD486" i="2"/>
  <c r="CI486" i="2" s="1"/>
  <c r="CJ486" i="2" s="1"/>
  <c r="CK486" i="2" s="1"/>
  <c r="CE490" i="2"/>
  <c r="CD501" i="2"/>
  <c r="CE501" i="2" s="1"/>
  <c r="CD302" i="2"/>
  <c r="CE302" i="2" s="1"/>
  <c r="CD285" i="2"/>
  <c r="CE285" i="2" s="1"/>
  <c r="CE467" i="2"/>
  <c r="CI467" i="2"/>
  <c r="CJ467" i="2" s="1"/>
  <c r="CK467" i="2" s="1"/>
  <c r="CI65" i="2"/>
  <c r="CJ65" i="2" s="1"/>
  <c r="CK65" i="2" s="1"/>
  <c r="CI5" i="2"/>
  <c r="CJ5" i="2" s="1"/>
  <c r="CK5" i="2" s="1"/>
  <c r="CD16" i="2"/>
  <c r="CE16" i="2" s="1"/>
  <c r="CD250" i="2"/>
  <c r="CI250" i="2" s="1"/>
  <c r="CJ250" i="2" s="1"/>
  <c r="CK250" i="2" s="1"/>
  <c r="CD260" i="2"/>
  <c r="CE260" i="2" s="1"/>
  <c r="CD99" i="2"/>
  <c r="CI99" i="2" s="1"/>
  <c r="CJ99" i="2" s="1"/>
  <c r="CK99" i="2" s="1"/>
  <c r="CE430" i="2"/>
  <c r="CI430" i="2"/>
  <c r="CJ430" i="2" s="1"/>
  <c r="CK430" i="2" s="1"/>
  <c r="CE406" i="2"/>
  <c r="CE402" i="2"/>
  <c r="CE404" i="2"/>
  <c r="CE405" i="2"/>
  <c r="CI424" i="2"/>
  <c r="CJ424" i="2" s="1"/>
  <c r="CK424" i="2" s="1"/>
  <c r="CI403" i="2"/>
  <c r="CJ403" i="2" s="1"/>
  <c r="CK403" i="2" s="1"/>
  <c r="CI481" i="2"/>
  <c r="CJ481" i="2" s="1"/>
  <c r="CK481" i="2" s="1"/>
  <c r="CI465" i="2"/>
  <c r="CJ465" i="2" s="1"/>
  <c r="CK465" i="2" s="1"/>
  <c r="CI400" i="2"/>
  <c r="CJ400" i="2" s="1"/>
  <c r="CK400" i="2" s="1"/>
  <c r="CI475" i="2"/>
  <c r="CJ475" i="2" s="1"/>
  <c r="CK475" i="2" s="1"/>
  <c r="CI478" i="2"/>
  <c r="CJ478" i="2" s="1"/>
  <c r="CK478" i="2" s="1"/>
  <c r="CI482" i="2"/>
  <c r="CJ482" i="2" s="1"/>
  <c r="CK482" i="2" s="1"/>
  <c r="CI32" i="2"/>
  <c r="CJ32" i="2" s="1"/>
  <c r="CK32" i="2" s="1"/>
  <c r="CI127" i="2"/>
  <c r="CJ127" i="2" s="1"/>
  <c r="CK127" i="2" s="1"/>
  <c r="CE144" i="2"/>
  <c r="CE214" i="2"/>
  <c r="CI346" i="2"/>
  <c r="CJ346" i="2" s="1"/>
  <c r="CK346" i="2" s="1"/>
  <c r="CD274" i="2"/>
  <c r="CI274" i="2" s="1"/>
  <c r="CJ274" i="2" s="1"/>
  <c r="CK274" i="2" s="1"/>
  <c r="CD256" i="2"/>
  <c r="CI256" i="2" s="1"/>
  <c r="CJ256" i="2" s="1"/>
  <c r="CK256" i="2" s="1"/>
  <c r="CI20" i="2"/>
  <c r="CJ20" i="2" s="1"/>
  <c r="CK20" i="2" s="1"/>
  <c r="CI463" i="2"/>
  <c r="CJ463" i="2" s="1"/>
  <c r="CK463" i="2" s="1"/>
  <c r="CD427" i="2"/>
  <c r="CI427" i="2" s="1"/>
  <c r="CJ427" i="2" s="1"/>
  <c r="CD268" i="2"/>
  <c r="CI268" i="2" s="1"/>
  <c r="CJ268" i="2" s="1"/>
  <c r="CK268" i="2" s="1"/>
  <c r="CD494" i="2"/>
  <c r="CE494" i="2" s="1"/>
  <c r="CD273" i="2"/>
  <c r="CI273" i="2" s="1"/>
  <c r="CJ273" i="2" s="1"/>
  <c r="CK273" i="2" s="1"/>
  <c r="CD512" i="2"/>
  <c r="CI512" i="2" s="1"/>
  <c r="CJ512" i="2" s="1"/>
  <c r="CK512" i="2" s="1"/>
  <c r="CD433" i="2"/>
  <c r="CE433" i="2" s="1"/>
  <c r="CI333" i="2"/>
  <c r="CJ333" i="2" s="1"/>
  <c r="CK333" i="2" s="1"/>
  <c r="CD303" i="2"/>
  <c r="CE303" i="2" s="1"/>
  <c r="CD281" i="2"/>
  <c r="CI281" i="2" s="1"/>
  <c r="CJ281" i="2" s="1"/>
  <c r="CK281" i="2" s="1"/>
  <c r="CD300" i="2"/>
  <c r="CI300" i="2" s="1"/>
  <c r="CJ300" i="2" s="1"/>
  <c r="CK300" i="2" s="1"/>
  <c r="CD434" i="2"/>
  <c r="CE434" i="2" s="1"/>
  <c r="CI290" i="2"/>
  <c r="CJ290" i="2" s="1"/>
  <c r="CK290" i="2" s="1"/>
  <c r="CE244" i="2"/>
  <c r="CD275" i="2"/>
  <c r="CE275" i="2" s="1"/>
  <c r="CD265" i="2"/>
  <c r="CI265" i="2" s="1"/>
  <c r="CJ265" i="2" s="1"/>
  <c r="CK265" i="2" s="1"/>
  <c r="CI277" i="2"/>
  <c r="CJ277" i="2" s="1"/>
  <c r="CK277" i="2" s="1"/>
  <c r="CE277" i="2"/>
  <c r="CE231" i="2"/>
  <c r="CI293" i="2"/>
  <c r="CJ293" i="2" s="1"/>
  <c r="CK293" i="2" s="1"/>
  <c r="CE289" i="2"/>
  <c r="CD291" i="2"/>
  <c r="CE291" i="2" s="1"/>
  <c r="CI229" i="2"/>
  <c r="CJ229" i="2" s="1"/>
  <c r="CK229" i="2" s="1"/>
  <c r="CE444" i="2"/>
  <c r="CI199" i="2"/>
  <c r="CJ199" i="2" s="1"/>
  <c r="CK199" i="2" s="1"/>
  <c r="CE53" i="2"/>
  <c r="CI454" i="2"/>
  <c r="CJ454" i="2" s="1"/>
  <c r="CK454" i="2" s="1"/>
  <c r="CE57" i="2"/>
  <c r="CE49" i="2"/>
  <c r="CI388" i="2"/>
  <c r="CJ388" i="2" s="1"/>
  <c r="CK388" i="2" s="1"/>
  <c r="CE322" i="2"/>
  <c r="CI502" i="2"/>
  <c r="CJ502" i="2" s="1"/>
  <c r="CK502" i="2" s="1"/>
  <c r="CI296" i="2"/>
  <c r="CJ296" i="2" s="1"/>
  <c r="CK296" i="2" s="1"/>
  <c r="CE386" i="2"/>
  <c r="CE62" i="2"/>
  <c r="CE371" i="2"/>
  <c r="CI13" i="2"/>
  <c r="CJ13" i="2" s="1"/>
  <c r="CK13" i="2" s="1"/>
  <c r="CE356" i="2"/>
  <c r="CI182" i="2"/>
  <c r="CJ182" i="2" s="1"/>
  <c r="CK182" i="2" s="1"/>
  <c r="CI409" i="2"/>
  <c r="CJ409" i="2" s="1"/>
  <c r="CK409" i="2" s="1"/>
  <c r="CE292" i="2"/>
  <c r="CI461" i="2"/>
  <c r="CJ461" i="2" s="1"/>
  <c r="CK461" i="2" s="1"/>
  <c r="CI58" i="2"/>
  <c r="CJ58" i="2" s="1"/>
  <c r="CK58" i="2" s="1"/>
  <c r="CI325" i="2"/>
  <c r="CJ325" i="2" s="1"/>
  <c r="CK325" i="2" s="1"/>
  <c r="CE334" i="2"/>
  <c r="CE180" i="2"/>
  <c r="CI347" i="2"/>
  <c r="CJ347" i="2" s="1"/>
  <c r="CK347" i="2" s="1"/>
  <c r="CI217" i="2"/>
  <c r="CJ217" i="2" s="1"/>
  <c r="CK217" i="2" s="1"/>
  <c r="CI19" i="2"/>
  <c r="CJ19" i="2" s="1"/>
  <c r="CK19" i="2" s="1"/>
  <c r="CI286" i="2"/>
  <c r="CJ286" i="2" s="1"/>
  <c r="CK286" i="2" s="1"/>
  <c r="CI327" i="2"/>
  <c r="CJ327" i="2" s="1"/>
  <c r="CK327" i="2" s="1"/>
  <c r="CI213" i="2"/>
  <c r="CJ213" i="2" s="1"/>
  <c r="CK213" i="2" s="1"/>
  <c r="CI374" i="2"/>
  <c r="CJ374" i="2" s="1"/>
  <c r="CK374" i="2" s="1"/>
  <c r="CI187" i="2"/>
  <c r="CJ187" i="2" s="1"/>
  <c r="CK187" i="2" s="1"/>
  <c r="CI147" i="2"/>
  <c r="CJ147" i="2" s="1"/>
  <c r="CK147" i="2" s="1"/>
  <c r="CE287" i="2"/>
  <c r="CE158" i="2"/>
  <c r="CE443" i="2"/>
  <c r="CE63" i="2"/>
  <c r="CE52" i="2"/>
  <c r="CI67" i="2"/>
  <c r="CJ67" i="2" s="1"/>
  <c r="CK67" i="2" s="1"/>
  <c r="CI398" i="2"/>
  <c r="CJ398" i="2" s="1"/>
  <c r="CK398" i="2" s="1"/>
  <c r="CI345" i="2"/>
  <c r="CJ345" i="2" s="1"/>
  <c r="CK345" i="2" s="1"/>
  <c r="CE392" i="2"/>
  <c r="CE457" i="2"/>
  <c r="CE335" i="2"/>
  <c r="CJ457" i="2"/>
  <c r="CK457" i="2" s="1"/>
  <c r="CE152" i="2"/>
  <c r="CI52" i="2"/>
  <c r="CJ52" i="2" s="1"/>
  <c r="CK52" i="2" s="1"/>
  <c r="CI235" i="2"/>
  <c r="CJ235" i="2" s="1"/>
  <c r="CK235" i="2" s="1"/>
  <c r="CI166" i="2"/>
  <c r="CJ166" i="2" s="1"/>
  <c r="CK166" i="2" s="1"/>
  <c r="CI458" i="2"/>
  <c r="CJ458" i="2" s="1"/>
  <c r="CK458" i="2" s="1"/>
  <c r="CE163" i="2"/>
  <c r="CI116" i="2"/>
  <c r="CJ116" i="2" s="1"/>
  <c r="CK116" i="2" s="1"/>
  <c r="CE189" i="2"/>
  <c r="CE86" i="2"/>
  <c r="CI393" i="2"/>
  <c r="CJ393" i="2" s="1"/>
  <c r="CK393" i="2" s="1"/>
  <c r="CI87" i="2"/>
  <c r="CJ87" i="2" s="1"/>
  <c r="CK87" i="2" s="1"/>
  <c r="CE326" i="2"/>
  <c r="CI318" i="2"/>
  <c r="CJ318" i="2" s="1"/>
  <c r="CK318" i="2" s="1"/>
  <c r="CE101" i="2"/>
  <c r="CE188" i="2"/>
  <c r="CI353" i="2"/>
  <c r="CJ353" i="2" s="1"/>
  <c r="CK353" i="2" s="1"/>
  <c r="CI102" i="2"/>
  <c r="CJ102" i="2" s="1"/>
  <c r="CK102" i="2" s="1"/>
  <c r="CE413" i="2"/>
  <c r="CI216" i="2"/>
  <c r="CJ216" i="2" s="1"/>
  <c r="CK216" i="2" s="1"/>
  <c r="CI115" i="2"/>
  <c r="CJ115" i="2" s="1"/>
  <c r="CK115" i="2" s="1"/>
  <c r="CE73" i="2"/>
  <c r="CE227" i="2"/>
  <c r="CE453" i="2"/>
  <c r="CE110" i="2"/>
  <c r="CI181" i="2"/>
  <c r="CJ181" i="2" s="1"/>
  <c r="CK181" i="2" s="1"/>
  <c r="CI365" i="2"/>
  <c r="CJ365" i="2" s="1"/>
  <c r="CK365" i="2" s="1"/>
  <c r="CI340" i="2"/>
  <c r="CJ340" i="2" s="1"/>
  <c r="CK340" i="2" s="1"/>
  <c r="CE18" i="2"/>
  <c r="CE155" i="2"/>
  <c r="CE11" i="2"/>
  <c r="CE377" i="2"/>
  <c r="CE218" i="2"/>
  <c r="CI206" i="2"/>
  <c r="CJ206" i="2" s="1"/>
  <c r="CK206" i="2" s="1"/>
  <c r="CE184" i="2"/>
  <c r="CE417" i="2"/>
  <c r="CE200" i="2"/>
  <c r="CI370" i="2"/>
  <c r="CJ370" i="2" s="1"/>
  <c r="CK370" i="2" s="1"/>
  <c r="CI48" i="2"/>
  <c r="CJ48" i="2" s="1"/>
  <c r="CK48" i="2" s="1"/>
  <c r="CE176" i="2"/>
  <c r="CE186" i="2"/>
  <c r="CE330" i="2"/>
  <c r="CE410" i="2"/>
  <c r="CI237" i="2"/>
  <c r="CJ237" i="2" s="1"/>
  <c r="CK237" i="2" s="1"/>
  <c r="CE312" i="2"/>
  <c r="CE503" i="2"/>
  <c r="CE215" i="2"/>
  <c r="CE442" i="2"/>
  <c r="CE315" i="2"/>
  <c r="CE100" i="2"/>
  <c r="CI367" i="2"/>
  <c r="CJ367" i="2" s="1"/>
  <c r="CK367" i="2" s="1"/>
  <c r="CE90" i="2"/>
  <c r="CE174" i="2"/>
  <c r="CJ100" i="2"/>
  <c r="CK100" i="2" s="1"/>
  <c r="CI230" i="2"/>
  <c r="CJ230" i="2" s="1"/>
  <c r="CK230" i="2" s="1"/>
  <c r="CI223" i="2"/>
  <c r="CJ223" i="2" s="1"/>
  <c r="CK223" i="2" s="1"/>
  <c r="CE212" i="2"/>
  <c r="CI85" i="2"/>
  <c r="CJ85" i="2" s="1"/>
  <c r="CK85" i="2" s="1"/>
  <c r="CI80" i="2"/>
  <c r="CJ80" i="2" s="1"/>
  <c r="CK80" i="2" s="1"/>
  <c r="CI449" i="2"/>
  <c r="CJ449" i="2" s="1"/>
  <c r="CK449" i="2" s="1"/>
  <c r="CI93" i="2"/>
  <c r="CJ93" i="2" s="1"/>
  <c r="CK93" i="2" s="1"/>
  <c r="CE339" i="2"/>
  <c r="CE46" i="2"/>
  <c r="CE380" i="2"/>
  <c r="CI210" i="2"/>
  <c r="CJ210" i="2" s="1"/>
  <c r="CK210" i="2" s="1"/>
  <c r="CI378" i="2"/>
  <c r="CJ378" i="2" s="1"/>
  <c r="CK378" i="2" s="1"/>
  <c r="CI452" i="2"/>
  <c r="CJ452" i="2" s="1"/>
  <c r="CK452" i="2" s="1"/>
  <c r="CI219" i="2"/>
  <c r="CJ219" i="2" s="1"/>
  <c r="CK219" i="2" s="1"/>
  <c r="CI226" i="2"/>
  <c r="CJ226" i="2" s="1"/>
  <c r="CK226" i="2" s="1"/>
  <c r="CE160" i="2"/>
  <c r="CI68" i="2"/>
  <c r="CJ68" i="2" s="1"/>
  <c r="CK68" i="2" s="1"/>
  <c r="CI117" i="2"/>
  <c r="CJ117" i="2" s="1"/>
  <c r="CK117" i="2" s="1"/>
  <c r="CE310" i="2"/>
  <c r="CI470" i="2"/>
  <c r="CJ470" i="2" s="1"/>
  <c r="CK470" i="2" s="1"/>
  <c r="CE55" i="2"/>
  <c r="CI203" i="2"/>
  <c r="CJ203" i="2" s="1"/>
  <c r="CK203" i="2" s="1"/>
  <c r="CI209" i="2"/>
  <c r="CJ209" i="2" s="1"/>
  <c r="CK209" i="2" s="1"/>
  <c r="CI170" i="2"/>
  <c r="CJ170" i="2" s="1"/>
  <c r="CK170" i="2" s="1"/>
  <c r="CD323" i="2"/>
  <c r="CI323" i="2" s="1"/>
  <c r="CJ323" i="2" s="1"/>
  <c r="CK323" i="2" s="1"/>
  <c r="CI54" i="2"/>
  <c r="CJ54" i="2" s="1"/>
  <c r="CK54" i="2" s="1"/>
  <c r="CI368" i="2"/>
  <c r="CJ368" i="2" s="1"/>
  <c r="CK368" i="2" s="1"/>
  <c r="CJ174" i="2"/>
  <c r="CK174" i="2" s="1"/>
  <c r="CI114" i="2"/>
  <c r="CJ114" i="2" s="1"/>
  <c r="CK114" i="2" s="1"/>
  <c r="CI43" i="2"/>
  <c r="CJ43" i="2" s="1"/>
  <c r="CK43" i="2" s="1"/>
  <c r="CI224" i="2"/>
  <c r="CJ224" i="2" s="1"/>
  <c r="CK224" i="2" s="1"/>
  <c r="CI344" i="2"/>
  <c r="CJ344" i="2" s="1"/>
  <c r="CK344" i="2" s="1"/>
  <c r="CE96" i="2"/>
  <c r="CI414" i="2"/>
  <c r="CJ414" i="2" s="1"/>
  <c r="CK414" i="2" s="1"/>
  <c r="CE234" i="2"/>
  <c r="CE88" i="2"/>
  <c r="CE373" i="2"/>
  <c r="CI364" i="2"/>
  <c r="CJ364" i="2" s="1"/>
  <c r="CK364" i="2" s="1"/>
  <c r="CE148" i="2"/>
  <c r="CI78" i="2"/>
  <c r="CJ78" i="2" s="1"/>
  <c r="CK78" i="2" s="1"/>
  <c r="CI234" i="2"/>
  <c r="CJ234" i="2" s="1"/>
  <c r="CK234" i="2" s="1"/>
  <c r="CI320" i="2"/>
  <c r="CJ320" i="2" s="1"/>
  <c r="CK320" i="2" s="1"/>
  <c r="CE179" i="2"/>
  <c r="CI354" i="2"/>
  <c r="CJ354" i="2" s="1"/>
  <c r="CK354" i="2" s="1"/>
  <c r="CE194" i="2"/>
  <c r="CI89" i="2"/>
  <c r="CJ89" i="2" s="1"/>
  <c r="CK89" i="2" s="1"/>
  <c r="CI167" i="2"/>
  <c r="CJ167" i="2" s="1"/>
  <c r="CK167" i="2" s="1"/>
  <c r="CI17" i="2"/>
  <c r="CJ17" i="2" s="1"/>
  <c r="CK17" i="2" s="1"/>
  <c r="CE414" i="2"/>
  <c r="CE50" i="2"/>
  <c r="CE446" i="2"/>
  <c r="CI497" i="2"/>
  <c r="CJ497" i="2" s="1"/>
  <c r="CK497" i="2" s="1"/>
  <c r="CI349" i="2"/>
  <c r="CJ349" i="2" s="1"/>
  <c r="CK349" i="2" s="1"/>
  <c r="CI499" i="2"/>
  <c r="CJ499" i="2" s="1"/>
  <c r="CK499" i="2" s="1"/>
  <c r="CE308" i="2"/>
  <c r="CE109" i="2"/>
  <c r="CI375" i="2"/>
  <c r="CJ375" i="2" s="1"/>
  <c r="CK375" i="2" s="1"/>
  <c r="CI311" i="2"/>
  <c r="CJ311" i="2" s="1"/>
  <c r="CK311" i="2" s="1"/>
  <c r="CE500" i="2"/>
  <c r="CI64" i="2"/>
  <c r="CJ64" i="2" s="1"/>
  <c r="CK64" i="2" s="1"/>
  <c r="CI355" i="2"/>
  <c r="CJ355" i="2" s="1"/>
  <c r="CK355" i="2" s="1"/>
  <c r="CI341" i="2"/>
  <c r="CJ341" i="2" s="1"/>
  <c r="CK341" i="2" s="1"/>
  <c r="CJ165" i="2"/>
  <c r="CK165" i="2" s="1"/>
  <c r="CE195" i="2"/>
  <c r="CI221" i="2"/>
  <c r="CJ221" i="2" s="1"/>
  <c r="CK221" i="2" s="1"/>
  <c r="CE361" i="2"/>
  <c r="CI95" i="2"/>
  <c r="CJ95" i="2" s="1"/>
  <c r="CK95" i="2" s="1"/>
  <c r="CE165" i="2"/>
  <c r="CI236" i="2"/>
  <c r="CJ236" i="2" s="1"/>
  <c r="CK236" i="2" s="1"/>
  <c r="CI161" i="2"/>
  <c r="CJ161" i="2" s="1"/>
  <c r="CK161" i="2" s="1"/>
  <c r="CI456" i="2"/>
  <c r="CJ456" i="2" s="1"/>
  <c r="CK456" i="2" s="1"/>
  <c r="CI51" i="2"/>
  <c r="CJ51" i="2" s="1"/>
  <c r="CK51" i="2" s="1"/>
  <c r="CE411" i="2"/>
  <c r="CE151" i="2"/>
  <c r="CE193" i="2"/>
  <c r="CI314" i="2"/>
  <c r="CJ314" i="2" s="1"/>
  <c r="CK314" i="2" s="1"/>
  <c r="CI394" i="2"/>
  <c r="CJ394" i="2" s="1"/>
  <c r="CK394" i="2" s="1"/>
  <c r="CE468" i="2"/>
  <c r="CE26" i="2"/>
  <c r="CI71" i="2"/>
  <c r="CJ71" i="2" s="1"/>
  <c r="CK71" i="2" s="1"/>
  <c r="CI336" i="2"/>
  <c r="CJ336" i="2" s="1"/>
  <c r="CK336" i="2" s="1"/>
  <c r="CI119" i="2"/>
  <c r="CJ119" i="2" s="1"/>
  <c r="CK119" i="2" s="1"/>
  <c r="CI197" i="2"/>
  <c r="CJ197" i="2" s="1"/>
  <c r="CK197" i="2" s="1"/>
  <c r="CI372" i="2"/>
  <c r="CJ372" i="2" s="1"/>
  <c r="CK372" i="2" s="1"/>
  <c r="CE363" i="2"/>
  <c r="CE185" i="2"/>
  <c r="CI36" i="2"/>
  <c r="CJ36" i="2" s="1"/>
  <c r="CK36" i="2" s="1"/>
  <c r="CJ363" i="2"/>
  <c r="CK363" i="2" s="1"/>
  <c r="CI352" i="2"/>
  <c r="CJ352" i="2" s="1"/>
  <c r="CK352" i="2" s="1"/>
  <c r="CJ185" i="2"/>
  <c r="CK185" i="2" s="1"/>
  <c r="CI153" i="2"/>
  <c r="CJ153" i="2" s="1"/>
  <c r="CK153" i="2" s="1"/>
  <c r="CJ450" i="2"/>
  <c r="CK450" i="2" s="1"/>
  <c r="CI175" i="2"/>
  <c r="CJ175" i="2" s="1"/>
  <c r="CK175" i="2" s="1"/>
  <c r="CE450" i="2"/>
  <c r="CI39" i="2"/>
  <c r="CJ39" i="2" s="1"/>
  <c r="CK39" i="2" s="1"/>
  <c r="CE436" i="2"/>
  <c r="CJ179" i="2"/>
  <c r="CK179" i="2" s="1"/>
  <c r="CI42" i="2"/>
  <c r="CJ42" i="2" s="1"/>
  <c r="CK42" i="2" s="1"/>
  <c r="CE47" i="2"/>
  <c r="CE42" i="2"/>
  <c r="CE173" i="2"/>
  <c r="CJ155" i="2"/>
  <c r="CK155" i="2" s="1"/>
  <c r="CI177" i="2"/>
  <c r="CJ177" i="2" s="1"/>
  <c r="CK177" i="2" s="1"/>
  <c r="CE25" i="2"/>
  <c r="CI459" i="2"/>
  <c r="CJ459" i="2" s="1"/>
  <c r="CK459" i="2" s="1"/>
  <c r="CE198" i="2"/>
  <c r="CE156" i="2"/>
  <c r="CI198" i="2"/>
  <c r="CJ198" i="2" s="1"/>
  <c r="CK198" i="2" s="1"/>
  <c r="CI9" i="2"/>
  <c r="CJ9" i="2" s="1"/>
  <c r="CK9" i="2" s="1"/>
  <c r="CJ47" i="2"/>
  <c r="CK47" i="2" s="1"/>
  <c r="CE190" i="2"/>
  <c r="CE448" i="2"/>
  <c r="CI389" i="2"/>
  <c r="CJ389" i="2" s="1"/>
  <c r="CK389" i="2" s="1"/>
  <c r="CJ313" i="2"/>
  <c r="CK313" i="2" s="1"/>
  <c r="CJ448" i="2"/>
  <c r="CK448" i="2" s="1"/>
  <c r="CI23" i="2"/>
  <c r="CJ23" i="2" s="1"/>
  <c r="CK23" i="2" s="1"/>
  <c r="CI228" i="2"/>
  <c r="CJ228" i="2" s="1"/>
  <c r="CK228" i="2" s="1"/>
  <c r="CE313" i="2"/>
  <c r="CI358" i="2"/>
  <c r="CJ358" i="2" s="1"/>
  <c r="CK358" i="2" s="1"/>
  <c r="CI25" i="2"/>
  <c r="CJ25" i="2" s="1"/>
  <c r="CK25" i="2" s="1"/>
  <c r="CI154" i="2"/>
  <c r="CJ154" i="2" s="1"/>
  <c r="CK154" i="2" s="1"/>
  <c r="CI309" i="2"/>
  <c r="CJ309" i="2" s="1"/>
  <c r="CK309" i="2" s="1"/>
  <c r="CE332" i="2"/>
  <c r="CE162" i="2"/>
  <c r="CE61" i="2"/>
  <c r="CI369" i="2"/>
  <c r="CJ369" i="2" s="1"/>
  <c r="CK369" i="2" s="1"/>
  <c r="CK442" i="2"/>
  <c r="CK418" i="2"/>
  <c r="CK383" i="2"/>
  <c r="CI397" i="2"/>
  <c r="CJ397" i="2" s="1"/>
  <c r="CE397" i="2"/>
  <c r="CK386" i="2"/>
  <c r="CE196" i="2"/>
  <c r="CI196" i="2"/>
  <c r="CJ196" i="2" s="1"/>
  <c r="CK196" i="2" s="1"/>
  <c r="CE98" i="2"/>
  <c r="CI98" i="2"/>
  <c r="CJ98" i="2" s="1"/>
  <c r="CK98" i="2" s="1"/>
  <c r="CI183" i="2"/>
  <c r="CJ183" i="2" s="1"/>
  <c r="CK183" i="2" s="1"/>
  <c r="CE183" i="2"/>
  <c r="CI498" i="2"/>
  <c r="CJ498" i="2" s="1"/>
  <c r="CK498" i="2" s="1"/>
  <c r="CE498" i="2"/>
  <c r="CE205" i="2"/>
  <c r="CI205" i="2"/>
  <c r="CJ205" i="2" s="1"/>
  <c r="CK205" i="2" s="1"/>
  <c r="CE207" i="2"/>
  <c r="CI207" i="2"/>
  <c r="CJ207" i="2" s="1"/>
  <c r="CK207" i="2" s="1"/>
  <c r="CI149" i="2"/>
  <c r="CJ149" i="2" s="1"/>
  <c r="CK149" i="2" s="1"/>
  <c r="CE149" i="2"/>
  <c r="CI84" i="2"/>
  <c r="CJ84" i="2" s="1"/>
  <c r="CK84" i="2" s="1"/>
  <c r="CE84" i="2"/>
  <c r="CI108" i="2"/>
  <c r="CJ108" i="2" s="1"/>
  <c r="CK108" i="2" s="1"/>
  <c r="CE108" i="2"/>
  <c r="CI83" i="2"/>
  <c r="CJ83" i="2" s="1"/>
  <c r="CK83" i="2" s="1"/>
  <c r="CE83" i="2"/>
  <c r="CE12" i="2"/>
  <c r="CI12" i="2"/>
  <c r="CJ12" i="2" s="1"/>
  <c r="CK12" i="2" s="1"/>
  <c r="CE435" i="2"/>
  <c r="CI435" i="2"/>
  <c r="CJ435" i="2" s="1"/>
  <c r="CI348" i="2"/>
  <c r="CJ348" i="2" s="1"/>
  <c r="CK348" i="2" s="1"/>
  <c r="CE348" i="2"/>
  <c r="CE379" i="2"/>
  <c r="CI379" i="2"/>
  <c r="CJ379" i="2" s="1"/>
  <c r="CK379" i="2" s="1"/>
  <c r="CE350" i="2"/>
  <c r="CI350" i="2"/>
  <c r="CJ350" i="2" s="1"/>
  <c r="CK350" i="2" s="1"/>
  <c r="CE211" i="2"/>
  <c r="CI211" i="2"/>
  <c r="CJ211" i="2" s="1"/>
  <c r="CK211" i="2" s="1"/>
  <c r="CE328" i="2"/>
  <c r="CI328" i="2"/>
  <c r="CJ328" i="2" s="1"/>
  <c r="CK328" i="2" s="1"/>
  <c r="CE324" i="2"/>
  <c r="CI324" i="2"/>
  <c r="CJ324" i="2" s="1"/>
  <c r="CK324" i="2" s="1"/>
  <c r="CI35" i="2"/>
  <c r="CJ35" i="2" s="1"/>
  <c r="CK35" i="2" s="1"/>
  <c r="CE35" i="2"/>
  <c r="CE14" i="2"/>
  <c r="CI14" i="2"/>
  <c r="CJ14" i="2" s="1"/>
  <c r="CK14" i="2" s="1"/>
  <c r="CE343" i="2"/>
  <c r="CI343" i="2"/>
  <c r="CJ343" i="2" s="1"/>
  <c r="CK343" i="2" s="1"/>
  <c r="CI118" i="2"/>
  <c r="CJ118" i="2" s="1"/>
  <c r="CK118" i="2" s="1"/>
  <c r="CE118" i="2"/>
  <c r="CI376" i="2"/>
  <c r="CJ376" i="2" s="1"/>
  <c r="CE376" i="2"/>
  <c r="CI362" i="2"/>
  <c r="CJ362" i="2" s="1"/>
  <c r="CK362" i="2" s="1"/>
  <c r="CE362" i="2"/>
  <c r="CE192" i="2"/>
  <c r="CI192" i="2"/>
  <c r="CJ192" i="2" s="1"/>
  <c r="CK192" i="2" s="1"/>
  <c r="CE288" i="2"/>
  <c r="CI288" i="2"/>
  <c r="CJ288" i="2" s="1"/>
  <c r="CK288" i="2" s="1"/>
  <c r="CE412" i="2"/>
  <c r="CI412" i="2"/>
  <c r="CJ412" i="2" s="1"/>
  <c r="CK412" i="2" s="1"/>
  <c r="CI408" i="2"/>
  <c r="CJ408" i="2" s="1"/>
  <c r="CE408" i="2"/>
  <c r="CE107" i="2"/>
  <c r="CI107" i="2"/>
  <c r="CJ107" i="2" s="1"/>
  <c r="CK107" i="2" s="1"/>
  <c r="CE445" i="2"/>
  <c r="CI445" i="2"/>
  <c r="CJ445" i="2" s="1"/>
  <c r="CK445" i="2" s="1"/>
  <c r="CE359" i="2"/>
  <c r="CI359" i="2"/>
  <c r="CJ359" i="2" s="1"/>
  <c r="CK359" i="2" s="1"/>
  <c r="CE159" i="2"/>
  <c r="CI159" i="2"/>
  <c r="CJ159" i="2" s="1"/>
  <c r="CK159" i="2" s="1"/>
  <c r="CE202" i="2"/>
  <c r="CI202" i="2"/>
  <c r="CJ202" i="2" s="1"/>
  <c r="CK202" i="2" s="1"/>
  <c r="CE60" i="2"/>
  <c r="CI60" i="2"/>
  <c r="CJ60" i="2" s="1"/>
  <c r="CK60" i="2" s="1"/>
  <c r="CI169" i="2"/>
  <c r="CJ169" i="2" s="1"/>
  <c r="CK169" i="2" s="1"/>
  <c r="CE169" i="2"/>
  <c r="CI105" i="2"/>
  <c r="CJ105" i="2" s="1"/>
  <c r="CK105" i="2" s="1"/>
  <c r="CE105" i="2"/>
  <c r="CE338" i="2"/>
  <c r="CI338" i="2"/>
  <c r="CJ338" i="2" s="1"/>
  <c r="CK338" i="2" s="1"/>
  <c r="CE233" i="2"/>
  <c r="CI233" i="2"/>
  <c r="CJ233" i="2" s="1"/>
  <c r="CK233" i="2" s="1"/>
  <c r="CE222" i="2"/>
  <c r="CI222" i="2"/>
  <c r="CJ222" i="2" s="1"/>
  <c r="CK222" i="2" s="1"/>
  <c r="CE307" i="2"/>
  <c r="CI307" i="2"/>
  <c r="CJ307" i="2" s="1"/>
  <c r="CK307" i="2" s="1"/>
  <c r="CE329" i="2"/>
  <c r="CI329" i="2"/>
  <c r="CJ329" i="2" s="1"/>
  <c r="CK329" i="2" s="1"/>
  <c r="CI24" i="2"/>
  <c r="CJ24" i="2" s="1"/>
  <c r="CK24" i="2" s="1"/>
  <c r="CE24" i="2"/>
  <c r="CK436" i="2"/>
  <c r="CE366" i="2"/>
  <c r="CI366" i="2"/>
  <c r="CJ366" i="2" s="1"/>
  <c r="CK366" i="2" s="1"/>
  <c r="CI10" i="2"/>
  <c r="CJ10" i="2" s="1"/>
  <c r="CK10" i="2" s="1"/>
  <c r="CE10" i="2"/>
  <c r="CK417" i="2"/>
  <c r="CI425" i="2"/>
  <c r="CJ425" i="2" s="1"/>
  <c r="CE425" i="2"/>
  <c r="CE150" i="2"/>
  <c r="CI150" i="2"/>
  <c r="CJ150" i="2" s="1"/>
  <c r="CK150" i="2" s="1"/>
  <c r="CK392" i="2"/>
  <c r="CI387" i="2"/>
  <c r="CJ387" i="2" s="1"/>
  <c r="CK387" i="2" s="1"/>
  <c r="CE387" i="2"/>
  <c r="CE41" i="2"/>
  <c r="CI41" i="2"/>
  <c r="CJ41" i="2" s="1"/>
  <c r="CK41" i="2" s="1"/>
  <c r="CI72" i="2"/>
  <c r="CJ72" i="2" s="1"/>
  <c r="CK72" i="2" s="1"/>
  <c r="CE72" i="2"/>
  <c r="CI201" i="2"/>
  <c r="CJ201" i="2" s="1"/>
  <c r="CK201" i="2" s="1"/>
  <c r="CE201" i="2"/>
  <c r="CI191" i="2"/>
  <c r="CJ191" i="2" s="1"/>
  <c r="CK191" i="2" s="1"/>
  <c r="CE191" i="2"/>
  <c r="CK377" i="2"/>
  <c r="CI79" i="2"/>
  <c r="CJ79" i="2" s="1"/>
  <c r="CK79" i="2" s="1"/>
  <c r="CE79" i="2"/>
  <c r="CE103" i="2"/>
  <c r="CI103" i="2"/>
  <c r="CJ103" i="2" s="1"/>
  <c r="CK103" i="2" s="1"/>
  <c r="CI74" i="2"/>
  <c r="CJ74" i="2" s="1"/>
  <c r="CK74" i="2" s="1"/>
  <c r="CE74" i="2"/>
  <c r="CE342" i="2"/>
  <c r="CI342" i="2"/>
  <c r="CJ342" i="2" s="1"/>
  <c r="CK342" i="2" s="1"/>
  <c r="CE447" i="2"/>
  <c r="CI447" i="2"/>
  <c r="CJ447" i="2" s="1"/>
  <c r="CE56" i="2"/>
  <c r="CI56" i="2"/>
  <c r="CJ56" i="2" s="1"/>
  <c r="CK56" i="2" s="1"/>
  <c r="CI390" i="2"/>
  <c r="CJ390" i="2" s="1"/>
  <c r="CE390" i="2"/>
  <c r="CI113" i="2"/>
  <c r="CJ113" i="2" s="1"/>
  <c r="CK113" i="2" s="1"/>
  <c r="CE113" i="2"/>
  <c r="CE178" i="2"/>
  <c r="CI178" i="2"/>
  <c r="CJ178" i="2" s="1"/>
  <c r="CK178" i="2" s="1"/>
  <c r="CK410" i="2"/>
  <c r="CI351" i="2"/>
  <c r="CJ351" i="2" s="1"/>
  <c r="CK351" i="2" s="1"/>
  <c r="CE351" i="2"/>
  <c r="CK411" i="2"/>
  <c r="CI157" i="2"/>
  <c r="CJ157" i="2" s="1"/>
  <c r="CK157" i="2" s="1"/>
  <c r="CE157" i="2"/>
  <c r="CE357" i="2"/>
  <c r="CI357" i="2"/>
  <c r="CJ357" i="2" s="1"/>
  <c r="CK357" i="2" s="1"/>
  <c r="CE220" i="2"/>
  <c r="CI220" i="2"/>
  <c r="CJ220" i="2" s="1"/>
  <c r="CK220" i="2" s="1"/>
  <c r="CE469" i="2"/>
  <c r="CI469" i="2"/>
  <c r="CJ469" i="2" s="1"/>
  <c r="CK469" i="2" s="1"/>
  <c r="CE455" i="2"/>
  <c r="CI455" i="2"/>
  <c r="CJ455" i="2" s="1"/>
  <c r="CK455" i="2" s="1"/>
  <c r="CE168" i="2"/>
  <c r="CI168" i="2"/>
  <c r="CJ168" i="2" s="1"/>
  <c r="CK168" i="2" s="1"/>
  <c r="CI40" i="2"/>
  <c r="CJ40" i="2" s="1"/>
  <c r="CK40" i="2" s="1"/>
  <c r="CE40" i="2"/>
  <c r="CE92" i="2"/>
  <c r="CI92" i="2"/>
  <c r="CJ92" i="2" s="1"/>
  <c r="CK92" i="2" s="1"/>
  <c r="CI416" i="2"/>
  <c r="CJ416" i="2" s="1"/>
  <c r="CK416" i="2" s="1"/>
  <c r="CE416" i="2"/>
  <c r="CK421" i="2"/>
  <c r="CE321" i="2"/>
  <c r="CI321" i="2"/>
  <c r="CJ321" i="2" s="1"/>
  <c r="CK321" i="2" s="1"/>
  <c r="CE337" i="2"/>
  <c r="CI337" i="2"/>
  <c r="CJ337" i="2" s="1"/>
  <c r="CK337" i="2" s="1"/>
  <c r="CI171" i="2"/>
  <c r="CJ171" i="2" s="1"/>
  <c r="CK171" i="2" s="1"/>
  <c r="CE171" i="2"/>
  <c r="CI44" i="2"/>
  <c r="CJ44" i="2" s="1"/>
  <c r="CK44" i="2" s="1"/>
  <c r="CE44" i="2"/>
  <c r="CE415" i="2"/>
  <c r="CI415" i="2"/>
  <c r="CJ415" i="2" s="1"/>
  <c r="CI164" i="2"/>
  <c r="CJ164" i="2" s="1"/>
  <c r="CK164" i="2" s="1"/>
  <c r="CE164" i="2"/>
  <c r="CE232" i="2"/>
  <c r="CI232" i="2"/>
  <c r="CJ232" i="2" s="1"/>
  <c r="CK232" i="2" s="1"/>
  <c r="CE451" i="2"/>
  <c r="CI451" i="2"/>
  <c r="CJ451" i="2" s="1"/>
  <c r="CK451" i="2" s="1"/>
  <c r="CI317" i="2"/>
  <c r="CJ317" i="2" s="1"/>
  <c r="CK317" i="2" s="1"/>
  <c r="CE317" i="2"/>
  <c r="CI45" i="2"/>
  <c r="CJ45" i="2" s="1"/>
  <c r="CK45" i="2" s="1"/>
  <c r="CE45" i="2"/>
  <c r="CI38" i="2"/>
  <c r="CJ38" i="2" s="1"/>
  <c r="CK38" i="2" s="1"/>
  <c r="CE38" i="2"/>
  <c r="CI360" i="2"/>
  <c r="CJ360" i="2" s="1"/>
  <c r="CK360" i="2" s="1"/>
  <c r="CE360" i="2"/>
  <c r="CI204" i="2"/>
  <c r="CJ204" i="2" s="1"/>
  <c r="CK204" i="2" s="1"/>
  <c r="CE204" i="2"/>
  <c r="CE112" i="2"/>
  <c r="CI112" i="2"/>
  <c r="CJ112" i="2" s="1"/>
  <c r="CK112" i="2" s="1"/>
  <c r="CI381" i="2"/>
  <c r="CJ381" i="2" s="1"/>
  <c r="CK381" i="2" s="1"/>
  <c r="CE381" i="2"/>
  <c r="CE331" i="2"/>
  <c r="CI331" i="2"/>
  <c r="CJ331" i="2" s="1"/>
  <c r="CK331" i="2" s="1"/>
  <c r="CE22" i="2"/>
  <c r="CI22" i="2"/>
  <c r="CJ22" i="2" s="1"/>
  <c r="CK22" i="2" s="1"/>
  <c r="CE81" i="2"/>
  <c r="CI81" i="2"/>
  <c r="CJ81" i="2" s="1"/>
  <c r="CK81" i="2" s="1"/>
  <c r="CI76" i="2"/>
  <c r="CJ76" i="2" s="1"/>
  <c r="CK76" i="2" s="1"/>
  <c r="CE76" i="2"/>
  <c r="CI8" i="2"/>
  <c r="CJ8" i="2" s="1"/>
  <c r="CK8" i="2" s="1"/>
  <c r="CE8" i="2"/>
  <c r="CI319" i="2"/>
  <c r="CJ319" i="2" s="1"/>
  <c r="CK319" i="2" s="1"/>
  <c r="CE319" i="2"/>
  <c r="CE316" i="2"/>
  <c r="CI316" i="2"/>
  <c r="CJ316" i="2" s="1"/>
  <c r="CK316" i="2" s="1"/>
  <c r="CE21" i="2"/>
  <c r="CI21" i="2"/>
  <c r="CJ21" i="2" s="1"/>
  <c r="CK21" i="2" s="1"/>
  <c r="CE59" i="2"/>
  <c r="CI59" i="2"/>
  <c r="CJ59" i="2" s="1"/>
  <c r="CK59" i="2" s="1"/>
  <c r="CE69" i="2"/>
  <c r="CI69" i="2"/>
  <c r="CJ69" i="2" s="1"/>
  <c r="CK69" i="2" s="1"/>
  <c r="CI75" i="2"/>
  <c r="CJ75" i="2" s="1"/>
  <c r="CK75" i="2" s="1"/>
  <c r="CE75" i="2"/>
  <c r="CE225" i="2"/>
  <c r="CI225" i="2"/>
  <c r="CJ225" i="2" s="1"/>
  <c r="CK225" i="2" s="1"/>
  <c r="CE172" i="2"/>
  <c r="CI172" i="2"/>
  <c r="CJ172" i="2" s="1"/>
  <c r="CK172" i="2" s="1"/>
  <c r="CI15" i="2"/>
  <c r="CJ15" i="2" s="1"/>
  <c r="CK15" i="2" s="1"/>
  <c r="CE15" i="2"/>
  <c r="CE106" i="2"/>
  <c r="CI106" i="2"/>
  <c r="CJ106" i="2" s="1"/>
  <c r="CK106" i="2" s="1"/>
  <c r="CI471" i="2" l="1"/>
  <c r="CJ471" i="2" s="1"/>
  <c r="CK471" i="2" s="1"/>
  <c r="CI476" i="2"/>
  <c r="CJ476" i="2" s="1"/>
  <c r="CK476" i="2" s="1"/>
  <c r="CI294" i="2"/>
  <c r="CJ294" i="2" s="1"/>
  <c r="CK294" i="2" s="1"/>
  <c r="CE246" i="2"/>
  <c r="CI284" i="2"/>
  <c r="CJ284" i="2" s="1"/>
  <c r="CK284" i="2" s="1"/>
  <c r="CE271" i="2"/>
  <c r="CE477" i="2"/>
  <c r="CI91" i="2"/>
  <c r="CJ91" i="2" s="1"/>
  <c r="CK91" i="2" s="1"/>
  <c r="CI266" i="2"/>
  <c r="CJ266" i="2" s="1"/>
  <c r="CK266" i="2" s="1"/>
  <c r="CE253" i="2"/>
  <c r="CE254" i="2"/>
  <c r="CI304" i="2"/>
  <c r="CJ304" i="2" s="1"/>
  <c r="CK304" i="2" s="1"/>
  <c r="CI496" i="2"/>
  <c r="CJ496" i="2" s="1"/>
  <c r="CK496" i="2" s="1"/>
  <c r="CE276" i="2"/>
  <c r="CI504" i="2"/>
  <c r="CJ504" i="2" s="1"/>
  <c r="CK504" i="2" s="1"/>
  <c r="CI438" i="2"/>
  <c r="CJ438" i="2" s="1"/>
  <c r="CK438" i="2" s="1"/>
  <c r="CI396" i="2"/>
  <c r="CJ396" i="2" s="1"/>
  <c r="CK396" i="2" s="1"/>
  <c r="CI245" i="2"/>
  <c r="CJ245" i="2" s="1"/>
  <c r="CK245" i="2" s="1"/>
  <c r="CI94" i="2"/>
  <c r="CJ94" i="2" s="1"/>
  <c r="CK94" i="2" s="1"/>
  <c r="CI473" i="2"/>
  <c r="CJ473" i="2" s="1"/>
  <c r="CK473" i="2" s="1"/>
  <c r="CI104" i="2"/>
  <c r="CJ104" i="2" s="1"/>
  <c r="CK104" i="2" s="1"/>
  <c r="CE257" i="2"/>
  <c r="CE487" i="2"/>
  <c r="CI278" i="2"/>
  <c r="CJ278" i="2" s="1"/>
  <c r="CK278" i="2" s="1"/>
  <c r="CI97" i="2"/>
  <c r="CJ97" i="2" s="1"/>
  <c r="CK97" i="2" s="1"/>
  <c r="CE428" i="2"/>
  <c r="CJ428" i="2"/>
  <c r="CK428" i="2" s="1"/>
  <c r="CI282" i="2"/>
  <c r="CJ282" i="2" s="1"/>
  <c r="CK282" i="2" s="1"/>
  <c r="CI462" i="2"/>
  <c r="CJ462" i="2" s="1"/>
  <c r="CK462" i="2" s="1"/>
  <c r="CE261" i="2"/>
  <c r="CI77" i="2"/>
  <c r="CJ77" i="2" s="1"/>
  <c r="CK77" i="2" s="1"/>
  <c r="CE70" i="2"/>
  <c r="CE247" i="2"/>
  <c r="CI480" i="2"/>
  <c r="CJ480" i="2" s="1"/>
  <c r="CK480" i="2" s="1"/>
  <c r="CI242" i="2"/>
  <c r="CJ242" i="2" s="1"/>
  <c r="CK242" i="2" s="1"/>
  <c r="CE489" i="2"/>
  <c r="CI66" i="2"/>
  <c r="CJ66" i="2" s="1"/>
  <c r="CK66" i="2" s="1"/>
  <c r="CI16" i="2"/>
  <c r="CJ16" i="2" s="1"/>
  <c r="CK16" i="2" s="1"/>
  <c r="CI439" i="2"/>
  <c r="CJ439" i="2" s="1"/>
  <c r="CK439" i="2" s="1"/>
  <c r="CE239" i="2"/>
  <c r="CI472" i="2"/>
  <c r="CJ472" i="2" s="1"/>
  <c r="CK472" i="2" s="1"/>
  <c r="CI295" i="2"/>
  <c r="CJ295" i="2" s="1"/>
  <c r="CK295" i="2" s="1"/>
  <c r="CE238" i="2"/>
  <c r="CE297" i="2"/>
  <c r="CI272" i="2"/>
  <c r="CJ272" i="2" s="1"/>
  <c r="CK272" i="2" s="1"/>
  <c r="CE270" i="2"/>
  <c r="CE426" i="2"/>
  <c r="CI267" i="2"/>
  <c r="CJ267" i="2" s="1"/>
  <c r="CK267" i="2" s="1"/>
  <c r="CI248" i="2"/>
  <c r="CJ248" i="2" s="1"/>
  <c r="CK248" i="2" s="1"/>
  <c r="CE299" i="2"/>
  <c r="CI280" i="2"/>
  <c r="CJ280" i="2" s="1"/>
  <c r="CK280" i="2" s="1"/>
  <c r="CE440" i="2"/>
  <c r="CE111" i="2"/>
  <c r="CI258" i="2"/>
  <c r="CJ258" i="2" s="1"/>
  <c r="CK258" i="2" s="1"/>
  <c r="CE495" i="2"/>
  <c r="CI285" i="2"/>
  <c r="CJ285" i="2" s="1"/>
  <c r="CK285" i="2" s="1"/>
  <c r="CI269" i="2"/>
  <c r="CJ269" i="2" s="1"/>
  <c r="CK269" i="2" s="1"/>
  <c r="CE385" i="2"/>
  <c r="CE82" i="2"/>
  <c r="CI460" i="2"/>
  <c r="CJ460" i="2" s="1"/>
  <c r="CK460" i="2" s="1"/>
  <c r="CI262" i="2"/>
  <c r="CJ262" i="2" s="1"/>
  <c r="CK262" i="2" s="1"/>
  <c r="CI7" i="2"/>
  <c r="CJ7" i="2" s="1"/>
  <c r="CK7" i="2" s="1"/>
  <c r="CI298" i="2"/>
  <c r="CJ298" i="2" s="1"/>
  <c r="CK298" i="2" s="1"/>
  <c r="CE488" i="2"/>
  <c r="CI264" i="2"/>
  <c r="CJ264" i="2" s="1"/>
  <c r="CK264" i="2" s="1"/>
  <c r="CI464" i="2"/>
  <c r="CJ464" i="2" s="1"/>
  <c r="CK464" i="2" s="1"/>
  <c r="CE441" i="2"/>
  <c r="CE479" i="2"/>
  <c r="CE437" i="2"/>
  <c r="CE279" i="2"/>
  <c r="CE243" i="2"/>
  <c r="CE407" i="2"/>
  <c r="CE484" i="2"/>
  <c r="CI395" i="2"/>
  <c r="CJ395" i="2" s="1"/>
  <c r="CK395" i="2" s="1"/>
  <c r="CI306" i="2"/>
  <c r="CJ306" i="2" s="1"/>
  <c r="CK306" i="2" s="1"/>
  <c r="CI474" i="2"/>
  <c r="CJ474" i="2" s="1"/>
  <c r="CK474" i="2" s="1"/>
  <c r="CE259" i="2"/>
  <c r="CI249" i="2"/>
  <c r="CJ249" i="2" s="1"/>
  <c r="CK249" i="2" s="1"/>
  <c r="CE305" i="2"/>
  <c r="CE301" i="2"/>
  <c r="CI263" i="2"/>
  <c r="CJ263" i="2" s="1"/>
  <c r="CK263" i="2" s="1"/>
  <c r="CI240" i="2"/>
  <c r="CJ240" i="2" s="1"/>
  <c r="CK240" i="2" s="1"/>
  <c r="CE252" i="2"/>
  <c r="CE283" i="2"/>
  <c r="CI251" i="2"/>
  <c r="CJ251" i="2" s="1"/>
  <c r="CK251" i="2" s="1"/>
  <c r="CI241" i="2"/>
  <c r="CJ241" i="2" s="1"/>
  <c r="CK241" i="2" s="1"/>
  <c r="CJ252" i="2"/>
  <c r="CK252" i="2" s="1"/>
  <c r="CI302" i="2"/>
  <c r="CJ302" i="2" s="1"/>
  <c r="CK302" i="2" s="1"/>
  <c r="CI485" i="2"/>
  <c r="CJ485" i="2" s="1"/>
  <c r="CK485" i="2" s="1"/>
  <c r="CI399" i="2"/>
  <c r="CJ399" i="2" s="1"/>
  <c r="CK399" i="2" s="1"/>
  <c r="CE99" i="2"/>
  <c r="CI255" i="2"/>
  <c r="CJ255" i="2" s="1"/>
  <c r="CK255" i="2" s="1"/>
  <c r="CI382" i="2"/>
  <c r="CJ382" i="2" s="1"/>
  <c r="CK382" i="2" s="1"/>
  <c r="CE250" i="2"/>
  <c r="CI208" i="2"/>
  <c r="CJ208" i="2" s="1"/>
  <c r="CK208" i="2" s="1"/>
  <c r="CI501" i="2"/>
  <c r="CJ501" i="2" s="1"/>
  <c r="CK501" i="2" s="1"/>
  <c r="CE486" i="2"/>
  <c r="CI260" i="2"/>
  <c r="CJ260" i="2" s="1"/>
  <c r="CK260" i="2" s="1"/>
  <c r="CE120" i="2"/>
  <c r="CE274" i="2"/>
  <c r="CE427" i="2"/>
  <c r="CE256" i="2"/>
  <c r="CE281" i="2"/>
  <c r="CE268" i="2"/>
  <c r="CE512" i="2"/>
  <c r="CE265" i="2"/>
  <c r="CI433" i="2"/>
  <c r="CJ433" i="2" s="1"/>
  <c r="CK433" i="2" s="1"/>
  <c r="CI494" i="2"/>
  <c r="CJ494" i="2" s="1"/>
  <c r="CK494" i="2" s="1"/>
  <c r="CE273" i="2"/>
  <c r="CI275" i="2"/>
  <c r="CJ275" i="2" s="1"/>
  <c r="CK275" i="2" s="1"/>
  <c r="CI303" i="2"/>
  <c r="CJ303" i="2" s="1"/>
  <c r="CK303" i="2" s="1"/>
  <c r="CE300" i="2"/>
  <c r="CI434" i="2"/>
  <c r="CJ434" i="2" s="1"/>
  <c r="CK434" i="2" s="1"/>
  <c r="CI291" i="2"/>
  <c r="CJ291" i="2" s="1"/>
  <c r="CK291" i="2" s="1"/>
  <c r="CE323" i="2"/>
  <c r="CK425" i="2"/>
  <c r="CK415" i="2"/>
  <c r="CK397" i="2"/>
  <c r="CK447" i="2"/>
  <c r="CK408" i="2"/>
  <c r="CK376" i="2"/>
  <c r="CK435" i="2"/>
  <c r="CK390" i="2"/>
  <c r="CK427"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B15" authorId="0" shapeId="0" xr:uid="{B173ECA7-E443-42D6-BC23-E8F3B1CB70E9}">
      <text>
        <r>
          <rPr>
            <b/>
            <sz val="9"/>
            <color indexed="81"/>
            <rFont val="Tahoma"/>
            <family val="2"/>
          </rPr>
          <t>Marcelo Cardoso:</t>
        </r>
        <r>
          <rPr>
            <sz val="9"/>
            <color indexed="81"/>
            <rFont val="Tahoma"/>
            <family val="2"/>
          </rPr>
          <t xml:space="preserve">
12/06: Daniel informou que o IPI é crédito também. Por isso somente preço net para nacional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AY3" authorId="0" shapeId="0" xr:uid="{5BB85026-1DB1-4F53-80AF-91CD7FDB6E47}">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AZ3" authorId="0" shapeId="0" xr:uid="{23EE9761-AA20-48AE-B6C7-5176058D43BE}">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BA3" authorId="0" shapeId="0" xr:uid="{F6745AE0-BD37-4366-A8D0-4746B682EF6C}">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CA3" authorId="0" shapeId="0" xr:uid="{00000000-0006-0000-0100-000001000000}">
      <text>
        <r>
          <rPr>
            <b/>
            <sz val="9"/>
            <color indexed="81"/>
            <rFont val="Tahoma"/>
            <family val="2"/>
          </rPr>
          <t>Marcelo Cardoso:</t>
        </r>
        <r>
          <rPr>
            <sz val="9"/>
            <color indexed="81"/>
            <rFont val="Tahoma"/>
            <family val="2"/>
          </rPr>
          <t xml:space="preserve">
ver calculos aba custo por fornecedor</t>
        </r>
      </text>
    </comment>
    <comment ref="CF3" authorId="0" shapeId="0" xr:uid="{00000000-0006-0000-0100-000002000000}">
      <text>
        <r>
          <rPr>
            <b/>
            <sz val="9"/>
            <color indexed="81"/>
            <rFont val="Tahoma"/>
            <family val="2"/>
          </rPr>
          <t>Marcelo Cardoso:</t>
        </r>
        <r>
          <rPr>
            <sz val="9"/>
            <color indexed="81"/>
            <rFont val="Tahoma"/>
            <family val="2"/>
          </rPr>
          <t xml:space="preserve">
Importado CN: 60d transporte + 60 dias estoque segurança = 120
Importado EU: 45d transporte + 60 dias estoque segurança = 105
Nacional BR: 45 dias estoque de segurança = 45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C6" authorId="0" shapeId="0" xr:uid="{00000000-0006-0000-0200-000001000000}">
      <text>
        <r>
          <rPr>
            <b/>
            <sz val="9"/>
            <color indexed="81"/>
            <rFont val="Tahoma"/>
            <family val="2"/>
          </rPr>
          <t>Marcelo Cardoso:</t>
        </r>
        <r>
          <rPr>
            <sz val="9"/>
            <color indexed="81"/>
            <rFont val="Tahoma"/>
            <family val="2"/>
          </rPr>
          <t xml:space="preserve">
transporte 15 + 30 como estoque de segurança (depende de schedule de producao)</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Custo por fornecedor" description="Connection to the 'Custo por fornecedor' query in the workbook." type="5" refreshedVersion="8" background="1" saveData="1">
    <dbPr connection="Provider=Microsoft.Mashup.OleDb.1;Data Source=$Workbook$;Location=&quot;Custo por fornecedor&quot;;Extended Properties=&quot;&quot;" command="SELECT * FROM [Custo por fornecedor]"/>
  </connection>
  <connection id="2" xr16:uid="{00000000-0015-0000-FFFF-FFFF01000000}" name="Query - Document" description="Connection to the 'Document' query in the workbook." type="100" refreshedVersion="8" minRefreshableVersion="5">
    <extLst>
      <ext xmlns:x15="http://schemas.microsoft.com/office/spreadsheetml/2010/11/main" uri="{DE250136-89BD-433C-8126-D09CA5730AF9}">
        <x15:connection id="a24a3fa1-dba2-4cbc-bc4a-55ef80d35baa"/>
      </ext>
    </extLst>
  </connection>
  <connection id="3" xr16:uid="{00000000-0015-0000-FFFF-FFFF02000000}" keepAlive="1" name="Query - Table 0" description="Connection to the 'Table 0' query in the workbook." type="5" refreshedVersion="0" background="1">
    <dbPr connection="Provider=Microsoft.Mashup.OleDb.1;Data Source=$Workbook$;Location=&quot;Table 0&quot;;Extended Properties=&quot;&quot;" command="SELECT * FROM [Table 0]"/>
  </connection>
  <connection id="4" xr16:uid="{00000000-0015-0000-FFFF-FFFF03000000}"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5" xr16:uid="{00000000-0015-0000-FFFF-FFFF04000000}"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6" xr16:uid="{00000000-0015-0000-FFFF-FFFF05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1"/>
        </ext>
      </extLst>
    </bk>
    <bk>
      <extLst>
        <ext uri="{3e2802c4-a4d2-4d8b-9148-e3be6c30e623}">
          <xlrd:rvb i="3"/>
        </ext>
      </extLst>
    </bk>
    <bk>
      <extLst>
        <ext uri="{3e2802c4-a4d2-4d8b-9148-e3be6c30e623}">
          <xlrd:rvb i="5"/>
        </ext>
      </extLst>
    </bk>
    <bk>
      <extLst>
        <ext uri="{3e2802c4-a4d2-4d8b-9148-e3be6c30e623}">
          <xlrd:rvb i="7"/>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sharedStrings.xml><?xml version="1.0" encoding="utf-8"?>
<sst xmlns="http://schemas.openxmlformats.org/spreadsheetml/2006/main" count="6371" uniqueCount="483">
  <si>
    <t>Sunshine</t>
  </si>
  <si>
    <t>Munksjo BR</t>
  </si>
  <si>
    <t>Koehler</t>
  </si>
  <si>
    <t>Huawon</t>
  </si>
  <si>
    <t>DEKORPEL WHITE 963</t>
  </si>
  <si>
    <t>DEKORPEL WHITE 986</t>
  </si>
  <si>
    <t>DEKORPRINT WHITE 990</t>
  </si>
  <si>
    <t>Supplier</t>
  </si>
  <si>
    <t>DEKORPEL BEIGE 9080</t>
  </si>
  <si>
    <t>DEKORPEL BLUE 497</t>
  </si>
  <si>
    <t>DEKORPEL GREY 9300</t>
  </si>
  <si>
    <t>DEKORPEL GREY 932</t>
  </si>
  <si>
    <t>DEKORPRINT BEIGE 751</t>
  </si>
  <si>
    <t>DEKORPRINT BEIGE 752</t>
  </si>
  <si>
    <t>DEKORPRINT BEIGE 756</t>
  </si>
  <si>
    <t>BACKING OS</t>
  </si>
  <si>
    <t>g/m2</t>
  </si>
  <si>
    <t>ICMS</t>
  </si>
  <si>
    <t>PIS/COFINS</t>
  </si>
  <si>
    <t>FOB</t>
  </si>
  <si>
    <t>Lead Time</t>
  </si>
  <si>
    <t>VerdeForte</t>
  </si>
  <si>
    <t>Incluso</t>
  </si>
  <si>
    <t>Não</t>
  </si>
  <si>
    <t>Product</t>
  </si>
  <si>
    <t>Incoterm</t>
  </si>
  <si>
    <t>Production Cycling</t>
  </si>
  <si>
    <t>monthly</t>
  </si>
  <si>
    <t>yes</t>
  </si>
  <si>
    <t>Material Number</t>
  </si>
  <si>
    <t>Reel Weight (t)</t>
  </si>
  <si>
    <t>Production batch Qualified?</t>
  </si>
  <si>
    <t>Payment Terms</t>
  </si>
  <si>
    <t>Brazil</t>
  </si>
  <si>
    <t>Price Unit</t>
  </si>
  <si>
    <t>ton</t>
  </si>
  <si>
    <t>YTD</t>
  </si>
  <si>
    <t>Color</t>
  </si>
  <si>
    <t>Impress Type</t>
  </si>
  <si>
    <t>Supplier Ref</t>
  </si>
  <si>
    <t>6552F</t>
  </si>
  <si>
    <t>6412F</t>
  </si>
  <si>
    <t>beige</t>
  </si>
  <si>
    <t>white</t>
  </si>
  <si>
    <t>Lot (ton)</t>
  </si>
  <si>
    <t>Currency</t>
  </si>
  <si>
    <t>BRL</t>
  </si>
  <si>
    <t>Technocell</t>
  </si>
  <si>
    <t>Usage</t>
  </si>
  <si>
    <t>IP</t>
  </si>
  <si>
    <t>DP</t>
  </si>
  <si>
    <t>EUR</t>
  </si>
  <si>
    <t>8269F</t>
  </si>
  <si>
    <t>optional</t>
  </si>
  <si>
    <t>Médias</t>
  </si>
  <si>
    <t>Landing</t>
  </si>
  <si>
    <t>Stock Carring (M)</t>
  </si>
  <si>
    <t>Location</t>
  </si>
  <si>
    <t>BR</t>
  </si>
  <si>
    <t>EU</t>
  </si>
  <si>
    <t>CN</t>
  </si>
  <si>
    <t>brown</t>
  </si>
  <si>
    <t>light brown</t>
  </si>
  <si>
    <t>gray</t>
  </si>
  <si>
    <t>blue</t>
  </si>
  <si>
    <t>dark brown</t>
  </si>
  <si>
    <t>black</t>
  </si>
  <si>
    <t>Cartiere</t>
  </si>
  <si>
    <t>ARGILA</t>
  </si>
  <si>
    <t>CARTIERE ARGILA REF932</t>
  </si>
  <si>
    <t>Width (mm)</t>
  </si>
  <si>
    <t>SUNSHINE 0104 ECO</t>
  </si>
  <si>
    <t>SUNSHINE 0128 ECO</t>
  </si>
  <si>
    <t>U1137</t>
  </si>
  <si>
    <t>CARTIERE BLACK U1137</t>
  </si>
  <si>
    <t>FF BRANCO</t>
  </si>
  <si>
    <t>FF PARDO</t>
  </si>
  <si>
    <t>FF TABACO</t>
  </si>
  <si>
    <t>FF PRETO</t>
  </si>
  <si>
    <t>TECHNOCELL 6656</t>
  </si>
  <si>
    <t>MUNKSJO 1410 ECO</t>
  </si>
  <si>
    <t>MUNKSJO 1430 ECO</t>
  </si>
  <si>
    <t>MUNKSJO 9370-070 White PO</t>
  </si>
  <si>
    <t>MUNKSJO 9370-070 White PN</t>
  </si>
  <si>
    <t>MUNKSJO 31052 Beige-Brown (Brazil)</t>
  </si>
  <si>
    <t>KOEHLER 8269 ECO</t>
  </si>
  <si>
    <t>KOEHLER 8269 F ECO</t>
  </si>
  <si>
    <t>KOEHLER 689</t>
  </si>
  <si>
    <t>KOEHLER 0483</t>
  </si>
  <si>
    <t>KOEHLER 0244</t>
  </si>
  <si>
    <t>KOEHLER 0248</t>
  </si>
  <si>
    <t>TECHNOCELL 6552 STD</t>
  </si>
  <si>
    <t>TECHNOCELL 6552F EIR</t>
  </si>
  <si>
    <t>TECHNOCELL 6412 STD</t>
  </si>
  <si>
    <t>TECHNOCELL 6412F EIR</t>
  </si>
  <si>
    <t>TECHNOCELL 6723 LOP</t>
  </si>
  <si>
    <t>SUNSHINE YG002PW</t>
  </si>
  <si>
    <t>HUAWON HG5083</t>
  </si>
  <si>
    <t>HG5083</t>
  </si>
  <si>
    <t>YG002PW</t>
  </si>
  <si>
    <t>YG086PW</t>
  </si>
  <si>
    <t>HUAWON HG5089</t>
  </si>
  <si>
    <t>HG5089</t>
  </si>
  <si>
    <t>HY2059</t>
  </si>
  <si>
    <t>HUAWON HY2059</t>
  </si>
  <si>
    <t>HY2001</t>
  </si>
  <si>
    <t>HG5098</t>
  </si>
  <si>
    <t>HUAWON HG5098</t>
  </si>
  <si>
    <t>Maltadecor</t>
  </si>
  <si>
    <t>MALTADECOR 0248</t>
  </si>
  <si>
    <t>Paper bonus (t)</t>
  </si>
  <si>
    <t>MALTADECOR 0301</t>
  </si>
  <si>
    <t>U248</t>
  </si>
  <si>
    <t>U301</t>
  </si>
  <si>
    <t>MALTADECOR 0104</t>
  </si>
  <si>
    <t>MALTADECOR 128</t>
  </si>
  <si>
    <t>MALTADECOR 244</t>
  </si>
  <si>
    <t>MALTADECOR 408</t>
  </si>
  <si>
    <t>M104</t>
  </si>
  <si>
    <t>M128</t>
  </si>
  <si>
    <t>M408</t>
  </si>
  <si>
    <t>U244</t>
  </si>
  <si>
    <t>FF BRANCO HO</t>
  </si>
  <si>
    <t>BACKING</t>
  </si>
  <si>
    <t>DEKORPEL GREY 664</t>
  </si>
  <si>
    <t>DEKORPEL WHITE 938</t>
  </si>
  <si>
    <t>CFR</t>
  </si>
  <si>
    <t>KOEHLER 1410</t>
  </si>
  <si>
    <t>KOEHLER 1430</t>
  </si>
  <si>
    <t>MALTADECOR 1410</t>
  </si>
  <si>
    <t>MALTADECOR 1430</t>
  </si>
  <si>
    <t>MALTADECOR 0483</t>
  </si>
  <si>
    <t>MALTADECOR 689</t>
  </si>
  <si>
    <t>DEKORPEL GREY 673</t>
  </si>
  <si>
    <t>Import Fees</t>
  </si>
  <si>
    <t>BRL Cost</t>
  </si>
  <si>
    <t>Working days</t>
  </si>
  <si>
    <t>Capital Cost</t>
  </si>
  <si>
    <t>Current Price</t>
  </si>
  <si>
    <t>Freight</t>
  </si>
  <si>
    <t>Lot 
(ton)</t>
  </si>
  <si>
    <t>Present Value (R$/KG)</t>
  </si>
  <si>
    <t>Present Value (R$/M2)</t>
  </si>
  <si>
    <t>TECHNOCELL 3222</t>
  </si>
  <si>
    <t>SUNSHINE 308</t>
  </si>
  <si>
    <t>CARTIERE 0399</t>
  </si>
  <si>
    <t>KOEHLER 0104</t>
  </si>
  <si>
    <t>USD/BRL</t>
  </si>
  <si>
    <t>EUR/BRL</t>
  </si>
  <si>
    <t>acerto</t>
  </si>
  <si>
    <t>setup</t>
  </si>
  <si>
    <t>Santher</t>
  </si>
  <si>
    <t>ACERTO</t>
  </si>
  <si>
    <t>P.Value (R$/KG)</t>
  </si>
  <si>
    <t>P.Value (R$/M2)</t>
  </si>
  <si>
    <t>TECHNOCELL 6287</t>
  </si>
  <si>
    <t>HUAWON HW1061</t>
  </si>
  <si>
    <t>HW1061</t>
  </si>
  <si>
    <t>USD</t>
  </si>
  <si>
    <t>IMPRESS DECOR BRASIL - MONTHLY BASE PAPER PURCHASE 2024</t>
  </si>
  <si>
    <t>SUPPLIERS</t>
  </si>
  <si>
    <t>JANUARY</t>
  </si>
  <si>
    <t>FEBRUARY</t>
  </si>
  <si>
    <t>MARCH</t>
  </si>
  <si>
    <t>APRIL</t>
  </si>
  <si>
    <t>MAY</t>
  </si>
  <si>
    <t>JUNE</t>
  </si>
  <si>
    <t>JULY</t>
  </si>
  <si>
    <t>AUGUST</t>
  </si>
  <si>
    <t>SEPTEMBER</t>
  </si>
  <si>
    <t>OCTOBER</t>
  </si>
  <si>
    <t>NOVEMBER</t>
  </si>
  <si>
    <t>DECEMBER</t>
  </si>
  <si>
    <t>TOTAL</t>
  </si>
  <si>
    <t>Kg</t>
  </si>
  <si>
    <t>CAIEIRAS INDUSTRIA E COMERCIO DE PAPEIS ESPECIAIS LTDA</t>
  </si>
  <si>
    <t>CARTIERE DI GUARCINO S.P.A.</t>
  </si>
  <si>
    <t>HANGZHOU HUAWANG NEW MATERIAL TECHNOLOGY CO</t>
  </si>
  <si>
    <t>PAPIERFABRIK AUGUST KOEHLER AG</t>
  </si>
  <si>
    <t>MALTA-DECOR SP. Z O. O.</t>
  </si>
  <si>
    <t>MUNKSJÖ PAPER S/A</t>
  </si>
  <si>
    <t>TECHNOCELL DEKOR GMBH</t>
  </si>
  <si>
    <t>SUNSHINE OJI (SHOUGUANG) SPECIALTY PAPER CO.,LTD.</t>
  </si>
  <si>
    <t>VERDE FORTE PAPEIS SA</t>
  </si>
  <si>
    <t>IMPRESS DECOR BRASIL - MONTHLY BASE PAPER PURCHASE 2023</t>
  </si>
  <si>
    <t>GEBR HOFFSUMMER SPEZIALPAPIER GmbH &amp; Co.</t>
  </si>
  <si>
    <t>KINGDECOR (ZHEJIANG) CO., LTD</t>
  </si>
  <si>
    <t>MUNKSJO BRASIL</t>
  </si>
  <si>
    <t>IMPRESS DECOR BRASIL - MONTHLY BASE PAPER PURCHASE 2023 - QUANTITY</t>
  </si>
  <si>
    <t>Month</t>
  </si>
  <si>
    <t>Quantity</t>
  </si>
  <si>
    <t>Sum of Quantity</t>
  </si>
  <si>
    <t>jan</t>
  </si>
  <si>
    <t>fev</t>
  </si>
  <si>
    <t>mar</t>
  </si>
  <si>
    <t>abr</t>
  </si>
  <si>
    <t>mai</t>
  </si>
  <si>
    <t>jun</t>
  </si>
  <si>
    <t>jul</t>
  </si>
  <si>
    <t>ago</t>
  </si>
  <si>
    <t>set</t>
  </si>
  <si>
    <t>out</t>
  </si>
  <si>
    <t>nov</t>
  </si>
  <si>
    <t>dez</t>
  </si>
  <si>
    <t>Qty</t>
  </si>
  <si>
    <t>%</t>
  </si>
  <si>
    <t>Last Month</t>
  </si>
  <si>
    <t>Tentok</t>
  </si>
  <si>
    <t>JP</t>
  </si>
  <si>
    <t>FF</t>
  </si>
  <si>
    <t>Sim</t>
  </si>
  <si>
    <t>Origin</t>
  </si>
  <si>
    <t>MUNKSJO 9370-070 New White PO</t>
  </si>
  <si>
    <t>9370-070</t>
  </si>
  <si>
    <t>TENTOK OPAC</t>
  </si>
  <si>
    <t>TENTOK CHPS</t>
  </si>
  <si>
    <t>TECHNOCELL 5532</t>
  </si>
  <si>
    <t>TECHNOCELL 4478</t>
  </si>
  <si>
    <t>TECHNOCELL 6424</t>
  </si>
  <si>
    <t>TECHNOCELL 5481</t>
  </si>
  <si>
    <t>Stock (transit + safety stock BR)</t>
  </si>
  <si>
    <t>AVG</t>
  </si>
  <si>
    <t>SUNSHINE YG006PW</t>
  </si>
  <si>
    <t>TENTOK PAPER CO. LTD.</t>
  </si>
  <si>
    <t>avg2023</t>
  </si>
  <si>
    <t>avg2024</t>
  </si>
  <si>
    <t>TECHNOCELL 4108</t>
  </si>
  <si>
    <t>Frete Container PNG</t>
  </si>
  <si>
    <t>KOEHLER 8291 LOP</t>
  </si>
  <si>
    <t>KOEHLER 8292 LOP</t>
  </si>
  <si>
    <t>SUNSHINE 0483</t>
  </si>
  <si>
    <t>avg2025</t>
  </si>
  <si>
    <t>2024</t>
  </si>
  <si>
    <t>Years (Month)</t>
  </si>
  <si>
    <t>TECHNOCELL MPK8222</t>
  </si>
  <si>
    <t>TECHNOCELL 9370-070 New White PO</t>
  </si>
  <si>
    <t>HUAWON HG5050</t>
  </si>
  <si>
    <t>Rótulos de Linha</t>
  </si>
  <si>
    <t>Total Geral</t>
  </si>
  <si>
    <t>(Tudo)</t>
  </si>
  <si>
    <t>Kingdecor</t>
  </si>
  <si>
    <t>KD7002V</t>
  </si>
  <si>
    <t>International Freight</t>
  </si>
  <si>
    <t>Container 40' (media)</t>
  </si>
  <si>
    <t>SUNSHINE 0248</t>
  </si>
  <si>
    <t>CNY/BRL</t>
  </si>
  <si>
    <t>Hard paper 40-45g (definir)</t>
  </si>
  <si>
    <t>Media frete nacional</t>
  </si>
  <si>
    <t>TCO
(R$/KG)</t>
  </si>
  <si>
    <t>TCO (R$/M2)</t>
  </si>
  <si>
    <t>HUAWON HW1833</t>
  </si>
  <si>
    <t>HW1833</t>
  </si>
  <si>
    <t>Plant</t>
  </si>
  <si>
    <t>Code</t>
  </si>
  <si>
    <t>2025 Target Volume</t>
  </si>
  <si>
    <t>Price 2024.12</t>
  </si>
  <si>
    <t>Renewed CNY Price</t>
  </si>
  <si>
    <t>Impress AT</t>
  </si>
  <si>
    <t>YG006-2PW-70</t>
  </si>
  <si>
    <t>YG0086PW70</t>
  </si>
  <si>
    <t>Impress Brazil</t>
  </si>
  <si>
    <t>0104-70</t>
  </si>
  <si>
    <t>0104-80</t>
  </si>
  <si>
    <t>0128-65</t>
  </si>
  <si>
    <t>YG002PW-80</t>
  </si>
  <si>
    <t>YG0086PW-70</t>
  </si>
  <si>
    <t>Impress Russia</t>
  </si>
  <si>
    <t>CNY</t>
  </si>
  <si>
    <r>
      <t>YG0182UW-65</t>
    </r>
    <r>
      <rPr>
        <sz val="12"/>
        <rFont val="宋体"/>
        <charset val="134"/>
      </rPr>
      <t>（</t>
    </r>
    <r>
      <rPr>
        <sz val="12"/>
        <rFont val="Times New Roman"/>
        <family val="1"/>
      </rPr>
      <t>0128-65</t>
    </r>
    <r>
      <rPr>
        <sz val="12"/>
        <rFont val="宋体"/>
        <charset val="134"/>
      </rPr>
      <t>）</t>
    </r>
  </si>
  <si>
    <r>
      <t>YG0087UW-50</t>
    </r>
    <r>
      <rPr>
        <sz val="12"/>
        <rFont val="宋体"/>
        <charset val="134"/>
      </rPr>
      <t>（</t>
    </r>
    <r>
      <rPr>
        <sz val="12"/>
        <rFont val="Times New Roman"/>
        <family val="1"/>
      </rPr>
      <t>657</t>
    </r>
    <r>
      <rPr>
        <sz val="12"/>
        <rFont val="宋体"/>
        <charset val="134"/>
      </rPr>
      <t>）</t>
    </r>
  </si>
  <si>
    <t>244-65</t>
  </si>
  <si>
    <r>
      <t>YG0183UW-65/70</t>
    </r>
    <r>
      <rPr>
        <sz val="12"/>
        <rFont val="宋体"/>
        <charset val="134"/>
      </rPr>
      <t>（</t>
    </r>
    <r>
      <rPr>
        <sz val="12"/>
        <rFont val="Times New Roman"/>
        <family val="1"/>
      </rPr>
      <t>109</t>
    </r>
    <r>
      <rPr>
        <sz val="12"/>
        <rFont val="宋体"/>
        <charset val="134"/>
      </rPr>
      <t>）</t>
    </r>
  </si>
  <si>
    <t>Ultradecor</t>
  </si>
  <si>
    <r>
      <t>YG6009UB-70</t>
    </r>
    <r>
      <rPr>
        <sz val="12"/>
        <rFont val="宋体"/>
        <charset val="134"/>
      </rPr>
      <t>（</t>
    </r>
    <r>
      <rPr>
        <sz val="12"/>
        <rFont val="Times New Roman"/>
        <family val="1"/>
      </rPr>
      <t>190</t>
    </r>
    <r>
      <rPr>
        <sz val="12"/>
        <rFont val="宋体"/>
        <charset val="134"/>
      </rPr>
      <t>）</t>
    </r>
  </si>
  <si>
    <r>
      <t>YG0183UW-70</t>
    </r>
    <r>
      <rPr>
        <sz val="12"/>
        <rFont val="宋体"/>
        <charset val="134"/>
      </rPr>
      <t>（</t>
    </r>
    <r>
      <rPr>
        <sz val="12"/>
        <rFont val="Times New Roman"/>
        <family val="1"/>
      </rPr>
      <t>109</t>
    </r>
    <r>
      <rPr>
        <sz val="12"/>
        <rFont val="宋体"/>
        <charset val="134"/>
      </rPr>
      <t>）</t>
    </r>
  </si>
  <si>
    <t>HW1813-68/70 - 0104</t>
  </si>
  <si>
    <t>HG5083-68 - 0483</t>
  </si>
  <si>
    <t>HG5089-68 -0689</t>
  </si>
  <si>
    <t>HG1831-65 - 0128</t>
  </si>
  <si>
    <t>HG1852-70 - 65/70 - 7558</t>
  </si>
  <si>
    <t>HG1805-70 - 0690</t>
  </si>
  <si>
    <t>HG5050-65 - 0083</t>
  </si>
  <si>
    <t>HW1389-65 - 0244</t>
  </si>
  <si>
    <t>HY1389-65 - 2638</t>
  </si>
  <si>
    <t>HB3121-65 - 2795</t>
  </si>
  <si>
    <t>HY2059-65 - 0301</t>
  </si>
  <si>
    <t>HW1873-50 - 0657</t>
  </si>
  <si>
    <t>HW1004-80</t>
  </si>
  <si>
    <t>HW1832-70</t>
  </si>
  <si>
    <t>HW1833-70</t>
  </si>
  <si>
    <t>Currency rate</t>
  </si>
  <si>
    <t>Delta</t>
  </si>
  <si>
    <t>Tx.Fixa (manual)</t>
  </si>
  <si>
    <t>CNY-&gt;EUR</t>
  </si>
  <si>
    <t>Check de beneficio da conversao EUR x CNY com chineses</t>
  </si>
  <si>
    <t>HW5098-65 - 0248</t>
  </si>
  <si>
    <t>DEKORPEL BLACK 390</t>
  </si>
  <si>
    <t>HUAWON HW1813</t>
  </si>
  <si>
    <t>HUAWON HW1831</t>
  </si>
  <si>
    <t>HUAWON HW1389</t>
  </si>
  <si>
    <t>Última Atualização de Preço</t>
  </si>
  <si>
    <t>SRU35</t>
  </si>
  <si>
    <t>TECHNOCELL 6795 LOP</t>
  </si>
  <si>
    <t>FF branco</t>
  </si>
  <si>
    <t>KINGDECOR KD0124D</t>
  </si>
  <si>
    <t>KINGDECOR KD7002V</t>
  </si>
  <si>
    <t>MUNKSJO SUPER BLACK</t>
  </si>
  <si>
    <t>SUNSHINE 0128K</t>
  </si>
  <si>
    <t>MUNKSJO 9370-070 NEW White PO</t>
  </si>
  <si>
    <t>desc. Jun/25</t>
  </si>
  <si>
    <t>XH4029G 60g</t>
  </si>
  <si>
    <t>XH4029G</t>
  </si>
  <si>
    <t>Atualizado</t>
  </si>
  <si>
    <t>Frete SP 25 tons</t>
  </si>
  <si>
    <t>Taxa financeira</t>
  </si>
  <si>
    <t>Dados gerais</t>
  </si>
  <si>
    <t>Origem</t>
  </si>
  <si>
    <t>Landing Rate</t>
  </si>
  <si>
    <t>Frete Nacional</t>
  </si>
  <si>
    <t>Carreta</t>
  </si>
  <si>
    <t>Moedas</t>
  </si>
  <si>
    <t>Taxa Financeira (mês)</t>
  </si>
  <si>
    <t>Os preços devem ser lançados sempre liquido de impostos, bonus ou rebates (preço FOB/NET)</t>
  </si>
  <si>
    <r>
      <t xml:space="preserve">- </t>
    </r>
    <r>
      <rPr>
        <b/>
        <sz val="11"/>
        <color theme="1"/>
        <rFont val="Calibri"/>
        <family val="2"/>
        <scheme val="minor"/>
      </rPr>
      <t xml:space="preserve">Importados: </t>
    </r>
    <r>
      <rPr>
        <sz val="11"/>
        <color theme="1"/>
        <rFont val="Calibri"/>
        <family val="2"/>
        <scheme val="minor"/>
      </rPr>
      <t>Paper Bonus tem campo específico, impostos e nacionalização são incluídos no landing rate</t>
    </r>
  </si>
  <si>
    <t>-</t>
  </si>
  <si>
    <t>N/A</t>
  </si>
  <si>
    <t>Landing rate dos importados deve ser calculado sem frete e sem os impostos (Pis/Cofins, IPI, ICMS)</t>
  </si>
  <si>
    <r>
      <t xml:space="preserve">- </t>
    </r>
    <r>
      <rPr>
        <b/>
        <sz val="11"/>
        <color theme="1"/>
        <rFont val="Calibri"/>
        <family val="2"/>
        <scheme val="minor"/>
      </rPr>
      <t>Nacionais:</t>
    </r>
    <r>
      <rPr>
        <sz val="11"/>
        <color theme="1"/>
        <rFont val="Calibri"/>
        <family val="2"/>
        <scheme val="minor"/>
      </rPr>
      <t xml:space="preserve"> Preço NET de impostos (ICMS, Pis/Cofins, IPI) e taxa financeira</t>
    </r>
  </si>
  <si>
    <t>XH4029G 50g</t>
  </si>
  <si>
    <t>Backer Brown 50g</t>
  </si>
  <si>
    <t>Backer Brown 60g</t>
  </si>
  <si>
    <t>EXW</t>
  </si>
  <si>
    <t>Incoterm Adjust</t>
  </si>
  <si>
    <t>MONOMAX</t>
  </si>
  <si>
    <t>SUNSHINE 0244</t>
  </si>
  <si>
    <t>TECHNOCELL 7936</t>
  </si>
  <si>
    <t>TECHNOCELL 8522</t>
  </si>
  <si>
    <t>HW1831</t>
  </si>
  <si>
    <t>HG5050</t>
  </si>
  <si>
    <t>MUNKSJO 0301</t>
  </si>
  <si>
    <t>SUNSHINE YG0086PW</t>
  </si>
  <si>
    <t>Link P&amp;D</t>
  </si>
  <si>
    <t>link P&amp;D</t>
  </si>
  <si>
    <t>online</t>
  </si>
  <si>
    <t>FF MONOMAX</t>
  </si>
  <si>
    <t>dark beige</t>
  </si>
  <si>
    <t>0104 F</t>
  </si>
  <si>
    <t>Width
 (mm)</t>
  </si>
  <si>
    <t>0086-70</t>
  </si>
  <si>
    <t>0483-68</t>
  </si>
  <si>
    <t>0689-68</t>
  </si>
  <si>
    <t>0248-65</t>
  </si>
  <si>
    <t>Stock Allowance(days)</t>
  </si>
  <si>
    <t>SUNSHINE 0689</t>
  </si>
  <si>
    <t>Atualização de Novembro/25</t>
  </si>
  <si>
    <t>0002-80</t>
  </si>
  <si>
    <t>0244-65</t>
  </si>
  <si>
    <t>0752-68</t>
  </si>
  <si>
    <t>Backing-60</t>
  </si>
  <si>
    <t>9370-70</t>
  </si>
  <si>
    <t>SS Q3</t>
  </si>
  <si>
    <t>SS Q4</t>
  </si>
  <si>
    <t>HW Q3</t>
  </si>
  <si>
    <t>HW Q4</t>
  </si>
  <si>
    <t>KD Q3</t>
  </si>
  <si>
    <t>KD Q4</t>
  </si>
  <si>
    <r>
      <rPr>
        <b/>
        <sz val="11"/>
        <color theme="1"/>
        <rFont val="Aptos Narrow"/>
        <family val="2"/>
      </rPr>
      <t>Δ</t>
    </r>
    <r>
      <rPr>
        <b/>
        <sz val="11"/>
        <color theme="1"/>
        <rFont val="Calibri"/>
        <family val="2"/>
      </rPr>
      <t>%</t>
    </r>
  </si>
  <si>
    <t>Δ%</t>
  </si>
  <si>
    <t>??</t>
  </si>
  <si>
    <t>X</t>
  </si>
  <si>
    <t>KINGDECOR YH0021D</t>
  </si>
  <si>
    <t>dark gray</t>
  </si>
  <si>
    <t>0128K</t>
  </si>
  <si>
    <t>SUNSHINE 0128K ECO</t>
  </si>
  <si>
    <t>CARTIERE 0483</t>
  </si>
  <si>
    <t>CARTIERE 689</t>
  </si>
  <si>
    <t>SW0337</t>
  </si>
  <si>
    <t>CARTIERE SW0337</t>
  </si>
  <si>
    <t>Row Labels</t>
  </si>
  <si>
    <t>Grand Total</t>
  </si>
  <si>
    <t>(Multiple Items)</t>
  </si>
  <si>
    <t>Qty (kg)</t>
  </si>
  <si>
    <t>Avg price</t>
  </si>
  <si>
    <t>Xianhe</t>
  </si>
  <si>
    <t>jan/23</t>
  </si>
  <si>
    <t>fev/23</t>
  </si>
  <si>
    <t>mar/23</t>
  </si>
  <si>
    <t>abr/23</t>
  </si>
  <si>
    <t>mai/23</t>
  </si>
  <si>
    <t>jun/23</t>
  </si>
  <si>
    <t>jul/23</t>
  </si>
  <si>
    <t>ago/23</t>
  </si>
  <si>
    <t>set/23</t>
  </si>
  <si>
    <t>out/23</t>
  </si>
  <si>
    <t>nov/23</t>
  </si>
  <si>
    <t>dez/23</t>
  </si>
  <si>
    <t>jan/24</t>
  </si>
  <si>
    <t>fev/24</t>
  </si>
  <si>
    <t>mar/24</t>
  </si>
  <si>
    <t>abr/24</t>
  </si>
  <si>
    <t>mai/24</t>
  </si>
  <si>
    <t>jun/24</t>
  </si>
  <si>
    <t>jul/24</t>
  </si>
  <si>
    <t>ago/24</t>
  </si>
  <si>
    <t>set/24</t>
  </si>
  <si>
    <t>out/24</t>
  </si>
  <si>
    <t>nov/24</t>
  </si>
  <si>
    <t>dez/24</t>
  </si>
  <si>
    <t>jan/25</t>
  </si>
  <si>
    <t>fev/25</t>
  </si>
  <si>
    <t>mar/25</t>
  </si>
  <si>
    <t>abr/25</t>
  </si>
  <si>
    <t>mai/25</t>
  </si>
  <si>
    <t>jun/25</t>
  </si>
  <si>
    <t>jul/25</t>
  </si>
  <si>
    <t>ago/25</t>
  </si>
  <si>
    <t>set/25</t>
  </si>
  <si>
    <t>out/25</t>
  </si>
  <si>
    <t>nov/25</t>
  </si>
  <si>
    <t>dez/25</t>
  </si>
  <si>
    <t>jan/26</t>
  </si>
  <si>
    <t>fev/26</t>
  </si>
  <si>
    <t>mar/26</t>
  </si>
  <si>
    <t>abr/26</t>
  </si>
  <si>
    <t>mai/26</t>
  </si>
  <si>
    <t>jun/26</t>
  </si>
  <si>
    <t>jul/26</t>
  </si>
  <si>
    <t>ago/26</t>
  </si>
  <si>
    <t>set/26</t>
  </si>
  <si>
    <t>out/26</t>
  </si>
  <si>
    <t>nov/26</t>
  </si>
  <si>
    <t>dez/26</t>
  </si>
  <si>
    <t>Current Price2</t>
  </si>
  <si>
    <t>Payment Terms3</t>
  </si>
  <si>
    <t>pond</t>
  </si>
  <si>
    <t>avg2026</t>
  </si>
  <si>
    <t>2026 YTD</t>
  </si>
  <si>
    <t>0006</t>
  </si>
  <si>
    <t>CARTIERE 0248</t>
  </si>
  <si>
    <t>MALTADECOR M104</t>
  </si>
  <si>
    <t>VF Papéis</t>
  </si>
  <si>
    <t>7004817</t>
  </si>
  <si>
    <t>MALTADECOR 204</t>
  </si>
  <si>
    <t>U204</t>
  </si>
  <si>
    <t>HUAWON HW1641</t>
  </si>
  <si>
    <t>HW1641</t>
  </si>
  <si>
    <t>XH1007</t>
  </si>
  <si>
    <t>Kingdecor XH1007D</t>
  </si>
  <si>
    <t>HW1813</t>
  </si>
  <si>
    <t>XH0021D</t>
  </si>
  <si>
    <t>KD0124D</t>
  </si>
  <si>
    <t>KINGDECOR XH0021D</t>
  </si>
  <si>
    <t>ULTRADECOR 0128</t>
  </si>
  <si>
    <t>RUB</t>
  </si>
  <si>
    <t>RUB/BRL</t>
  </si>
  <si>
    <t>RU</t>
  </si>
  <si>
    <t>&lt;- quebrei o link até que a controladoria volte a atualizar - marcelo 12/05</t>
  </si>
  <si>
    <t>Qifeng</t>
  </si>
  <si>
    <t>Qifeng QF9816-70</t>
  </si>
  <si>
    <t>QF9816</t>
  </si>
  <si>
    <t>7004975</t>
  </si>
  <si>
    <t>SUNSHINE 0247</t>
  </si>
  <si>
    <t>*media*</t>
  </si>
  <si>
    <t>7000488</t>
  </si>
  <si>
    <t>CARTIERE ARGILA 932</t>
  </si>
  <si>
    <t>CARTIERE BACKER BROWN</t>
  </si>
  <si>
    <t>Munksjo ESP</t>
  </si>
  <si>
    <t>Munksjo UNTER</t>
  </si>
  <si>
    <t>Munksjo DETT</t>
  </si>
  <si>
    <t>&lt;- valor da simulação considerando frete ZERO</t>
  </si>
  <si>
    <t>7005636</t>
  </si>
  <si>
    <t>7005635</t>
  </si>
  <si>
    <t xml:space="preserve"> </t>
  </si>
  <si>
    <t>7005629</t>
  </si>
  <si>
    <t>SUNSHINE 2638</t>
  </si>
  <si>
    <t>8291 LOP</t>
  </si>
  <si>
    <t>8292 LOP</t>
  </si>
  <si>
    <t>7005622</t>
  </si>
  <si>
    <t>7000486</t>
  </si>
  <si>
    <t>DEKORPEL BLUE 0497</t>
  </si>
  <si>
    <t>7000446</t>
  </si>
  <si>
    <t>(blank)</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</si>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</sst>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R$&quot;\ * #,##0.00_-;\-&quot;R$&quot;\ * #,##0.00_-;_-&quot;R$&quot;\ * &quot;-&quot;??_-;_-@_-"/>
    <numFmt numFmtId="43" formatCode="_-* #,##0.00_-;\-* #,##0.00_-;_-* &quot;-&quot;??_-;_-@_-"/>
    <numFmt numFmtId="164" formatCode="0.0"/>
    <numFmt numFmtId="165" formatCode="0.0%"/>
    <numFmt numFmtId="166" formatCode="_-* #,##0_-;\-* #,##0_-;_-* &quot;-&quot;??_-;_-@_-"/>
    <numFmt numFmtId="167" formatCode="_-[$R$-416]\ * #,##0.00_-;\-[$R$-416]\ * #,##0.00_-;_-[$R$-416]\ * &quot;-&quot;??_-;_-@_-"/>
    <numFmt numFmtId="168" formatCode="_-[$€-2]\ * #,##0.00_-;\-[$€-2]\ * #,##0.00_-;_-[$€-2]\ * &quot;-&quot;??_-;_-@_-"/>
    <numFmt numFmtId="169" formatCode="_-[$$-409]* #,##0.00_ ;_-[$$-409]* \-#,##0.00\ ;_-[$$-409]* &quot;-&quot;??_ ;_-@_ "/>
    <numFmt numFmtId="170" formatCode="_ [$¥-804]* #,##0.00_ ;_ [$¥-804]* \-#,##0.00_ ;_ [$¥-804]* &quot;-&quot;??_ ;_ @_ "/>
    <numFmt numFmtId="171" formatCode="0000"/>
    <numFmt numFmtId="172" formatCode="_-* #,##0.0_-;\-* #,##0.0_-;_-* &quot;-&quot;??_-;_-@_-"/>
  </numFmts>
  <fonts count="32">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1"/>
      <name val="Calibri"/>
      <family val="2"/>
      <scheme val="minor"/>
    </font>
    <font>
      <sz val="11"/>
      <color rgb="FF000000"/>
      <name val="Calibri"/>
      <family val="2"/>
      <scheme val="minor"/>
    </font>
    <font>
      <sz val="8"/>
      <name val="Calibri"/>
      <family val="2"/>
      <scheme val="minor"/>
    </font>
    <font>
      <sz val="9"/>
      <color indexed="81"/>
      <name val="Tahoma"/>
      <family val="2"/>
    </font>
    <font>
      <b/>
      <sz val="9"/>
      <color indexed="81"/>
      <name val="Tahoma"/>
      <family val="2"/>
    </font>
    <font>
      <sz val="11"/>
      <color rgb="FFFF0000"/>
      <name val="Calibri"/>
      <family val="2"/>
      <scheme val="minor"/>
    </font>
    <font>
      <sz val="11"/>
      <color theme="0"/>
      <name val="Calibri"/>
      <family val="2"/>
      <scheme val="minor"/>
    </font>
    <font>
      <b/>
      <sz val="12"/>
      <name val="Arial"/>
      <family val="2"/>
    </font>
    <font>
      <b/>
      <sz val="10"/>
      <name val="Arial"/>
      <family val="2"/>
    </font>
    <font>
      <b/>
      <sz val="10"/>
      <color indexed="9"/>
      <name val="Arial"/>
      <family val="2"/>
    </font>
    <font>
      <sz val="10"/>
      <name val="Arial"/>
      <family val="2"/>
    </font>
    <font>
      <sz val="10"/>
      <color indexed="9"/>
      <name val="Arial"/>
      <family val="2"/>
    </font>
    <font>
      <i/>
      <sz val="11"/>
      <color theme="1" tint="0.34998626667073579"/>
      <name val="Calibri"/>
      <family val="2"/>
      <scheme val="minor"/>
    </font>
    <font>
      <b/>
      <sz val="11"/>
      <color theme="4"/>
      <name val="Calibri"/>
      <family val="2"/>
      <scheme val="minor"/>
    </font>
    <font>
      <b/>
      <sz val="12"/>
      <name val="Times New Roman"/>
      <family val="1"/>
    </font>
    <font>
      <sz val="12"/>
      <name val="Times New Roman"/>
      <family val="1"/>
    </font>
    <font>
      <sz val="12"/>
      <name val="宋体"/>
      <charset val="134"/>
    </font>
    <font>
      <b/>
      <sz val="14"/>
      <color theme="1"/>
      <name val="Calibri"/>
      <family val="2"/>
      <scheme val="minor"/>
    </font>
    <font>
      <b/>
      <sz val="11"/>
      <color rgb="FFFF0000"/>
      <name val="Calibri"/>
      <family val="2"/>
      <scheme val="minor"/>
    </font>
    <font>
      <i/>
      <sz val="11"/>
      <color theme="1"/>
      <name val="Calibri"/>
      <family val="2"/>
      <scheme val="minor"/>
    </font>
    <font>
      <b/>
      <sz val="11"/>
      <name val="Calibri"/>
      <family val="2"/>
      <scheme val="minor"/>
    </font>
    <font>
      <b/>
      <sz val="11"/>
      <color theme="1"/>
      <name val="Aptos Narrow"/>
      <family val="2"/>
    </font>
    <font>
      <b/>
      <sz val="11"/>
      <color theme="1"/>
      <name val="Calibri"/>
      <family val="2"/>
    </font>
    <font>
      <sz val="11"/>
      <color rgb="FF00B050"/>
      <name val="Calibri"/>
      <family val="2"/>
      <scheme val="minor"/>
    </font>
    <font>
      <sz val="11"/>
      <color theme="0" tint="-0.14999847407452621"/>
      <name val="Calibri"/>
      <family val="2"/>
      <scheme val="minor"/>
    </font>
    <font>
      <sz val="11"/>
      <color theme="4"/>
      <name val="Calibri"/>
      <family val="2"/>
      <scheme val="minor"/>
    </font>
  </fonts>
  <fills count="24">
    <fill>
      <patternFill patternType="none"/>
    </fill>
    <fill>
      <patternFill patternType="gray125"/>
    </fill>
    <fill>
      <patternFill patternType="solid">
        <fgColor theme="4"/>
        <bgColor indexed="64"/>
      </patternFill>
    </fill>
    <fill>
      <patternFill patternType="solid">
        <fgColor theme="7"/>
        <bgColor indexed="64"/>
      </patternFill>
    </fill>
    <fill>
      <patternFill patternType="solid">
        <fgColor theme="9"/>
        <bgColor indexed="64"/>
      </patternFill>
    </fill>
    <fill>
      <patternFill patternType="solid">
        <fgColor rgb="FFFFFF00"/>
        <bgColor indexed="64"/>
      </patternFill>
    </fill>
    <fill>
      <patternFill patternType="solid">
        <fgColor theme="8"/>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indexed="40"/>
        <bgColor indexed="64"/>
      </patternFill>
    </fill>
    <fill>
      <patternFill patternType="solid">
        <fgColor indexed="16"/>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bgColor indexed="64"/>
      </patternFill>
    </fill>
    <fill>
      <patternFill patternType="solid">
        <fgColor theme="2"/>
        <bgColor indexed="64"/>
      </patternFill>
    </fill>
    <fill>
      <patternFill patternType="solid">
        <fgColor theme="4" tint="0.39997558519241921"/>
        <bgColor indexed="64"/>
      </patternFill>
    </fill>
    <fill>
      <patternFill patternType="solid">
        <fgColor theme="8" tint="-0.249977111117893"/>
        <bgColor theme="8" tint="-0.249977111117893"/>
      </patternFill>
    </fill>
  </fills>
  <borders count="3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dotted">
        <color indexed="64"/>
      </right>
      <top/>
      <bottom style="thin">
        <color indexed="64"/>
      </bottom>
      <diagonal/>
    </border>
    <border>
      <left style="dotted">
        <color indexed="64"/>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dotted">
        <color indexed="64"/>
      </right>
      <top/>
      <bottom/>
      <diagonal/>
    </border>
    <border>
      <left style="dotted">
        <color indexed="64"/>
      </left>
      <right/>
      <top/>
      <bottom/>
      <diagonal/>
    </border>
    <border>
      <left style="dashed">
        <color indexed="0"/>
      </left>
      <right style="hair">
        <color indexed="8"/>
      </right>
      <top/>
      <bottom/>
      <diagonal/>
    </border>
    <border>
      <left style="hair">
        <color indexed="8"/>
      </left>
      <right style="dashed">
        <color indexed="0"/>
      </right>
      <top/>
      <bottom/>
      <diagonal/>
    </border>
    <border>
      <left style="dashed">
        <color indexed="0"/>
      </left>
      <right style="dashed">
        <color indexed="0"/>
      </right>
      <top/>
      <bottom/>
      <diagonal/>
    </border>
    <border>
      <left style="dashed">
        <color indexed="0"/>
      </left>
      <right style="medium">
        <color indexed="0"/>
      </right>
      <top/>
      <bottom/>
      <diagonal/>
    </border>
    <border>
      <left style="mediumDashed">
        <color auto="1"/>
      </left>
      <right/>
      <top style="mediumDashed">
        <color auto="1"/>
      </top>
      <bottom/>
      <diagonal/>
    </border>
    <border>
      <left/>
      <right/>
      <top style="mediumDashed">
        <color auto="1"/>
      </top>
      <bottom/>
      <diagonal/>
    </border>
    <border>
      <left/>
      <right style="mediumDashed">
        <color auto="1"/>
      </right>
      <top style="mediumDashed">
        <color auto="1"/>
      </top>
      <bottom/>
      <diagonal/>
    </border>
    <border>
      <left style="mediumDashed">
        <color auto="1"/>
      </left>
      <right/>
      <top/>
      <bottom/>
      <diagonal/>
    </border>
    <border>
      <left/>
      <right style="mediumDashed">
        <color auto="1"/>
      </right>
      <top/>
      <bottom/>
      <diagonal/>
    </border>
    <border>
      <left style="mediumDashed">
        <color auto="1"/>
      </left>
      <right/>
      <top/>
      <bottom style="mediumDashed">
        <color auto="1"/>
      </bottom>
      <diagonal/>
    </border>
    <border>
      <left/>
      <right/>
      <top/>
      <bottom style="mediumDashed">
        <color auto="1"/>
      </bottom>
      <diagonal/>
    </border>
    <border>
      <left/>
      <right style="mediumDashed">
        <color auto="1"/>
      </right>
      <top/>
      <bottom style="mediumDashed">
        <color auto="1"/>
      </bottom>
      <diagonal/>
    </border>
    <border>
      <left style="mediumDashDot">
        <color auto="1"/>
      </left>
      <right style="mediumDashDot">
        <color auto="1"/>
      </right>
      <top style="mediumDashDot">
        <color auto="1"/>
      </top>
      <bottom/>
      <diagonal/>
    </border>
    <border>
      <left style="mediumDashDot">
        <color auto="1"/>
      </left>
      <right style="mediumDashDot">
        <color auto="1"/>
      </right>
      <top/>
      <bottom/>
      <diagonal/>
    </border>
    <border>
      <left style="mediumDashDot">
        <color auto="1"/>
      </left>
      <right style="mediumDashDot">
        <color auto="1"/>
      </right>
      <top/>
      <bottom style="mediumDashDot">
        <color auto="1"/>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8">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6" fillId="0" borderId="0"/>
    <xf numFmtId="0" fontId="16" fillId="0" borderId="0"/>
    <xf numFmtId="43" fontId="16" fillId="0" borderId="0" applyFont="0" applyFill="0" applyBorder="0" applyAlignment="0" applyProtection="0"/>
    <xf numFmtId="43" fontId="16" fillId="0" borderId="0" applyFont="0" applyFill="0" applyBorder="0" applyAlignment="0" applyProtection="0"/>
  </cellStyleXfs>
  <cellXfs count="252">
    <xf numFmtId="0" fontId="0" fillId="0" borderId="0" xfId="0"/>
    <xf numFmtId="0" fontId="0" fillId="0" borderId="0" xfId="0" applyAlignment="1">
      <alignment horizontal="center" vertical="center"/>
    </xf>
    <xf numFmtId="0" fontId="0" fillId="0" borderId="0" xfId="0" applyAlignment="1">
      <alignment horizontal="center" vertical="center" wrapText="1"/>
    </xf>
    <xf numFmtId="10" fontId="0" fillId="0" borderId="0" xfId="0" applyNumberFormat="1"/>
    <xf numFmtId="0" fontId="3" fillId="0" borderId="0" xfId="0" applyFont="1"/>
    <xf numFmtId="0" fontId="0" fillId="0" borderId="0" xfId="0" applyAlignment="1">
      <alignment horizontal="left" vertical="center"/>
    </xf>
    <xf numFmtId="0" fontId="0" fillId="0" borderId="0" xfId="0" applyAlignment="1">
      <alignment horizontal="center"/>
    </xf>
    <xf numFmtId="4" fontId="0" fillId="0" borderId="0" xfId="0" applyNumberFormat="1"/>
    <xf numFmtId="4" fontId="0" fillId="0" borderId="0" xfId="2" applyNumberFormat="1" applyFont="1" applyAlignment="1">
      <alignment horizontal="center"/>
    </xf>
    <xf numFmtId="4" fontId="0" fillId="0" borderId="0" xfId="2" applyNumberFormat="1" applyFont="1"/>
    <xf numFmtId="0" fontId="0" fillId="0" borderId="0" xfId="0" pivotButton="1"/>
    <xf numFmtId="0" fontId="15" fillId="13" borderId="0" xfId="0" applyFont="1" applyFill="1" applyAlignment="1">
      <alignment horizontal="center"/>
    </xf>
    <xf numFmtId="0" fontId="15" fillId="13" borderId="13" xfId="0" applyFont="1" applyFill="1" applyBorder="1" applyAlignment="1">
      <alignment horizontal="center"/>
    </xf>
    <xf numFmtId="0" fontId="15" fillId="13" borderId="14" xfId="0" applyFont="1" applyFill="1" applyBorder="1" applyAlignment="1">
      <alignment horizontal="center"/>
    </xf>
    <xf numFmtId="0" fontId="15" fillId="13" borderId="8" xfId="0" applyFont="1" applyFill="1" applyBorder="1" applyAlignment="1">
      <alignment horizontal="center"/>
    </xf>
    <xf numFmtId="166" fontId="0" fillId="0" borderId="15" xfId="0" applyNumberFormat="1" applyBorder="1"/>
    <xf numFmtId="166" fontId="0" fillId="0" borderId="16" xfId="0" applyNumberFormat="1" applyBorder="1"/>
    <xf numFmtId="4" fontId="0" fillId="0" borderId="16" xfId="0" applyNumberFormat="1" applyBorder="1"/>
    <xf numFmtId="166" fontId="0" fillId="0" borderId="17" xfId="0" applyNumberFormat="1" applyBorder="1"/>
    <xf numFmtId="166" fontId="0" fillId="0" borderId="18" xfId="0" applyNumberFormat="1" applyBorder="1"/>
    <xf numFmtId="0" fontId="13" fillId="8" borderId="0" xfId="0" applyFont="1" applyFill="1" applyAlignment="1">
      <alignment horizontal="center" vertical="center"/>
    </xf>
    <xf numFmtId="0" fontId="17" fillId="13" borderId="0" xfId="0" applyFont="1" applyFill="1" applyAlignment="1">
      <alignment horizontal="center"/>
    </xf>
    <xf numFmtId="0" fontId="4" fillId="0" borderId="0" xfId="0" applyFont="1"/>
    <xf numFmtId="4" fontId="4" fillId="0" borderId="0" xfId="0" applyNumberFormat="1" applyFont="1"/>
    <xf numFmtId="166" fontId="4" fillId="0" borderId="15" xfId="0" applyNumberFormat="1" applyFont="1" applyBorder="1"/>
    <xf numFmtId="0" fontId="16" fillId="8" borderId="0" xfId="0" applyFont="1" applyFill="1" applyAlignment="1">
      <alignment horizontal="center" vertical="center"/>
    </xf>
    <xf numFmtId="17" fontId="16" fillId="0" borderId="0" xfId="0" applyNumberFormat="1" applyFont="1" applyAlignment="1">
      <alignment horizontal="center" vertical="center"/>
    </xf>
    <xf numFmtId="0" fontId="0" fillId="0" borderId="0" xfId="0" applyAlignment="1">
      <alignment horizontal="left"/>
    </xf>
    <xf numFmtId="3" fontId="0" fillId="0" borderId="0" xfId="0" applyNumberFormat="1"/>
    <xf numFmtId="0" fontId="18" fillId="0" borderId="0" xfId="0" applyFont="1" applyAlignment="1">
      <alignment horizontal="center" vertical="center"/>
    </xf>
    <xf numFmtId="0" fontId="18" fillId="0" borderId="0" xfId="0" applyFont="1" applyAlignment="1">
      <alignment horizontal="right" vertical="center"/>
    </xf>
    <xf numFmtId="17" fontId="0" fillId="0" borderId="0" xfId="0" applyNumberFormat="1" applyAlignment="1">
      <alignment horizontal="left"/>
    </xf>
    <xf numFmtId="166" fontId="0" fillId="0" borderId="0" xfId="0" applyNumberFormat="1"/>
    <xf numFmtId="0" fontId="19" fillId="0" borderId="0" xfId="0" applyFont="1" applyAlignment="1">
      <alignment horizontal="center"/>
    </xf>
    <xf numFmtId="0" fontId="0" fillId="5" borderId="0" xfId="0" applyFill="1"/>
    <xf numFmtId="0" fontId="11" fillId="0" borderId="0" xfId="0" applyFont="1"/>
    <xf numFmtId="0" fontId="0" fillId="5" borderId="0" xfId="0" applyFill="1" applyAlignment="1">
      <alignment horizontal="center"/>
    </xf>
    <xf numFmtId="165" fontId="0" fillId="0" borderId="0" xfId="1" applyNumberFormat="1" applyFont="1"/>
    <xf numFmtId="44" fontId="0" fillId="0" borderId="0" xfId="3" applyFont="1"/>
    <xf numFmtId="0" fontId="15" fillId="13" borderId="2" xfId="0" applyFont="1" applyFill="1" applyBorder="1" applyAlignment="1">
      <alignment horizontal="center"/>
    </xf>
    <xf numFmtId="43" fontId="0" fillId="0" borderId="0" xfId="0" applyNumberFormat="1"/>
    <xf numFmtId="44" fontId="0" fillId="0" borderId="0" xfId="0" applyNumberFormat="1"/>
    <xf numFmtId="4" fontId="0" fillId="0" borderId="0" xfId="2" applyNumberFormat="1" applyFont="1" applyAlignment="1">
      <alignment horizontal="center" vertical="center"/>
    </xf>
    <xf numFmtId="4" fontId="0" fillId="0" borderId="0" xfId="0" applyNumberFormat="1" applyAlignment="1">
      <alignment horizontal="center" vertical="center"/>
    </xf>
    <xf numFmtId="17" fontId="0" fillId="0" borderId="0" xfId="0" applyNumberFormat="1"/>
    <xf numFmtId="168" fontId="0" fillId="0" borderId="0" xfId="0" applyNumberFormat="1"/>
    <xf numFmtId="169" fontId="0" fillId="0" borderId="0" xfId="0" applyNumberFormat="1"/>
    <xf numFmtId="167" fontId="0" fillId="5" borderId="0" xfId="0" applyNumberFormat="1" applyFill="1"/>
    <xf numFmtId="4" fontId="0" fillId="0" borderId="0" xfId="2" applyNumberFormat="1" applyFont="1" applyAlignment="1">
      <alignment horizontal="right" vertical="center"/>
    </xf>
    <xf numFmtId="4" fontId="0" fillId="0" borderId="0" xfId="0" applyNumberFormat="1" applyAlignment="1">
      <alignment horizontal="right" vertical="center"/>
    </xf>
    <xf numFmtId="44" fontId="0" fillId="6" borderId="0" xfId="3" applyFont="1" applyFill="1"/>
    <xf numFmtId="168" fontId="0" fillId="6" borderId="0" xfId="0" applyNumberFormat="1" applyFill="1"/>
    <xf numFmtId="169" fontId="0" fillId="6" borderId="0" xfId="0" applyNumberFormat="1" applyFill="1"/>
    <xf numFmtId="167" fontId="0" fillId="6" borderId="0" xfId="0" applyNumberFormat="1" applyFill="1"/>
    <xf numFmtId="0" fontId="21" fillId="0" borderId="1" xfId="0" applyFont="1" applyBorder="1" applyAlignment="1">
      <alignment horizontal="center" vertical="center" wrapText="1"/>
    </xf>
    <xf numFmtId="1" fontId="21" fillId="0" borderId="1" xfId="0" applyNumberFormat="1" applyFont="1" applyBorder="1" applyAlignment="1">
      <alignment horizontal="center" vertical="center" wrapText="1"/>
    </xf>
    <xf numFmtId="0" fontId="6" fillId="0" borderId="1" xfId="0" applyFont="1" applyBorder="1" applyAlignment="1">
      <alignment horizontal="left" vertical="center" wrapText="1"/>
    </xf>
    <xf numFmtId="0" fontId="0" fillId="0" borderId="1" xfId="0" applyBorder="1"/>
    <xf numFmtId="170" fontId="0" fillId="0" borderId="0" xfId="0" applyNumberFormat="1"/>
    <xf numFmtId="0" fontId="3" fillId="0" borderId="0" xfId="0" applyFont="1" applyAlignment="1">
      <alignment horizontal="center"/>
    </xf>
    <xf numFmtId="4" fontId="6" fillId="0" borderId="1" xfId="0" applyNumberFormat="1" applyFont="1" applyBorder="1" applyAlignment="1">
      <alignment horizontal="right" vertical="center" wrapText="1"/>
    </xf>
    <xf numFmtId="4" fontId="3" fillId="0" borderId="1" xfId="0" applyNumberFormat="1" applyFont="1" applyBorder="1" applyAlignment="1">
      <alignment horizontal="right"/>
    </xf>
    <xf numFmtId="4" fontId="0" fillId="0" borderId="1" xfId="0" applyNumberFormat="1" applyBorder="1" applyAlignment="1">
      <alignment horizontal="right"/>
    </xf>
    <xf numFmtId="0" fontId="0" fillId="16" borderId="1" xfId="0" applyFill="1" applyBorder="1"/>
    <xf numFmtId="0" fontId="6" fillId="16" borderId="1" xfId="0" applyFont="1" applyFill="1" applyBorder="1" applyAlignment="1">
      <alignment horizontal="left" vertical="center" wrapText="1"/>
    </xf>
    <xf numFmtId="4" fontId="6" fillId="16" borderId="1" xfId="0" applyNumberFormat="1" applyFont="1" applyFill="1" applyBorder="1" applyAlignment="1">
      <alignment horizontal="right" vertical="center" wrapText="1"/>
    </xf>
    <xf numFmtId="4" fontId="3" fillId="16" borderId="1" xfId="0" applyNumberFormat="1" applyFont="1" applyFill="1" applyBorder="1" applyAlignment="1">
      <alignment horizontal="right"/>
    </xf>
    <xf numFmtId="0" fontId="0" fillId="10" borderId="1" xfId="0" applyFill="1" applyBorder="1"/>
    <xf numFmtId="0" fontId="6" fillId="10" borderId="1" xfId="0" applyFont="1" applyFill="1" applyBorder="1" applyAlignment="1">
      <alignment horizontal="left" vertical="center" wrapText="1"/>
    </xf>
    <xf numFmtId="4" fontId="0" fillId="10" borderId="1" xfId="0" applyNumberFormat="1" applyFill="1" applyBorder="1" applyAlignment="1">
      <alignment horizontal="right"/>
    </xf>
    <xf numFmtId="4" fontId="6" fillId="10" borderId="1" xfId="0" applyNumberFormat="1" applyFont="1" applyFill="1" applyBorder="1" applyAlignment="1">
      <alignment horizontal="right" vertical="center" wrapText="1"/>
    </xf>
    <xf numFmtId="4" fontId="3" fillId="10" borderId="1" xfId="0" applyNumberFormat="1" applyFont="1" applyFill="1" applyBorder="1" applyAlignment="1">
      <alignment horizontal="right"/>
    </xf>
    <xf numFmtId="0" fontId="23" fillId="0" borderId="0" xfId="0" applyFont="1"/>
    <xf numFmtId="165" fontId="24" fillId="0" borderId="0" xfId="1" applyNumberFormat="1" applyFont="1"/>
    <xf numFmtId="4" fontId="0" fillId="0" borderId="0" xfId="0" applyNumberFormat="1" applyAlignment="1">
      <alignment horizontal="center"/>
    </xf>
    <xf numFmtId="165" fontId="6" fillId="16" borderId="1" xfId="1" applyNumberFormat="1" applyFont="1" applyFill="1" applyBorder="1" applyAlignment="1">
      <alignment horizontal="right" vertical="center" wrapText="1"/>
    </xf>
    <xf numFmtId="4" fontId="11" fillId="16" borderId="1" xfId="0" applyNumberFormat="1" applyFont="1" applyFill="1" applyBorder="1" applyAlignment="1">
      <alignment horizontal="right" vertical="center" wrapText="1"/>
    </xf>
    <xf numFmtId="0" fontId="23" fillId="0" borderId="19" xfId="0" applyFont="1" applyBorder="1"/>
    <xf numFmtId="0" fontId="0" fillId="0" borderId="20" xfId="0" applyBorder="1"/>
    <xf numFmtId="0" fontId="0" fillId="0" borderId="21" xfId="0" applyBorder="1"/>
    <xf numFmtId="0" fontId="0" fillId="0" borderId="22" xfId="0" applyBorder="1"/>
    <xf numFmtId="0" fontId="0" fillId="0" borderId="23" xfId="0" applyBorder="1"/>
    <xf numFmtId="0" fontId="3" fillId="0" borderId="22" xfId="0" applyFont="1" applyBorder="1"/>
    <xf numFmtId="17" fontId="0" fillId="7" borderId="0" xfId="0" applyNumberFormat="1" applyFill="1" applyAlignment="1">
      <alignment horizontal="center"/>
    </xf>
    <xf numFmtId="9" fontId="0" fillId="18" borderId="0" xfId="0" applyNumberFormat="1" applyFill="1" applyAlignment="1">
      <alignment horizontal="center"/>
    </xf>
    <xf numFmtId="0" fontId="0" fillId="15" borderId="0" xfId="0" applyFill="1" applyAlignment="1">
      <alignment horizontal="center"/>
    </xf>
    <xf numFmtId="9" fontId="6" fillId="18" borderId="0" xfId="0" applyNumberFormat="1" applyFont="1" applyFill="1" applyAlignment="1">
      <alignment horizontal="center"/>
    </xf>
    <xf numFmtId="0" fontId="3" fillId="20" borderId="0" xfId="0" applyFont="1" applyFill="1" applyAlignment="1">
      <alignment horizontal="center"/>
    </xf>
    <xf numFmtId="0" fontId="3" fillId="20" borderId="0" xfId="0" applyFont="1" applyFill="1"/>
    <xf numFmtId="44" fontId="0" fillId="19" borderId="0" xfId="3" applyFont="1" applyFill="1" applyBorder="1"/>
    <xf numFmtId="0" fontId="3" fillId="10" borderId="22" xfId="0" applyFont="1" applyFill="1" applyBorder="1" applyAlignment="1">
      <alignment vertical="center"/>
    </xf>
    <xf numFmtId="43" fontId="0" fillId="10" borderId="0" xfId="2" applyFont="1" applyFill="1" applyBorder="1" applyAlignment="1">
      <alignment vertical="center"/>
    </xf>
    <xf numFmtId="0" fontId="0" fillId="3" borderId="0" xfId="0" applyFill="1" applyAlignment="1">
      <alignment vertical="center"/>
    </xf>
    <xf numFmtId="167" fontId="0" fillId="3" borderId="0" xfId="0" applyNumberFormat="1" applyFill="1" applyAlignment="1">
      <alignment vertical="center"/>
    </xf>
    <xf numFmtId="0" fontId="0" fillId="0" borderId="24" xfId="0" applyBorder="1"/>
    <xf numFmtId="0" fontId="0" fillId="0" borderId="25" xfId="0" applyBorder="1"/>
    <xf numFmtId="0" fontId="0" fillId="0" borderId="26" xfId="0" applyBorder="1"/>
    <xf numFmtId="0" fontId="3" fillId="0" borderId="27" xfId="0" applyFont="1" applyBorder="1"/>
    <xf numFmtId="0" fontId="0" fillId="0" borderId="28" xfId="0" quotePrefix="1" applyBorder="1"/>
    <xf numFmtId="0" fontId="0" fillId="0" borderId="28" xfId="0" applyBorder="1"/>
    <xf numFmtId="0" fontId="3" fillId="0" borderId="28" xfId="0" applyFont="1" applyBorder="1"/>
    <xf numFmtId="165" fontId="6" fillId="9" borderId="0" xfId="0" applyNumberFormat="1" applyFont="1" applyFill="1" applyAlignment="1">
      <alignment horizontal="center" vertical="center"/>
    </xf>
    <xf numFmtId="0" fontId="0" fillId="21" borderId="0" xfId="0" applyFill="1"/>
    <xf numFmtId="0" fontId="0" fillId="0" borderId="29" xfId="0" applyBorder="1"/>
    <xf numFmtId="17" fontId="0" fillId="15" borderId="0" xfId="0" applyNumberFormat="1" applyFill="1" applyAlignment="1">
      <alignment horizontal="center"/>
    </xf>
    <xf numFmtId="17" fontId="0" fillId="10" borderId="0" xfId="3" applyNumberFormat="1" applyFont="1" applyFill="1" applyBorder="1"/>
    <xf numFmtId="0" fontId="25" fillId="0" borderId="0" xfId="0" applyFont="1"/>
    <xf numFmtId="0" fontId="11" fillId="0" borderId="28" xfId="0" applyFont="1" applyBorder="1"/>
    <xf numFmtId="3" fontId="15" fillId="13" borderId="13" xfId="0" applyNumberFormat="1" applyFont="1" applyFill="1" applyBorder="1" applyAlignment="1">
      <alignment horizontal="center"/>
    </xf>
    <xf numFmtId="3" fontId="0" fillId="0" borderId="16" xfId="0" applyNumberFormat="1" applyBorder="1"/>
    <xf numFmtId="3" fontId="0" fillId="0" borderId="0" xfId="0" applyNumberFormat="1" applyAlignment="1">
      <alignment horizontal="center"/>
    </xf>
    <xf numFmtId="3" fontId="16" fillId="0" borderId="0" xfId="5" applyNumberFormat="1"/>
    <xf numFmtId="3" fontId="7" fillId="0" borderId="0" xfId="0" applyNumberFormat="1" applyFont="1"/>
    <xf numFmtId="14" fontId="0" fillId="0" borderId="0" xfId="0" applyNumberFormat="1" applyAlignment="1">
      <alignment horizontal="center"/>
    </xf>
    <xf numFmtId="43" fontId="0" fillId="0" borderId="1" xfId="2" applyFont="1" applyBorder="1"/>
    <xf numFmtId="43" fontId="0" fillId="0" borderId="0" xfId="2" applyFont="1"/>
    <xf numFmtId="0" fontId="0" fillId="7" borderId="1" xfId="0" applyFill="1" applyBorder="1" applyAlignment="1">
      <alignment horizontal="center"/>
    </xf>
    <xf numFmtId="0" fontId="3" fillId="7" borderId="1" xfId="0" applyFont="1" applyFill="1" applyBorder="1" applyAlignment="1">
      <alignment horizontal="center"/>
    </xf>
    <xf numFmtId="0" fontId="3" fillId="10" borderId="1" xfId="0" applyFont="1" applyFill="1" applyBorder="1" applyAlignment="1">
      <alignment horizontal="center"/>
    </xf>
    <xf numFmtId="0" fontId="3" fillId="9" borderId="1" xfId="0" applyFont="1" applyFill="1" applyBorder="1" applyAlignment="1">
      <alignment horizontal="center"/>
    </xf>
    <xf numFmtId="4" fontId="3" fillId="16" borderId="0" xfId="0" applyNumberFormat="1" applyFont="1" applyFill="1" applyAlignment="1">
      <alignment horizontal="right"/>
    </xf>
    <xf numFmtId="4" fontId="3" fillId="0" borderId="0" xfId="0" applyNumberFormat="1" applyFont="1" applyAlignment="1">
      <alignment horizontal="right"/>
    </xf>
    <xf numFmtId="4" fontId="3" fillId="10" borderId="0" xfId="0" applyNumberFormat="1" applyFont="1" applyFill="1" applyAlignment="1">
      <alignment horizontal="right"/>
    </xf>
    <xf numFmtId="165" fontId="6" fillId="16" borderId="0" xfId="1" applyNumberFormat="1" applyFont="1" applyFill="1" applyBorder="1" applyAlignment="1">
      <alignment horizontal="right" vertical="center" wrapText="1"/>
    </xf>
    <xf numFmtId="165" fontId="0" fillId="0" borderId="1" xfId="1" applyNumberFormat="1" applyFont="1" applyBorder="1" applyAlignment="1">
      <alignment horizontal="center"/>
    </xf>
    <xf numFmtId="43" fontId="0" fillId="0" borderId="1" xfId="2" applyFont="1" applyBorder="1" applyAlignment="1">
      <alignment horizontal="center"/>
    </xf>
    <xf numFmtId="43" fontId="0" fillId="0" borderId="0" xfId="2" applyFont="1" applyAlignment="1">
      <alignment horizontal="center"/>
    </xf>
    <xf numFmtId="4" fontId="6" fillId="16" borderId="1" xfId="0" applyNumberFormat="1" applyFont="1" applyFill="1" applyBorder="1" applyAlignment="1">
      <alignment horizontal="center" vertical="center" wrapText="1"/>
    </xf>
    <xf numFmtId="4" fontId="6" fillId="0" borderId="1" xfId="0" applyNumberFormat="1" applyFont="1" applyBorder="1" applyAlignment="1">
      <alignment horizontal="center" vertical="center" wrapText="1"/>
    </xf>
    <xf numFmtId="4" fontId="0" fillId="10" borderId="1" xfId="0" applyNumberFormat="1" applyFill="1" applyBorder="1" applyAlignment="1">
      <alignment horizontal="center"/>
    </xf>
    <xf numFmtId="4" fontId="0" fillId="0" borderId="1" xfId="0" applyNumberFormat="1" applyBorder="1" applyAlignment="1">
      <alignment horizontal="center"/>
    </xf>
    <xf numFmtId="0" fontId="28" fillId="7" borderId="1" xfId="0" applyFont="1" applyFill="1" applyBorder="1" applyAlignment="1">
      <alignment horizontal="center"/>
    </xf>
    <xf numFmtId="43" fontId="11" fillId="0" borderId="1" xfId="2" applyFont="1" applyBorder="1" applyAlignment="1">
      <alignment horizontal="right"/>
    </xf>
    <xf numFmtId="165" fontId="29" fillId="0" borderId="1" xfId="1" applyNumberFormat="1" applyFont="1" applyBorder="1" applyAlignment="1">
      <alignment horizontal="center"/>
    </xf>
    <xf numFmtId="168" fontId="30" fillId="0" borderId="0" xfId="0" applyNumberFormat="1" applyFont="1"/>
    <xf numFmtId="169" fontId="30" fillId="0" borderId="0" xfId="0" applyNumberFormat="1" applyFont="1"/>
    <xf numFmtId="0" fontId="0" fillId="0" borderId="31" xfId="0" pivotButton="1" applyBorder="1" applyAlignment="1">
      <alignment horizontal="center" vertical="center" wrapText="1"/>
    </xf>
    <xf numFmtId="4" fontId="0" fillId="0" borderId="31" xfId="0" pivotButton="1" applyNumberFormat="1" applyBorder="1" applyAlignment="1">
      <alignment horizontal="center" vertical="center" wrapText="1"/>
    </xf>
    <xf numFmtId="0" fontId="12" fillId="23" borderId="31" xfId="0" applyFont="1" applyFill="1" applyBorder="1" applyAlignment="1">
      <alignment horizontal="center" vertical="center" wrapText="1"/>
    </xf>
    <xf numFmtId="14" fontId="0" fillId="0" borderId="0" xfId="0" applyNumberFormat="1"/>
    <xf numFmtId="3" fontId="0" fillId="0" borderId="31" xfId="0" pivotButton="1" applyNumberFormat="1" applyBorder="1" applyAlignment="1">
      <alignment horizontal="center" vertical="center" wrapText="1"/>
    </xf>
    <xf numFmtId="3" fontId="0" fillId="0" borderId="0" xfId="2" applyNumberFormat="1" applyFont="1" applyAlignment="1">
      <alignment horizontal="center" vertical="center"/>
    </xf>
    <xf numFmtId="3" fontId="0" fillId="0" borderId="0" xfId="0" applyNumberFormat="1" applyAlignment="1">
      <alignment horizontal="center" vertical="center"/>
    </xf>
    <xf numFmtId="172" fontId="0" fillId="0" borderId="0" xfId="0" applyNumberFormat="1"/>
    <xf numFmtId="3" fontId="0" fillId="0" borderId="0" xfId="0" applyNumberFormat="1" applyAlignment="1">
      <alignment horizontal="right"/>
    </xf>
    <xf numFmtId="14" fontId="7" fillId="17" borderId="1" xfId="0" applyNumberFormat="1" applyFont="1" applyFill="1" applyBorder="1" applyAlignment="1">
      <alignment vertical="center" shrinkToFit="1"/>
    </xf>
    <xf numFmtId="4" fontId="7" fillId="0" borderId="1" xfId="0" applyNumberFormat="1" applyFont="1" applyBorder="1" applyAlignment="1">
      <alignment vertical="center" shrinkToFit="1"/>
    </xf>
    <xf numFmtId="4" fontId="0" fillId="0" borderId="1" xfId="2" applyNumberFormat="1" applyFont="1" applyBorder="1" applyAlignment="1" applyProtection="1">
      <alignment vertic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protection locked="0"/>
    </xf>
    <xf numFmtId="43" fontId="0" fillId="0" borderId="0" xfId="2" applyFont="1" applyAlignment="1" applyProtection="1">
      <alignment horizontal="right" vertical="center"/>
      <protection locked="0"/>
    </xf>
    <xf numFmtId="4" fontId="0" fillId="0" borderId="0" xfId="2" applyNumberFormat="1" applyFont="1" applyAlignment="1" applyProtection="1">
      <alignment vertical="center"/>
      <protection locked="0"/>
    </xf>
    <xf numFmtId="43" fontId="0" fillId="0" borderId="0" xfId="2" applyFont="1" applyAlignment="1" applyProtection="1">
      <alignment vertical="center"/>
      <protection locked="0"/>
    </xf>
    <xf numFmtId="0" fontId="18" fillId="0" borderId="0" xfId="0" applyFont="1" applyAlignment="1" applyProtection="1">
      <alignment horizontal="center" vertical="center"/>
      <protection locked="0"/>
    </xf>
    <xf numFmtId="0" fontId="18" fillId="0" borderId="0" xfId="0" applyFont="1" applyAlignment="1" applyProtection="1">
      <alignment horizontal="right" vertical="center"/>
      <protection locked="0"/>
    </xf>
    <xf numFmtId="0" fontId="3" fillId="10" borderId="0" xfId="0" applyFont="1" applyFill="1" applyAlignment="1" applyProtection="1">
      <alignment vertical="center"/>
      <protection locked="0"/>
    </xf>
    <xf numFmtId="0" fontId="0" fillId="5" borderId="0" xfId="0" applyFill="1" applyAlignment="1" applyProtection="1">
      <alignment horizontal="center" vertical="center"/>
      <protection locked="0"/>
    </xf>
    <xf numFmtId="0" fontId="2" fillId="2" borderId="32" xfId="0" applyFont="1" applyFill="1" applyBorder="1" applyAlignment="1" applyProtection="1">
      <alignment horizontal="center" vertical="center" wrapText="1"/>
      <protection locked="0"/>
    </xf>
    <xf numFmtId="0" fontId="2" fillId="2" borderId="33" xfId="0" applyFont="1" applyFill="1" applyBorder="1" applyAlignment="1" applyProtection="1">
      <alignment horizontal="center" vertical="center" wrapText="1"/>
      <protection locked="0"/>
    </xf>
    <xf numFmtId="0" fontId="2" fillId="2" borderId="33" xfId="0" applyFont="1" applyFill="1" applyBorder="1" applyAlignment="1" applyProtection="1">
      <alignment horizontal="left" vertical="center" wrapText="1"/>
      <protection locked="0"/>
    </xf>
    <xf numFmtId="0" fontId="2" fillId="4" borderId="33" xfId="0" applyFont="1" applyFill="1" applyBorder="1" applyAlignment="1" applyProtection="1">
      <alignment horizontal="center" vertical="center" wrapText="1"/>
      <protection locked="0"/>
    </xf>
    <xf numFmtId="17" fontId="2" fillId="2" borderId="33" xfId="0" applyNumberFormat="1" applyFont="1" applyFill="1" applyBorder="1" applyAlignment="1" applyProtection="1">
      <alignment horizontal="center" vertical="center" wrapText="1"/>
      <protection locked="0"/>
    </xf>
    <xf numFmtId="17" fontId="2" fillId="11" borderId="33" xfId="0" applyNumberFormat="1" applyFont="1" applyFill="1" applyBorder="1" applyAlignment="1" applyProtection="1">
      <alignment horizontal="center" vertical="center" wrapText="1"/>
      <protection locked="0"/>
    </xf>
    <xf numFmtId="17" fontId="2" fillId="7" borderId="33" xfId="0" applyNumberFormat="1" applyFont="1" applyFill="1" applyBorder="1" applyAlignment="1" applyProtection="1">
      <alignment horizontal="center" vertical="center" wrapText="1"/>
      <protection locked="0"/>
    </xf>
    <xf numFmtId="17" fontId="2" fillId="22" borderId="33" xfId="0" applyNumberFormat="1" applyFont="1" applyFill="1" applyBorder="1" applyAlignment="1" applyProtection="1">
      <alignment horizontal="center" vertical="center" wrapText="1"/>
      <protection locked="0"/>
    </xf>
    <xf numFmtId="0" fontId="5" fillId="3" borderId="33" xfId="0" applyFont="1" applyFill="1" applyBorder="1" applyAlignment="1" applyProtection="1">
      <alignment horizontal="center" vertical="center" wrapText="1"/>
      <protection locked="0"/>
    </xf>
    <xf numFmtId="0" fontId="5" fillId="17" borderId="33" xfId="0" applyFont="1" applyFill="1" applyBorder="1" applyAlignment="1" applyProtection="1">
      <alignment horizontal="center" vertical="center" wrapText="1"/>
      <protection locked="0"/>
    </xf>
    <xf numFmtId="43" fontId="6" fillId="8" borderId="33" xfId="2" applyFont="1" applyFill="1" applyBorder="1" applyAlignment="1" applyProtection="1">
      <alignment horizontal="center" vertical="center" wrapText="1"/>
      <protection locked="0"/>
    </xf>
    <xf numFmtId="4" fontId="6" fillId="8" borderId="33" xfId="2" applyNumberFormat="1" applyFont="1" applyFill="1" applyBorder="1" applyAlignment="1" applyProtection="1">
      <alignment horizontal="center" vertical="center" wrapText="1"/>
      <protection locked="0"/>
    </xf>
    <xf numFmtId="43" fontId="2" fillId="6" borderId="33" xfId="2" applyFont="1" applyFill="1" applyBorder="1" applyAlignment="1" applyProtection="1">
      <alignment horizontal="center" vertical="center" wrapText="1"/>
      <protection locked="0"/>
    </xf>
    <xf numFmtId="0" fontId="2" fillId="6" borderId="33" xfId="0" applyFont="1" applyFill="1" applyBorder="1" applyAlignment="1" applyProtection="1">
      <alignment horizontal="center" vertical="center" wrapText="1"/>
      <protection locked="0"/>
    </xf>
    <xf numFmtId="0" fontId="6" fillId="8" borderId="33" xfId="0" applyFont="1" applyFill="1" applyBorder="1" applyAlignment="1" applyProtection="1">
      <alignment horizontal="center" vertical="center" wrapText="1"/>
      <protection locked="0"/>
    </xf>
    <xf numFmtId="0" fontId="26" fillId="8" borderId="33" xfId="0" applyFont="1" applyFill="1" applyBorder="1" applyAlignment="1" applyProtection="1">
      <alignment horizontal="center" vertical="center" wrapText="1"/>
      <protection locked="0"/>
    </xf>
    <xf numFmtId="0" fontId="3" fillId="8" borderId="34" xfId="0" applyFont="1" applyFill="1"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30" xfId="0" applyBorder="1" applyAlignment="1" applyProtection="1">
      <alignment horizontal="center" vertical="center"/>
      <protection locked="0"/>
    </xf>
    <xf numFmtId="171"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protection locked="0"/>
    </xf>
    <xf numFmtId="0" fontId="6" fillId="0" borderId="1" xfId="0" applyFont="1" applyBorder="1" applyProtection="1">
      <protection locked="0"/>
    </xf>
    <xf numFmtId="9" fontId="6" fillId="0" borderId="1" xfId="0" applyNumberFormat="1" applyFont="1" applyBorder="1" applyAlignment="1" applyProtection="1">
      <alignment horizontal="center" vertical="center" wrapText="1"/>
      <protection locked="0"/>
    </xf>
    <xf numFmtId="10" fontId="6" fillId="0" borderId="1" xfId="0" applyNumberFormat="1" applyFont="1" applyBorder="1" applyAlignment="1" applyProtection="1">
      <alignment horizontal="center" vertical="center" wrapText="1"/>
      <protection locked="0"/>
    </xf>
    <xf numFmtId="0" fontId="6" fillId="0" borderId="1" xfId="0" applyFont="1" applyBorder="1" applyAlignment="1" applyProtection="1">
      <alignment horizontal="center" vertical="center" wrapText="1"/>
      <protection locked="0"/>
    </xf>
    <xf numFmtId="4" fontId="7" fillId="0" borderId="1" xfId="0" applyNumberFormat="1" applyFont="1" applyBorder="1" applyAlignment="1" applyProtection="1">
      <alignment vertical="center" shrinkToFit="1"/>
      <protection locked="0"/>
    </xf>
    <xf numFmtId="0" fontId="0" fillId="0" borderId="1" xfId="0" applyBorder="1" applyAlignment="1" applyProtection="1">
      <alignment vertical="center"/>
      <protection locked="0"/>
    </xf>
    <xf numFmtId="171" fontId="0" fillId="0" borderId="36" xfId="0" applyNumberFormat="1" applyBorder="1" applyAlignment="1" applyProtection="1">
      <alignment horizontal="center" vertical="center"/>
      <protection locked="0"/>
    </xf>
    <xf numFmtId="9" fontId="11" fillId="0" borderId="0" xfId="1" applyFont="1" applyAlignment="1" applyProtection="1">
      <alignment horizontal="center" vertical="center"/>
      <protection locked="0"/>
    </xf>
    <xf numFmtId="171" fontId="6" fillId="0" borderId="1" xfId="0" applyNumberFormat="1" applyFont="1" applyBorder="1" applyAlignment="1" applyProtection="1">
      <alignment horizontal="center" vertical="center"/>
      <protection locked="0"/>
    </xf>
    <xf numFmtId="0" fontId="6" fillId="0" borderId="1" xfId="0" applyFont="1" applyBorder="1" applyAlignment="1" applyProtection="1">
      <alignment horizontal="left"/>
      <protection locked="0"/>
    </xf>
    <xf numFmtId="1" fontId="7" fillId="0" borderId="1" xfId="0" applyNumberFormat="1" applyFont="1" applyBorder="1" applyAlignment="1" applyProtection="1">
      <alignment horizontal="center" vertical="center" shrinkToFit="1"/>
      <protection locked="0"/>
    </xf>
    <xf numFmtId="0" fontId="6" fillId="0" borderId="1" xfId="0" applyFont="1" applyBorder="1" applyAlignment="1" applyProtection="1">
      <alignment horizontal="left" vertical="center" wrapText="1"/>
      <protection locked="0"/>
    </xf>
    <xf numFmtId="0" fontId="6" fillId="0" borderId="1" xfId="0" applyFont="1" applyBorder="1" applyAlignment="1" applyProtection="1">
      <alignment vertical="center" wrapText="1"/>
      <protection locked="0"/>
    </xf>
    <xf numFmtId="164" fontId="7" fillId="0" borderId="1" xfId="0" applyNumberFormat="1" applyFont="1" applyBorder="1" applyAlignment="1" applyProtection="1">
      <alignment horizontal="center" vertical="center" shrinkToFit="1"/>
      <protection locked="0"/>
    </xf>
    <xf numFmtId="49" fontId="0" fillId="0" borderId="1" xfId="0" quotePrefix="1" applyNumberFormat="1" applyBorder="1" applyAlignment="1" applyProtection="1">
      <alignment horizontal="center" vertical="center"/>
      <protection locked="0"/>
    </xf>
    <xf numFmtId="0" fontId="0" fillId="0" borderId="35" xfId="0" applyBorder="1" applyAlignment="1" applyProtection="1">
      <alignment horizontal="center" vertical="center"/>
      <protection locked="0"/>
    </xf>
    <xf numFmtId="0" fontId="0" fillId="0" borderId="36" xfId="0" applyBorder="1" applyAlignment="1" applyProtection="1">
      <alignment horizontal="center" vertical="center"/>
      <protection locked="0"/>
    </xf>
    <xf numFmtId="0" fontId="0" fillId="0" borderId="36" xfId="0" applyBorder="1" applyAlignment="1" applyProtection="1">
      <alignment horizontal="left" vertical="center"/>
      <protection locked="0"/>
    </xf>
    <xf numFmtId="0" fontId="0" fillId="0" borderId="36" xfId="0" applyBorder="1" applyAlignment="1" applyProtection="1">
      <alignment vertical="center"/>
      <protection locked="0"/>
    </xf>
    <xf numFmtId="0" fontId="6" fillId="0" borderId="36" xfId="0" applyFont="1" applyBorder="1" applyAlignment="1" applyProtection="1">
      <alignment horizontal="center" vertical="center" wrapText="1"/>
      <protection locked="0"/>
    </xf>
    <xf numFmtId="9" fontId="6" fillId="0" borderId="36" xfId="0" applyNumberFormat="1" applyFont="1" applyBorder="1" applyAlignment="1" applyProtection="1">
      <alignment horizontal="center" vertical="center" wrapText="1"/>
      <protection locked="0"/>
    </xf>
    <xf numFmtId="10" fontId="6" fillId="0" borderId="36" xfId="0" applyNumberFormat="1" applyFont="1" applyBorder="1" applyAlignment="1" applyProtection="1">
      <alignment horizontal="center" vertical="center" wrapText="1"/>
      <protection locked="0"/>
    </xf>
    <xf numFmtId="4" fontId="7" fillId="0" borderId="36" xfId="0" applyNumberFormat="1" applyFont="1" applyBorder="1" applyAlignment="1" applyProtection="1">
      <alignment vertical="center" shrinkToFit="1"/>
      <protection locked="0"/>
    </xf>
    <xf numFmtId="49" fontId="0" fillId="0" borderId="35" xfId="0" applyNumberFormat="1" applyBorder="1" applyAlignment="1" applyProtection="1">
      <alignment horizontal="center" vertical="center"/>
      <protection locked="0"/>
    </xf>
    <xf numFmtId="4" fontId="0" fillId="0" borderId="0" xfId="0" applyNumberFormat="1" applyAlignment="1" applyProtection="1">
      <alignment vertical="center"/>
      <protection locked="0"/>
    </xf>
    <xf numFmtId="43" fontId="0" fillId="10" borderId="0" xfId="2" applyFont="1" applyFill="1" applyAlignment="1" applyProtection="1">
      <alignment vertical="center"/>
    </xf>
    <xf numFmtId="4" fontId="6" fillId="9" borderId="0" xfId="2" applyNumberFormat="1" applyFont="1" applyFill="1" applyAlignment="1" applyProtection="1">
      <alignment vertical="center"/>
    </xf>
    <xf numFmtId="4" fontId="11" fillId="9" borderId="0" xfId="2" applyNumberFormat="1" applyFont="1" applyFill="1" applyAlignment="1" applyProtection="1">
      <alignment vertical="center"/>
    </xf>
    <xf numFmtId="10" fontId="11" fillId="9" borderId="0" xfId="0" applyNumberFormat="1" applyFont="1" applyFill="1" applyAlignment="1">
      <alignment horizontal="center" vertical="center"/>
    </xf>
    <xf numFmtId="165" fontId="0" fillId="0" borderId="1" xfId="1" applyNumberFormat="1" applyFont="1" applyFill="1" applyBorder="1" applyAlignment="1" applyProtection="1">
      <alignment vertical="center"/>
    </xf>
    <xf numFmtId="43" fontId="0" fillId="0" borderId="1" xfId="2" applyFont="1" applyBorder="1" applyAlignment="1" applyProtection="1">
      <alignment vertical="center"/>
    </xf>
    <xf numFmtId="43" fontId="0" fillId="14" borderId="1" xfId="2" applyFont="1" applyFill="1" applyBorder="1" applyAlignment="1" applyProtection="1">
      <alignment vertical="center"/>
    </xf>
    <xf numFmtId="43" fontId="0" fillId="14" borderId="1" xfId="0" applyNumberFormat="1" applyFill="1" applyBorder="1" applyAlignment="1">
      <alignment vertical="center"/>
    </xf>
    <xf numFmtId="0" fontId="0" fillId="0" borderId="1" xfId="0" applyBorder="1" applyAlignment="1">
      <alignment horizontal="center" vertical="center"/>
    </xf>
    <xf numFmtId="4" fontId="0" fillId="0" borderId="1" xfId="0" applyNumberFormat="1" applyBorder="1" applyAlignment="1">
      <alignment vertical="center"/>
    </xf>
    <xf numFmtId="43" fontId="0" fillId="8" borderId="1" xfId="0" applyNumberFormat="1" applyFill="1" applyBorder="1" applyAlignment="1">
      <alignment vertical="center"/>
    </xf>
    <xf numFmtId="43" fontId="0" fillId="8" borderId="3" xfId="0" applyNumberFormat="1" applyFill="1" applyBorder="1" applyAlignment="1">
      <alignment vertical="center"/>
    </xf>
    <xf numFmtId="49" fontId="0" fillId="0" borderId="30" xfId="0" applyNumberFormat="1" applyBorder="1" applyAlignment="1" applyProtection="1">
      <alignment horizontal="center" vertical="center"/>
      <protection locked="0"/>
    </xf>
    <xf numFmtId="10" fontId="0" fillId="5" borderId="0" xfId="0" applyNumberFormat="1" applyFill="1"/>
    <xf numFmtId="0" fontId="31" fillId="0" borderId="28" xfId="0" applyFont="1" applyBorder="1"/>
    <xf numFmtId="166" fontId="16" fillId="20" borderId="0" xfId="7" applyNumberFormat="1" applyFont="1" applyFill="1"/>
    <xf numFmtId="0" fontId="6" fillId="0" borderId="1" xfId="0" applyFont="1" applyBorder="1" applyAlignment="1" applyProtection="1">
      <alignment vertical="center"/>
      <protection locked="0"/>
    </xf>
    <xf numFmtId="17" fontId="11" fillId="7" borderId="0" xfId="0" applyNumberFormat="1" applyFont="1" applyFill="1" applyAlignment="1">
      <alignment horizontal="center"/>
    </xf>
    <xf numFmtId="1" fontId="7" fillId="0" borderId="36" xfId="0" applyNumberFormat="1" applyFont="1" applyBorder="1" applyAlignment="1" applyProtection="1">
      <alignment horizontal="center" vertical="center" shrinkToFit="1"/>
      <protection locked="0"/>
    </xf>
    <xf numFmtId="0" fontId="6" fillId="0" borderId="36" xfId="0" applyFont="1" applyBorder="1" applyAlignment="1" applyProtection="1">
      <alignment horizontal="left" vertical="center" wrapText="1"/>
      <protection locked="0"/>
    </xf>
    <xf numFmtId="0" fontId="6" fillId="0" borderId="36" xfId="0" applyFont="1" applyBorder="1" applyAlignment="1" applyProtection="1">
      <alignment horizontal="left"/>
      <protection locked="0"/>
    </xf>
    <xf numFmtId="0" fontId="6" fillId="0" borderId="36" xfId="0" applyFont="1" applyBorder="1" applyAlignment="1" applyProtection="1">
      <alignment vertical="center" wrapText="1"/>
      <protection locked="0"/>
    </xf>
    <xf numFmtId="4" fontId="7" fillId="0" borderId="36" xfId="0" applyNumberFormat="1" applyFont="1" applyBorder="1" applyAlignment="1">
      <alignment vertical="center" shrinkToFit="1"/>
    </xf>
    <xf numFmtId="4" fontId="7" fillId="0" borderId="0" xfId="0" applyNumberFormat="1" applyFont="1" applyAlignment="1" applyProtection="1">
      <alignment vertical="center" shrinkToFit="1"/>
      <protection locked="0"/>
    </xf>
    <xf numFmtId="171" fontId="0" fillId="0" borderId="0" xfId="0" applyNumberFormat="1" applyAlignment="1">
      <alignment horizontal="center" vertical="center"/>
    </xf>
    <xf numFmtId="0" fontId="0" fillId="0" borderId="2" xfId="0" applyBorder="1" applyAlignment="1" applyProtection="1">
      <alignment horizontal="center" vertical="center"/>
      <protection locked="0"/>
    </xf>
    <xf numFmtId="0" fontId="15" fillId="13" borderId="10" xfId="0" applyFont="1" applyFill="1" applyBorder="1" applyAlignment="1">
      <alignment horizontal="center"/>
    </xf>
    <xf numFmtId="0" fontId="15" fillId="13" borderId="9" xfId="0" applyFont="1" applyFill="1" applyBorder="1" applyAlignment="1">
      <alignment horizontal="center"/>
    </xf>
    <xf numFmtId="0" fontId="15" fillId="13" borderId="2" xfId="0" applyFont="1" applyFill="1" applyBorder="1" applyAlignment="1">
      <alignment horizontal="center"/>
    </xf>
    <xf numFmtId="0" fontId="15" fillId="13" borderId="11" xfId="0" applyFont="1" applyFill="1" applyBorder="1" applyAlignment="1">
      <alignment horizontal="center"/>
    </xf>
    <xf numFmtId="0" fontId="13" fillId="4" borderId="4" xfId="0" applyFont="1" applyFill="1" applyBorder="1" applyAlignment="1">
      <alignment horizontal="left" vertical="center"/>
    </xf>
    <xf numFmtId="0" fontId="13" fillId="4" borderId="5" xfId="0" applyFont="1" applyFill="1" applyBorder="1" applyAlignment="1">
      <alignment horizontal="left" vertical="center"/>
    </xf>
    <xf numFmtId="0" fontId="13" fillId="4" borderId="6" xfId="0" applyFont="1" applyFill="1" applyBorder="1" applyAlignment="1">
      <alignment horizontal="left" vertical="center"/>
    </xf>
    <xf numFmtId="0" fontId="13" fillId="4" borderId="7" xfId="0" applyFont="1" applyFill="1" applyBorder="1" applyAlignment="1">
      <alignment horizontal="left" vertical="center"/>
    </xf>
    <xf numFmtId="0" fontId="13" fillId="4" borderId="0" xfId="0" applyFont="1" applyFill="1" applyAlignment="1">
      <alignment horizontal="left" vertical="center"/>
    </xf>
    <xf numFmtId="0" fontId="13" fillId="4" borderId="8" xfId="0" applyFont="1" applyFill="1" applyBorder="1" applyAlignment="1">
      <alignment horizontal="left" vertical="center"/>
    </xf>
    <xf numFmtId="0" fontId="14" fillId="0" borderId="7" xfId="0" applyFont="1" applyBorder="1" applyAlignment="1">
      <alignment horizontal="center" vertical="center"/>
    </xf>
    <xf numFmtId="0" fontId="14" fillId="0" borderId="12" xfId="0" applyFont="1" applyBorder="1" applyAlignment="1">
      <alignment horizontal="center" vertical="center"/>
    </xf>
    <xf numFmtId="0" fontId="13" fillId="12" borderId="4" xfId="0" applyFont="1" applyFill="1" applyBorder="1" applyAlignment="1">
      <alignment horizontal="center" vertical="center"/>
    </xf>
    <xf numFmtId="0" fontId="13" fillId="12" borderId="5" xfId="0" applyFont="1" applyFill="1" applyBorder="1" applyAlignment="1">
      <alignment horizontal="center" vertical="center"/>
    </xf>
    <xf numFmtId="0" fontId="13" fillId="12" borderId="6" xfId="0" applyFont="1" applyFill="1" applyBorder="1" applyAlignment="1">
      <alignment horizontal="center" vertical="center"/>
    </xf>
    <xf numFmtId="0" fontId="13" fillId="12" borderId="7" xfId="0" applyFont="1" applyFill="1" applyBorder="1" applyAlignment="1">
      <alignment horizontal="center" vertical="center"/>
    </xf>
    <xf numFmtId="0" fontId="13" fillId="12" borderId="0" xfId="0" applyFont="1" applyFill="1" applyAlignment="1">
      <alignment horizontal="center" vertical="center"/>
    </xf>
    <xf numFmtId="0" fontId="13" fillId="12" borderId="8" xfId="0" applyFont="1" applyFill="1" applyBorder="1" applyAlignment="1">
      <alignment horizontal="center" vertical="center"/>
    </xf>
    <xf numFmtId="0" fontId="21" fillId="0" borderId="1" xfId="0" applyFont="1" applyBorder="1" applyAlignment="1">
      <alignment horizontal="center" vertical="center" wrapText="1"/>
    </xf>
    <xf numFmtId="0" fontId="20" fillId="0" borderId="1" xfId="0" applyFont="1" applyBorder="1" applyAlignment="1">
      <alignment horizontal="center" vertical="center" wrapText="1"/>
    </xf>
    <xf numFmtId="0" fontId="20" fillId="0" borderId="1" xfId="0" applyFont="1" applyBorder="1" applyAlignment="1">
      <alignment horizontal="center" vertical="center"/>
    </xf>
  </cellXfs>
  <cellStyles count="8">
    <cellStyle name="Comma 2" xfId="6" xr:uid="{DE457F17-6463-488E-B791-65112A7FA5D4}"/>
    <cellStyle name="Moeda" xfId="3" builtinId="4"/>
    <cellStyle name="Normal" xfId="0" builtinId="0"/>
    <cellStyle name="Normal 2" xfId="5" xr:uid="{3A139084-CAD4-4CD2-8BE6-D7FAC681C1EC}"/>
    <cellStyle name="Normal 3" xfId="4" xr:uid="{F47D5D87-9802-4C68-AC7F-E03FC22EBCF2}"/>
    <cellStyle name="Porcentagem" xfId="1" builtinId="5"/>
    <cellStyle name="Vírgula" xfId="2" builtinId="3"/>
    <cellStyle name="Vírgula 2" xfId="7" xr:uid="{159FC4DD-6656-40F1-A0B6-A7BE804C73FF}"/>
  </cellStyles>
  <dxfs count="11316">
    <dxf>
      <fill>
        <patternFill>
          <bgColor theme="9"/>
        </patternFill>
      </fill>
    </dxf>
    <dxf>
      <fill>
        <patternFill>
          <bgColor rgb="FFFF0000"/>
        </patternFill>
      </fill>
    </dxf>
    <dxf>
      <font>
        <color theme="0"/>
      </font>
    </dxf>
    <dxf>
      <alignment horizontal="center"/>
    </dxf>
    <dxf>
      <alignment horizontal="center"/>
    </dxf>
    <dxf>
      <alignment horizontal="center"/>
    </dxf>
    <dxf>
      <numFmt numFmtId="35" formatCode="_-* #,##0.00_-;\-* #,##0.00_-;_-* &quot;-&quot;??_-;_-@_-"/>
      <fill>
        <patternFill patternType="solid">
          <fgColor indexed="64"/>
          <bgColor theme="9" tint="0.59999389629810485"/>
        </patternFill>
      </fill>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numFmt numFmtId="35" formatCode="_-* #,##0.00_-;\-* #,##0.00_-;_-* &quot;-&quot;??_-;_-@_-"/>
      <fill>
        <patternFill patternType="solid">
          <fgColor indexed="64"/>
          <bgColor theme="9"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35" formatCode="_-* #,##0.00_-;\-* #,##0.00_-;_-* &quot;-&quot;??_-;_-@_-"/>
      <fill>
        <patternFill patternType="solid">
          <fgColor indexed="64"/>
          <bgColor theme="8"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fill>
        <patternFill patternType="solid">
          <fgColor indexed="64"/>
          <bgColor theme="8"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19" formatCode="dd/mm/yyyy"/>
      <fill>
        <patternFill patternType="solid">
          <fgColor indexed="64"/>
          <bgColor rgb="FF92D050"/>
        </patternFill>
      </fill>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3"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3"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171" formatCode="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protection locked="0" hidden="0"/>
    </dxf>
    <dxf>
      <border outline="0">
        <left style="thin">
          <color indexed="64"/>
        </left>
        <right style="thin">
          <color indexed="64"/>
        </right>
        <top style="thin">
          <color indexed="64"/>
        </top>
        <bottom style="thin">
          <color indexed="64"/>
        </bottom>
      </border>
    </dxf>
    <dxf>
      <protection locked="0" hidden="0"/>
    </dxf>
    <dxf>
      <border outline="0">
        <bottom style="thin">
          <color indexed="64"/>
        </bottom>
      </border>
    </dxf>
    <dxf>
      <fill>
        <patternFill patternType="solid">
          <fgColor indexed="64"/>
          <bgColor theme="9" tint="0.59999389629810485"/>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alignment horizontal="right"/>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 formatCode="#,##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 formatCode="#,##0"/>
    </dxf>
    <dxf>
      <alignment vertical="center"/>
    </dxf>
    <dxf>
      <alignment horizontal="center"/>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 formatCode="#,##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numFmt numFmtId="172" formatCode="_-* #,##0.0_-;\-* #,##0.0_-;_-* &quot;-&quot;??_-;_-@_-"/>
    </dxf>
    <dxf>
      <numFmt numFmtId="172" formatCode="_-* #,##0.0_-;\-* #,##0.0_-;_-* &quot;-&quot;??_-;_-@_-"/>
    </dxf>
    <dxf>
      <numFmt numFmtId="172" formatCode="_-* #,##0.0_-;\-* #,##0.0_-;_-* &quot;-&quot;??_-;_-@_-"/>
    </dxf>
    <dxf>
      <numFmt numFmtId="172" formatCode="_-* #,##0.0_-;\-* #,##0.0_-;_-* &quot;-&quot;??_-;_-@_-"/>
    </dxf>
    <dxf>
      <numFmt numFmtId="35" formatCode="_-* #,##0.00_-;\-* #,##0.00_-;_-* &quot;-&quot;??_-;_-@_-"/>
    </dxf>
    <dxf>
      <numFmt numFmtId="35" formatCode="_-* #,##0.00_-;\-* #,##0.00_-;_-* &quot;-&quot;??_-;_-@_-"/>
    </dxf>
    <dxf>
      <numFmt numFmtId="35" formatCode="_-* #,##0.00_-;\-* #,##0.00_-;_-* &quot;-&quot;??_-;_-@_-"/>
    </dxf>
    <dxf>
      <numFmt numFmtId="35" formatCode="_-* #,##0.00_-;\-* #,##0.00_-;_-* &quot;-&quot;??_-;_-@_-"/>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wrapText="1"/>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numFmt numFmtId="171" formatCode="0000"/>
    </dxf>
    <dxf>
      <numFmt numFmtId="171" formatCode="0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wrapText="1"/>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alignment horizontal="center"/>
    </dxf>
    <dxf>
      <alignment vertical="center"/>
    </dxf>
    <dxf>
      <alignment horizontal="center"/>
    </dxf>
    <dxf>
      <numFmt numFmtId="4" formatCode="#,##0.00"/>
    </dxf>
    <dxf>
      <alignment vertical="center"/>
    </dxf>
    <dxf>
      <alignment horizontal="center"/>
    </dxf>
    <dxf>
      <numFmt numFmtId="4" formatCode="#,##0.00"/>
    </dxf>
    <dxf>
      <alignment vertical="center"/>
    </dxf>
    <dxf>
      <alignment horizontal="center"/>
    </dxf>
    <dxf>
      <numFmt numFmtId="4"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vertical="center"/>
    </dxf>
    <dxf>
      <alignment horizontal="center"/>
    </dxf>
    <dxf>
      <numFmt numFmtId="4" formatCode="#,##0.00"/>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numFmt numFmtId="4" formatCode="#,##0.00"/>
    </dxf>
    <dxf>
      <alignment horizontal="center"/>
    </dxf>
    <dxf>
      <alignment vertical="center"/>
    </dxf>
    <dxf>
      <alignment horizontal="center"/>
    </dxf>
    <dxf>
      <numFmt numFmtId="4" formatCode="#,##0.00"/>
    </dxf>
    <dxf>
      <alignment vertical="center"/>
    </dxf>
    <dxf>
      <alignment horizontal="center"/>
    </dxf>
    <dxf>
      <numFmt numFmtId="4" formatCode="#,##0.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center"/>
    </dxf>
    <dxf>
      <numFmt numFmtId="4" formatCode="#,##0.00"/>
    </dxf>
    <dxf>
      <alignment horizontal="center"/>
    </dxf>
    <dxf>
      <alignment horizontal="center"/>
    </dxf>
    <dxf>
      <alignment horizontal="center"/>
    </dxf>
    <dxf>
      <alignment vertical="center"/>
    </dxf>
    <dxf>
      <alignment vertical="center"/>
    </dxf>
    <dxf>
      <alignment vertical="center"/>
    </dxf>
    <dxf>
      <alignment vertical="center"/>
    </dxf>
    <dxf>
      <alignment wrapText="1"/>
    </dxf>
    <dxf>
      <alignment wrapText="1"/>
    </dxf>
    <dxf>
      <alignment vertical="center"/>
    </dxf>
    <dxf>
      <numFmt numFmtId="4" formatCode="#,##0.00"/>
    </dxf>
    <dxf>
      <alignment wrapText="1"/>
    </dxf>
    <dxf>
      <alignment vertical="center"/>
    </dxf>
    <dxf>
      <numFmt numFmtId="4" formatCode="#,##0.00"/>
    </dxf>
    <dxf>
      <alignment wrapText="1"/>
    </dxf>
    <dxf>
      <alignment vertical="center"/>
    </dxf>
    <dxf>
      <numFmt numFmtId="4" formatCode="#,##0.00"/>
    </dxf>
    <dxf>
      <alignment wrapText="1"/>
    </dxf>
    <dxf>
      <alignment vertical="center"/>
    </dxf>
    <dxf>
      <numFmt numFmtId="4" formatCode="#,##0.00"/>
    </dxf>
    <dxf>
      <alignment wrapText="1"/>
    </dxf>
    <dxf>
      <alignment vertical="center"/>
    </dxf>
    <dxf>
      <numFmt numFmtId="4" formatCode="#,##0.00"/>
    </dxf>
    <dxf>
      <alignment horizontal="center"/>
    </dxf>
    <dxf>
      <alignment horizontal="center"/>
    </dxf>
    <dxf>
      <alignment horizontal="center"/>
    </dxf>
    <dxf>
      <alignment vertical="center"/>
    </dxf>
    <dxf>
      <alignment vertical="center"/>
    </dxf>
    <dxf>
      <alignment wrapText="1"/>
    </dxf>
    <dxf>
      <alignment wrapText="1"/>
    </dxf>
    <dxf>
      <numFmt numFmtId="14" formatCode="0.00%"/>
    </dxf>
    <dxf>
      <numFmt numFmtId="4" formatCode="#,##0.00"/>
    </dxf>
    <dxf>
      <alignment horizontal="general"/>
    </dxf>
    <dxf>
      <alignment horizontal="center"/>
    </dxf>
    <dxf>
      <alignment wrapText="1"/>
    </dxf>
    <dxf>
      <alignment wrapText="1"/>
    </dxf>
    <dxf>
      <alignment vertical="center"/>
    </dxf>
    <dxf>
      <alignment vertical="center"/>
    </dxf>
    <dxf>
      <numFmt numFmtId="14" formatCode="0.00%"/>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wrapText="1"/>
    </dxf>
    <dxf>
      <alignment vertical="center"/>
    </dxf>
    <dxf>
      <alignment horizontal="center"/>
    </dxf>
    <dxf>
      <numFmt numFmtId="4" formatCode="#,##0.00"/>
    </dxf>
    <dxf>
      <alignment horizontal="center"/>
    </dxf>
    <dxf>
      <numFmt numFmtId="4" formatCode="#,##0.00"/>
    </dxf>
    <dxf>
      <border>
        <bottom style="thin">
          <color theme="4" tint="0.79998168889431442"/>
        </bottom>
        <horizontal style="thin">
          <color theme="4" tint="0.79998168889431442"/>
        </horizontal>
      </border>
    </dxf>
    <dxf>
      <fill>
        <patternFill>
          <bgColor theme="8" tint="0.79998168889431442"/>
        </patternFill>
      </fill>
    </dxf>
    <dxf>
      <font>
        <b/>
        <i val="0"/>
      </font>
      <fill>
        <patternFill>
          <bgColor theme="8" tint="0.39994506668294322"/>
        </patternFill>
      </fill>
    </dxf>
  </dxfs>
  <tableStyles count="1" defaultTableStyle="TableStyleMedium2" defaultPivotStyle="PivotStyleLight16">
    <tableStyle name="PivotTable Style 1" table="0" count="3" xr9:uid="{00000000-0011-0000-FFFF-FFFF00000000}">
      <tableStyleElement type="headerRow" dxfId="11315"/>
      <tableStyleElement type="firstColumnStripe" dxfId="11314"/>
      <tableStyleElement type="firstRowSubheading" dxfId="11313"/>
    </tableStyle>
  </tableStyles>
  <colors>
    <mruColors>
      <color rgb="FFF8696B"/>
      <color rgb="FF63BE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microsoft.com/office/2007/relationships/slicerCache" Target="slicerCaches/slicerCache6.xml"/><Relationship Id="rId26"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externalLink" Target="externalLinks/externalLink1.xml"/><Relationship Id="rId12" Type="http://schemas.openxmlformats.org/officeDocument/2006/relationships/pivotCacheDefinition" Target="pivotCache/pivotCacheDefinition5.xml"/><Relationship Id="rId17" Type="http://schemas.microsoft.com/office/2007/relationships/slicerCache" Target="slicerCaches/slicerCache5.xml"/><Relationship Id="rId25" Type="http://schemas.microsoft.com/office/2017/06/relationships/rdRichValue" Target="richData/rdrichvalue.xml"/><Relationship Id="rId33"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theme" Target="theme/theme1.xml"/><Relationship Id="rId29"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sheetMetadata" Target="metadata.xml"/><Relationship Id="rId32"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3.xml"/><Relationship Id="rId23" Type="http://schemas.openxmlformats.org/officeDocument/2006/relationships/sharedStrings" Target="sharedStrings.xml"/><Relationship Id="rId28" Type="http://schemas.microsoft.com/office/2017/06/relationships/rdSupportingPropertyBagStructure" Target="richData/rdsupportingpropertybagstructure.xml"/><Relationship Id="rId10" Type="http://schemas.openxmlformats.org/officeDocument/2006/relationships/pivotCacheDefinition" Target="pivotCache/pivotCacheDefinition3.xml"/><Relationship Id="rId19" Type="http://schemas.microsoft.com/office/2007/relationships/slicerCache" Target="slicerCaches/slicerCache7.xml"/><Relationship Id="rId31"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2.xml"/><Relationship Id="rId22" Type="http://schemas.openxmlformats.org/officeDocument/2006/relationships/styles" Target="styles.xml"/><Relationship Id="rId27" Type="http://schemas.microsoft.com/office/2017/06/relationships/richStyles" Target="richData/richStyles.xml"/><Relationship Id="rId30" Type="http://schemas.microsoft.com/office/2017/06/relationships/rdRichValueTypes" Target="richData/rdRichValueTypes.xml"/><Relationship Id="rId8"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pt-BR"/>
              <a:t>Monthly Imports | Base Paper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pt-BR"/>
        </a:p>
      </c:txPr>
    </c:title>
    <c:autoTitleDeleted val="0"/>
    <c:plotArea>
      <c:layout/>
      <c:barChart>
        <c:barDir val="col"/>
        <c:grouping val="clustered"/>
        <c:varyColors val="0"/>
        <c:ser>
          <c:idx val="0"/>
          <c:order val="0"/>
          <c:tx>
            <c:strRef>
              <c:f>'PaperBase Dashboard'!$G$38</c:f>
              <c:strCache>
                <c:ptCount val="1"/>
                <c:pt idx="0">
                  <c:v>2025</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Dashboard'!$H$64:$H$75</c:f>
              <c:numCache>
                <c:formatCode>#,##0</c:formatCode>
                <c:ptCount val="12"/>
                <c:pt idx="0">
                  <c:v>982542</c:v>
                </c:pt>
                <c:pt idx="1">
                  <c:v>1247419</c:v>
                </c:pt>
                <c:pt idx="2">
                  <c:v>870892</c:v>
                </c:pt>
                <c:pt idx="3">
                  <c:v>845655</c:v>
                </c:pt>
                <c:pt idx="4">
                  <c:v>602505</c:v>
                </c:pt>
                <c:pt idx="5">
                  <c:v>327511</c:v>
                </c:pt>
                <c:pt idx="6">
                  <c:v>548581</c:v>
                </c:pt>
                <c:pt idx="7">
                  <c:v>560567</c:v>
                </c:pt>
                <c:pt idx="8">
                  <c:v>1060962</c:v>
                </c:pt>
                <c:pt idx="9">
                  <c:v>1406933</c:v>
                </c:pt>
                <c:pt idx="10">
                  <c:v>1253026</c:v>
                </c:pt>
                <c:pt idx="11">
                  <c:v>3323459</c:v>
                </c:pt>
              </c:numCache>
            </c:numRef>
          </c:val>
          <c:extLst>
            <c:ext xmlns:c16="http://schemas.microsoft.com/office/drawing/2014/chart" uri="{C3380CC4-5D6E-409C-BE32-E72D297353CC}">
              <c16:uniqueId val="{00000001-0037-430B-A14A-87963912968E}"/>
            </c:ext>
          </c:extLst>
        </c:ser>
        <c:ser>
          <c:idx val="2"/>
          <c:order val="2"/>
          <c:tx>
            <c:strRef>
              <c:f>'PaperBase Dashboard'!$H$38</c:f>
              <c:strCache>
                <c:ptCount val="1"/>
                <c:pt idx="0">
                  <c:v>2026</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Dashboard'!$H$76:$H$87</c:f>
              <c:numCache>
                <c:formatCode>#,##0</c:formatCode>
                <c:ptCount val="12"/>
                <c:pt idx="0">
                  <c:v>462914</c:v>
                </c:pt>
                <c:pt idx="1">
                  <c:v>394209</c:v>
                </c:pt>
                <c:pt idx="2">
                  <c:v>1110006</c:v>
                </c:pt>
                <c:pt idx="3">
                  <c:v>1148638</c:v>
                </c:pt>
              </c:numCache>
            </c:numRef>
          </c:val>
          <c:extLst>
            <c:ext xmlns:c16="http://schemas.microsoft.com/office/drawing/2014/chart" uri="{C3380CC4-5D6E-409C-BE32-E72D297353CC}">
              <c16:uniqueId val="{00000000-0037-430B-A14A-87963912968E}"/>
            </c:ext>
          </c:extLst>
        </c:ser>
        <c:dLbls>
          <c:showLegendKey val="0"/>
          <c:showVal val="0"/>
          <c:showCatName val="0"/>
          <c:showSerName val="0"/>
          <c:showPercent val="0"/>
          <c:showBubbleSize val="0"/>
        </c:dLbls>
        <c:gapWidth val="150"/>
        <c:axId val="-1839424816"/>
        <c:axId val="-1839418288"/>
      </c:barChart>
      <c:lineChart>
        <c:grouping val="standard"/>
        <c:varyColors val="0"/>
        <c:ser>
          <c:idx val="1"/>
          <c:order val="1"/>
          <c:tx>
            <c:strRef>
              <c:f>'PaperBase Dashboard'!$W$62</c:f>
              <c:strCache>
                <c:ptCount val="1"/>
                <c:pt idx="0">
                  <c:v>avg2025</c:v>
                </c:pt>
              </c:strCache>
            </c:strRef>
          </c:tx>
          <c:spPr>
            <a:ln w="12700" cap="rnd">
              <a:solidFill>
                <a:schemeClr val="accent2"/>
              </a:solidFill>
              <a:prstDash val="dash"/>
              <a:round/>
            </a:ln>
            <a:effectLst/>
          </c:spPr>
          <c:marker>
            <c:symbol val="none"/>
          </c:marker>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Dashboard'!$J$64:$J$75</c:f>
              <c:numCache>
                <c:formatCode>#,##0</c:formatCode>
                <c:ptCount val="12"/>
                <c:pt idx="0">
                  <c:v>982542</c:v>
                </c:pt>
                <c:pt idx="1">
                  <c:v>1114980.5</c:v>
                </c:pt>
                <c:pt idx="2">
                  <c:v>1033617.6666666666</c:v>
                </c:pt>
                <c:pt idx="3">
                  <c:v>986627</c:v>
                </c:pt>
                <c:pt idx="4">
                  <c:v>909802.6</c:v>
                </c:pt>
                <c:pt idx="5">
                  <c:v>812754</c:v>
                </c:pt>
                <c:pt idx="6">
                  <c:v>775015</c:v>
                </c:pt>
                <c:pt idx="7">
                  <c:v>748209</c:v>
                </c:pt>
                <c:pt idx="8">
                  <c:v>782959.33333333337</c:v>
                </c:pt>
                <c:pt idx="9">
                  <c:v>845356.7</c:v>
                </c:pt>
                <c:pt idx="10">
                  <c:v>882417.54545454541</c:v>
                </c:pt>
                <c:pt idx="11">
                  <c:v>1085837.6666666667</c:v>
                </c:pt>
              </c:numCache>
            </c:numRef>
          </c:val>
          <c:smooth val="0"/>
          <c:extLst>
            <c:ext xmlns:c16="http://schemas.microsoft.com/office/drawing/2014/chart" uri="{C3380CC4-5D6E-409C-BE32-E72D297353CC}">
              <c16:uniqueId val="{00000000-4112-4B9C-8689-9B8096A978E7}"/>
            </c:ext>
          </c:extLst>
        </c:ser>
        <c:ser>
          <c:idx val="3"/>
          <c:order val="3"/>
          <c:tx>
            <c:strRef>
              <c:f>'PaperBase Dashboard'!$W$63</c:f>
              <c:strCache>
                <c:ptCount val="1"/>
                <c:pt idx="0">
                  <c:v>avg2026</c:v>
                </c:pt>
              </c:strCache>
            </c:strRef>
          </c:tx>
          <c:spPr>
            <a:ln w="12700" cap="rnd">
              <a:solidFill>
                <a:schemeClr val="accent6"/>
              </a:solidFill>
              <a:prstDash val="dash"/>
              <a:round/>
            </a:ln>
            <a:effectLst/>
          </c:spPr>
          <c:marker>
            <c:symbol val="none"/>
          </c:marker>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Dashboard'!$J$76:$J$87</c:f>
              <c:numCache>
                <c:formatCode>#,##0</c:formatCode>
                <c:ptCount val="12"/>
                <c:pt idx="0">
                  <c:v>462914</c:v>
                </c:pt>
                <c:pt idx="1">
                  <c:v>428561.5</c:v>
                </c:pt>
                <c:pt idx="2">
                  <c:v>655709.66666666663</c:v>
                </c:pt>
                <c:pt idx="3">
                  <c:v>778941.75</c:v>
                </c:pt>
              </c:numCache>
            </c:numRef>
          </c:val>
          <c:smooth val="0"/>
          <c:extLst>
            <c:ext xmlns:c16="http://schemas.microsoft.com/office/drawing/2014/chart" uri="{C3380CC4-5D6E-409C-BE32-E72D297353CC}">
              <c16:uniqueId val="{00000001-4112-4B9C-8689-9B8096A978E7}"/>
            </c:ext>
          </c:extLst>
        </c:ser>
        <c:dLbls>
          <c:showLegendKey val="0"/>
          <c:showVal val="0"/>
          <c:showCatName val="0"/>
          <c:showSerName val="0"/>
          <c:showPercent val="0"/>
          <c:showBubbleSize val="0"/>
        </c:dLbls>
        <c:marker val="1"/>
        <c:smooth val="0"/>
        <c:axId val="-1839424816"/>
        <c:axId val="-1839418288"/>
      </c:lineChart>
      <c:lineChart>
        <c:grouping val="standard"/>
        <c:varyColors val="0"/>
        <c:ser>
          <c:idx val="4"/>
          <c:order val="4"/>
          <c:tx>
            <c:strRef>
              <c:f>'PaperBase Dashboard'!$K$39</c:f>
              <c:strCache>
                <c:ptCount val="1"/>
                <c:pt idx="0">
                  <c:v>Avg price</c:v>
                </c:pt>
              </c:strCache>
            </c:strRef>
          </c:tx>
          <c:spPr>
            <a:ln w="25400" cap="rnd">
              <a:solidFill>
                <a:schemeClr val="accent5"/>
              </a:solidFill>
              <a:prstDash val="sysDot"/>
              <a:round/>
            </a:ln>
            <a:effectLst/>
          </c:spPr>
          <c:marker>
            <c:symbol val="none"/>
          </c:marker>
          <c:dLbls>
            <c:spPr>
              <a:solidFill>
                <a:schemeClr val="accent1">
                  <a:alpha val="90000"/>
                </a:schemeClr>
              </a:solid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bg1"/>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Dashboard'!$K$76:$K$87</c:f>
              <c:numCache>
                <c:formatCode>#,##0.00</c:formatCode>
                <c:ptCount val="12"/>
                <c:pt idx="0">
                  <c:v>2.58</c:v>
                </c:pt>
                <c:pt idx="1">
                  <c:v>2.27</c:v>
                </c:pt>
                <c:pt idx="2">
                  <c:v>2.34</c:v>
                </c:pt>
                <c:pt idx="3">
                  <c:v>2.37</c:v>
                </c:pt>
              </c:numCache>
            </c:numRef>
          </c:val>
          <c:smooth val="0"/>
          <c:extLst>
            <c:ext xmlns:c16="http://schemas.microsoft.com/office/drawing/2014/chart" uri="{C3380CC4-5D6E-409C-BE32-E72D297353CC}">
              <c16:uniqueId val="{00000001-A315-44F5-A2BE-15C2E023B09C}"/>
            </c:ext>
          </c:extLst>
        </c:ser>
        <c:dLbls>
          <c:showLegendKey val="0"/>
          <c:showVal val="0"/>
          <c:showCatName val="0"/>
          <c:showSerName val="0"/>
          <c:showPercent val="0"/>
          <c:showBubbleSize val="0"/>
        </c:dLbls>
        <c:marker val="1"/>
        <c:smooth val="0"/>
        <c:axId val="738563376"/>
        <c:axId val="886099168"/>
      </c:lineChart>
      <c:catAx>
        <c:axId val="-183942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1839418288"/>
        <c:crosses val="autoZero"/>
        <c:auto val="0"/>
        <c:lblAlgn val="ctr"/>
        <c:lblOffset val="100"/>
        <c:noMultiLvlLbl val="0"/>
      </c:catAx>
      <c:valAx>
        <c:axId val="-18394182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1839424816"/>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pt-BR"/>
              </a:p>
            </c:txPr>
          </c:dispUnitsLbl>
        </c:dispUnits>
      </c:valAx>
      <c:valAx>
        <c:axId val="886099168"/>
        <c:scaling>
          <c:orientation val="minMax"/>
          <c:min val="2"/>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738563376"/>
        <c:crosses val="max"/>
        <c:crossBetween val="between"/>
      </c:valAx>
      <c:catAx>
        <c:axId val="738563376"/>
        <c:scaling>
          <c:orientation val="minMax"/>
        </c:scaling>
        <c:delete val="1"/>
        <c:axPos val="b"/>
        <c:numFmt formatCode="General" sourceLinked="1"/>
        <c:majorTickMark val="out"/>
        <c:minorTickMark val="none"/>
        <c:tickLblPos val="nextTo"/>
        <c:crossAx val="8860991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noFill/>
      <a:prstDash val="solid"/>
      <a:miter lim="800000"/>
    </a:ln>
    <a:effectLst/>
  </c:spPr>
  <c:txPr>
    <a:bodyPr/>
    <a:lstStyle/>
    <a:p>
      <a:pPr>
        <a:defRPr>
          <a:solidFill>
            <a:schemeClr val="dk1"/>
          </a:solidFill>
          <a:latin typeface="+mn-lt"/>
          <a:ea typeface="+mn-ea"/>
          <a:cs typeface="+mn-cs"/>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[Cockpit_Papel.xlsm]PaperBase Dashboard!PivotTable5</c:name>
    <c:fmtId val="0"/>
  </c:pivotSource>
  <c:chart>
    <c:title>
      <c:tx>
        <c:rich>
          <a:bodyPr rot="0" spcFirstLastPara="1" vertOverflow="ellipsis" vert="horz" wrap="square" anchor="ctr" anchorCtr="1"/>
          <a:lstStyle/>
          <a:p>
            <a:pPr>
              <a:defRPr sz="1800" b="1" i="0" u="none" strike="noStrike" kern="1200" cap="none" spc="20" baseline="0">
                <a:solidFill>
                  <a:schemeClr val="accent5"/>
                </a:solidFill>
                <a:latin typeface="+mn-lt"/>
                <a:ea typeface="+mn-ea"/>
                <a:cs typeface="+mn-cs"/>
              </a:defRPr>
            </a:pPr>
            <a:r>
              <a:rPr lang="pt-BR" sz="1800" b="1">
                <a:solidFill>
                  <a:schemeClr val="accent5"/>
                </a:solidFill>
              </a:rPr>
              <a:t>Total paper</a:t>
            </a:r>
            <a:r>
              <a:rPr lang="pt-BR" sz="1800" b="1" baseline="0">
                <a:solidFill>
                  <a:schemeClr val="accent5"/>
                </a:solidFill>
              </a:rPr>
              <a:t> received by month</a:t>
            </a:r>
            <a:endParaRPr lang="pt-BR" sz="1800" b="1">
              <a:solidFill>
                <a:schemeClr val="accent5"/>
              </a:solidFill>
            </a:endParaRPr>
          </a:p>
        </c:rich>
      </c:tx>
      <c:layout>
        <c:manualLayout>
          <c:xMode val="edge"/>
          <c:yMode val="edge"/>
          <c:x val="0.36915104336572058"/>
          <c:y val="7.2422905387282258E-2"/>
        </c:manualLayout>
      </c:layout>
      <c:overlay val="0"/>
      <c:spPr>
        <a:noFill/>
        <a:ln>
          <a:noFill/>
        </a:ln>
        <a:effectLst/>
      </c:spPr>
      <c:txPr>
        <a:bodyPr rot="0" spcFirstLastPara="1" vertOverflow="ellipsis" vert="horz" wrap="square" anchor="ctr" anchorCtr="1"/>
        <a:lstStyle/>
        <a:p>
          <a:pPr>
            <a:defRPr sz="1800" b="1" i="0" u="none" strike="noStrike" kern="1200" cap="none" spc="20" baseline="0">
              <a:solidFill>
                <a:schemeClr val="accent5"/>
              </a:solidFill>
              <a:latin typeface="+mn-lt"/>
              <a:ea typeface="+mn-ea"/>
              <a:cs typeface="+mn-cs"/>
            </a:defRPr>
          </a:pPr>
          <a:endParaRPr lang="pt-B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'PaperBase Dashboard'!$AB$47</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'PaperBase Dashboard'!$AA$48:$AA$60</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Dashboard'!$AB$48:$AB$60</c:f>
              <c:numCache>
                <c:formatCode>#,##0</c:formatCode>
                <c:ptCount val="12"/>
                <c:pt idx="0">
                  <c:v>1056651</c:v>
                </c:pt>
                <c:pt idx="1">
                  <c:v>679739</c:v>
                </c:pt>
                <c:pt idx="2">
                  <c:v>934747</c:v>
                </c:pt>
                <c:pt idx="3">
                  <c:v>765636</c:v>
                </c:pt>
                <c:pt idx="4">
                  <c:v>804228</c:v>
                </c:pt>
                <c:pt idx="5">
                  <c:v>782142</c:v>
                </c:pt>
                <c:pt idx="6">
                  <c:v>871499</c:v>
                </c:pt>
                <c:pt idx="7">
                  <c:v>1058985</c:v>
                </c:pt>
                <c:pt idx="8">
                  <c:v>1532079</c:v>
                </c:pt>
                <c:pt idx="9">
                  <c:v>1300438</c:v>
                </c:pt>
                <c:pt idx="10">
                  <c:v>1224050</c:v>
                </c:pt>
                <c:pt idx="11">
                  <c:v>921791</c:v>
                </c:pt>
              </c:numCache>
            </c:numRef>
          </c:val>
          <c:smooth val="0"/>
          <c:extLst>
            <c:ext xmlns:c16="http://schemas.microsoft.com/office/drawing/2014/chart" uri="{C3380CC4-5D6E-409C-BE32-E72D297353CC}">
              <c16:uniqueId val="{00000000-92A9-4978-AA94-319CD33BB5A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39999856"/>
        <c:axId val="940000816"/>
      </c:lineChart>
      <c:catAx>
        <c:axId val="9399998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pt-BR"/>
          </a:p>
        </c:txPr>
        <c:crossAx val="940000816"/>
        <c:crosses val="autoZero"/>
        <c:auto val="1"/>
        <c:lblAlgn val="ctr"/>
        <c:lblOffset val="100"/>
        <c:noMultiLvlLbl val="0"/>
      </c:catAx>
      <c:valAx>
        <c:axId val="940000816"/>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pt-BR"/>
          </a:p>
        </c:txPr>
        <c:crossAx val="939999856"/>
        <c:crosses val="autoZero"/>
        <c:crossBetween val="between"/>
        <c:dispUnits>
          <c:builtInUnit val="thousands"/>
          <c:dispUnitsLbl>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pt-BR"/>
              </a:p>
            </c:txPr>
          </c:dispUnitsLbl>
        </c:dispUnits>
      </c:valAx>
      <c:dTable>
        <c:showHorzBorder val="1"/>
        <c:showVertBorder val="1"/>
        <c:showOutline val="1"/>
        <c:showKeys val="1"/>
        <c:spPr>
          <a:noFill/>
          <a:ln w="9525">
            <a:solidFill>
              <a:schemeClr val="dk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dk1">
                    <a:lumMod val="65000"/>
                    <a:lumOff val="35000"/>
                  </a:schemeClr>
                </a:solidFill>
                <a:latin typeface="+mn-lt"/>
                <a:ea typeface="+mn-ea"/>
                <a:cs typeface="+mn-cs"/>
              </a:defRPr>
            </a:pPr>
            <a:endParaRPr lang="pt-BR"/>
          </a:p>
        </c:txPr>
      </c:dTable>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76200</xdr:rowOff>
    </xdr:from>
    <xdr:to>
      <xdr:col>16</xdr:col>
      <xdr:colOff>28575</xdr:colOff>
      <xdr:row>3</xdr:row>
      <xdr:rowOff>104775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7650" y="76200"/>
          <a:ext cx="9944100" cy="600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2400" b="1">
              <a:solidFill>
                <a:srgbClr val="00B0F0"/>
              </a:solidFill>
              <a:latin typeface="Abadi" panose="020B0604020104020204" pitchFamily="34" charset="0"/>
            </a:rPr>
            <a:t>Paper Base Cockpit</a:t>
          </a:r>
          <a:br>
            <a:rPr lang="pt-BR" sz="2400" b="1">
              <a:solidFill>
                <a:srgbClr val="00B0F0"/>
              </a:solidFill>
              <a:latin typeface="Abadi" panose="020B0604020104020204" pitchFamily="34" charset="0"/>
            </a:rPr>
          </a:br>
          <a:r>
            <a:rPr lang="pt-BR" sz="800" b="0" i="0">
              <a:solidFill>
                <a:sysClr val="windowText" lastClr="000000"/>
              </a:solidFill>
            </a:rPr>
            <a:t>Preços(current) </a:t>
          </a:r>
          <a:r>
            <a:rPr lang="pt-BR" sz="800" b="1" i="0">
              <a:solidFill>
                <a:sysClr val="windowText" lastClr="000000"/>
              </a:solidFill>
            </a:rPr>
            <a:t>SEM</a:t>
          </a:r>
          <a:r>
            <a:rPr lang="pt-BR" sz="800" b="0" i="0">
              <a:solidFill>
                <a:sysClr val="windowText" lastClr="000000"/>
              </a:solidFill>
            </a:rPr>
            <a:t> paper bonus</a:t>
          </a:r>
          <a:endParaRPr lang="pt-BR" sz="2800" b="0" i="0">
            <a:solidFill>
              <a:sysClr val="windowText" lastClr="000000"/>
            </a:solidFill>
          </a:endParaRPr>
        </a:p>
      </xdr:txBody>
    </xdr:sp>
    <xdr:clientData/>
  </xdr:twoCellAnchor>
  <xdr:twoCellAnchor editAs="oneCell">
    <xdr:from>
      <xdr:col>1</xdr:col>
      <xdr:colOff>9525</xdr:colOff>
      <xdr:row>0</xdr:row>
      <xdr:rowOff>57150</xdr:rowOff>
    </xdr:from>
    <xdr:to>
      <xdr:col>3</xdr:col>
      <xdr:colOff>192925</xdr:colOff>
      <xdr:row>3</xdr:row>
      <xdr:rowOff>73323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2589" b="30804"/>
        <a:stretch/>
      </xdr:blipFill>
      <xdr:spPr>
        <a:xfrm>
          <a:off x="9525" y="57150"/>
          <a:ext cx="1465465" cy="530523"/>
        </a:xfrm>
        <a:prstGeom prst="rect">
          <a:avLst/>
        </a:prstGeom>
      </xdr:spPr>
    </xdr:pic>
    <xdr:clientData/>
  </xdr:twoCellAnchor>
  <xdr:twoCellAnchor editAs="oneCell">
    <xdr:from>
      <xdr:col>17</xdr:col>
      <xdr:colOff>55244</xdr:colOff>
      <xdr:row>0</xdr:row>
      <xdr:rowOff>137158</xdr:rowOff>
    </xdr:from>
    <xdr:to>
      <xdr:col>20</xdr:col>
      <xdr:colOff>568959</xdr:colOff>
      <xdr:row>39</xdr:row>
      <xdr:rowOff>133562</xdr:rowOff>
    </xdr:to>
    <mc:AlternateContent xmlns:mc="http://schemas.openxmlformats.org/markup-compatibility/2006" xmlns:a14="http://schemas.microsoft.com/office/drawing/2010/main">
      <mc:Choice Requires="a14">
        <xdr:graphicFrame macro="">
          <xdr:nvGraphicFramePr>
            <xdr:cNvPr id="4" name="Impress Type 1">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Impress Type 1"/>
            </a:graphicData>
          </a:graphic>
        </xdr:graphicFrame>
      </mc:Choice>
      <mc:Fallback xmlns="">
        <xdr:sp macro="" textlink="">
          <xdr:nvSpPr>
            <xdr:cNvPr id="0" name=""/>
            <xdr:cNvSpPr>
              <a:spLocks noTextEdit="1"/>
            </xdr:cNvSpPr>
          </xdr:nvSpPr>
          <xdr:spPr>
            <a:xfrm>
              <a:off x="10485120" y="133348"/>
              <a:ext cx="1826895" cy="7299961"/>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601980</xdr:colOff>
      <xdr:row>22</xdr:row>
      <xdr:rowOff>112393</xdr:rowOff>
    </xdr:from>
    <xdr:to>
      <xdr:col>23</xdr:col>
      <xdr:colOff>72390</xdr:colOff>
      <xdr:row>37</xdr:row>
      <xdr:rowOff>170391</xdr:rowOff>
    </xdr:to>
    <mc:AlternateContent xmlns:mc="http://schemas.openxmlformats.org/markup-compatibility/2006" xmlns:a14="http://schemas.microsoft.com/office/drawing/2010/main">
      <mc:Choice Requires="a14">
        <xdr:graphicFrame macro="">
          <xdr:nvGraphicFramePr>
            <xdr:cNvPr id="5" name="g/m2 1">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g/m2 1"/>
            </a:graphicData>
          </a:graphic>
        </xdr:graphicFrame>
      </mc:Choice>
      <mc:Fallback xmlns="">
        <xdr:sp macro="" textlink="">
          <xdr:nvSpPr>
            <xdr:cNvPr id="0" name=""/>
            <xdr:cNvSpPr>
              <a:spLocks noTextEdit="1"/>
            </xdr:cNvSpPr>
          </xdr:nvSpPr>
          <xdr:spPr>
            <a:xfrm>
              <a:off x="11746230" y="4684393"/>
              <a:ext cx="1274445" cy="2907031"/>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590550</xdr:colOff>
      <xdr:row>0</xdr:row>
      <xdr:rowOff>135253</xdr:rowOff>
    </xdr:from>
    <xdr:to>
      <xdr:col>23</xdr:col>
      <xdr:colOff>34290</xdr:colOff>
      <xdr:row>22</xdr:row>
      <xdr:rowOff>134831</xdr:rowOff>
    </xdr:to>
    <mc:AlternateContent xmlns:mc="http://schemas.openxmlformats.org/markup-compatibility/2006" xmlns:a14="http://schemas.microsoft.com/office/drawing/2010/main">
      <mc:Choice Requires="a14">
        <xdr:graphicFrame macro="">
          <xdr:nvGraphicFramePr>
            <xdr:cNvPr id="6" name="Width (mm) 1">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Width (mm) 1"/>
            </a:graphicData>
          </a:graphic>
        </xdr:graphicFrame>
      </mc:Choice>
      <mc:Fallback xmlns="">
        <xdr:sp macro="" textlink="">
          <xdr:nvSpPr>
            <xdr:cNvPr id="0" name=""/>
            <xdr:cNvSpPr>
              <a:spLocks noTextEdit="1"/>
            </xdr:cNvSpPr>
          </xdr:nvSpPr>
          <xdr:spPr>
            <a:xfrm>
              <a:off x="11734800" y="135253"/>
              <a:ext cx="1257300" cy="4493897"/>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74295</xdr:colOff>
      <xdr:row>0</xdr:row>
      <xdr:rowOff>125730</xdr:rowOff>
    </xdr:from>
    <xdr:to>
      <xdr:col>25</xdr:col>
      <xdr:colOff>304800</xdr:colOff>
      <xdr:row>17</xdr:row>
      <xdr:rowOff>19262</xdr:rowOff>
    </xdr:to>
    <mc:AlternateContent xmlns:mc="http://schemas.openxmlformats.org/markup-compatibility/2006" xmlns:a14="http://schemas.microsoft.com/office/drawing/2010/main">
      <mc:Choice Requires="a14">
        <xdr:graphicFrame macro="">
          <xdr:nvGraphicFramePr>
            <xdr:cNvPr id="7" name="Supplier 1">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Supplier 1"/>
            </a:graphicData>
          </a:graphic>
        </xdr:graphicFrame>
      </mc:Choice>
      <mc:Fallback xmlns="">
        <xdr:sp macro="" textlink="">
          <xdr:nvSpPr>
            <xdr:cNvPr id="0" name=""/>
            <xdr:cNvSpPr>
              <a:spLocks noTextEdit="1"/>
            </xdr:cNvSpPr>
          </xdr:nvSpPr>
          <xdr:spPr>
            <a:xfrm>
              <a:off x="13047345" y="125730"/>
              <a:ext cx="1449705" cy="345884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78105</xdr:colOff>
      <xdr:row>17</xdr:row>
      <xdr:rowOff>38100</xdr:rowOff>
    </xdr:from>
    <xdr:to>
      <xdr:col>25</xdr:col>
      <xdr:colOff>300990</xdr:colOff>
      <xdr:row>34</xdr:row>
      <xdr:rowOff>73236</xdr:rowOff>
    </xdr:to>
    <mc:AlternateContent xmlns:mc="http://schemas.openxmlformats.org/markup-compatibility/2006" xmlns:a14="http://schemas.microsoft.com/office/drawing/2010/main">
      <mc:Choice Requires="a14">
        <xdr:graphicFrame macro="">
          <xdr:nvGraphicFramePr>
            <xdr:cNvPr id="8" name="Lot (ton)">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Lot (ton)"/>
            </a:graphicData>
          </a:graphic>
        </xdr:graphicFrame>
      </mc:Choice>
      <mc:Fallback xmlns="">
        <xdr:sp macro="" textlink="">
          <xdr:nvSpPr>
            <xdr:cNvPr id="0" name=""/>
            <xdr:cNvSpPr>
              <a:spLocks noTextEdit="1"/>
            </xdr:cNvSpPr>
          </xdr:nvSpPr>
          <xdr:spPr>
            <a:xfrm>
              <a:off x="13051155" y="3657600"/>
              <a:ext cx="1436370" cy="321945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358140</xdr:colOff>
      <xdr:row>12</xdr:row>
      <xdr:rowOff>121920</xdr:rowOff>
    </xdr:from>
    <xdr:to>
      <xdr:col>27</xdr:col>
      <xdr:colOff>339090</xdr:colOff>
      <xdr:row>26</xdr:row>
      <xdr:rowOff>56515</xdr:rowOff>
    </xdr:to>
    <mc:AlternateContent xmlns:mc="http://schemas.openxmlformats.org/markup-compatibility/2006" xmlns:a14="http://schemas.microsoft.com/office/drawing/2010/main">
      <mc:Choice Requires="a14">
        <xdr:graphicFrame macro="">
          <xdr:nvGraphicFramePr>
            <xdr:cNvPr id="9" name="Paper bonus (t)">
              <a:extLst>
                <a:ext uri="{FF2B5EF4-FFF2-40B4-BE49-F238E27FC236}">
                  <a16:creationId xmlns:a16="http://schemas.microsoft.com/office/drawing/2014/main" id="{A08B7448-11D7-5568-6C81-A79AA3AEEDE1}"/>
                </a:ext>
              </a:extLst>
            </xdr:cNvPr>
            <xdr:cNvGraphicFramePr/>
          </xdr:nvGraphicFramePr>
          <xdr:xfrm>
            <a:off x="0" y="0"/>
            <a:ext cx="0" cy="0"/>
          </xdr:xfrm>
          <a:graphic>
            <a:graphicData uri="http://schemas.microsoft.com/office/drawing/2010/slicer">
              <sle:slicer xmlns:sle="http://schemas.microsoft.com/office/drawing/2010/slicer" name="Paper bonus (t)"/>
            </a:graphicData>
          </a:graphic>
        </xdr:graphicFrame>
      </mc:Choice>
      <mc:Fallback xmlns="">
        <xdr:sp macro="" textlink="">
          <xdr:nvSpPr>
            <xdr:cNvPr id="0" name=""/>
            <xdr:cNvSpPr>
              <a:spLocks noTextEdit="1"/>
            </xdr:cNvSpPr>
          </xdr:nvSpPr>
          <xdr:spPr>
            <a:xfrm>
              <a:off x="14550390" y="2788920"/>
              <a:ext cx="1175385" cy="259080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367665</xdr:colOff>
      <xdr:row>0</xdr:row>
      <xdr:rowOff>139065</xdr:rowOff>
    </xdr:from>
    <xdr:to>
      <xdr:col>27</xdr:col>
      <xdr:colOff>339090</xdr:colOff>
      <xdr:row>12</xdr:row>
      <xdr:rowOff>133350</xdr:rowOff>
    </xdr:to>
    <mc:AlternateContent xmlns:mc="http://schemas.openxmlformats.org/markup-compatibility/2006" xmlns:a14="http://schemas.microsoft.com/office/drawing/2010/main">
      <mc:Choice Requires="a14">
        <xdr:graphicFrame macro="">
          <xdr:nvGraphicFramePr>
            <xdr:cNvPr id="10" name="Currency">
              <a:extLst>
                <a:ext uri="{FF2B5EF4-FFF2-40B4-BE49-F238E27FC236}">
                  <a16:creationId xmlns:a16="http://schemas.microsoft.com/office/drawing/2014/main" id="{6CD0164C-E6E6-E67F-CF52-F66CD1AC646E}"/>
                </a:ext>
              </a:extLst>
            </xdr:cNvPr>
            <xdr:cNvGraphicFramePr/>
          </xdr:nvGraphicFramePr>
          <xdr:xfrm>
            <a:off x="0" y="0"/>
            <a:ext cx="0" cy="0"/>
          </xdr:xfrm>
          <a:graphic>
            <a:graphicData uri="http://schemas.microsoft.com/office/drawing/2010/slicer">
              <sle:slicer xmlns:sle="http://schemas.microsoft.com/office/drawing/2010/slicer" name="Currency"/>
            </a:graphicData>
          </a:graphic>
        </xdr:graphicFrame>
      </mc:Choice>
      <mc:Fallback xmlns="">
        <xdr:sp macro="" textlink="">
          <xdr:nvSpPr>
            <xdr:cNvPr id="0" name=""/>
            <xdr:cNvSpPr>
              <a:spLocks noTextEdit="1"/>
            </xdr:cNvSpPr>
          </xdr:nvSpPr>
          <xdr:spPr>
            <a:xfrm>
              <a:off x="14559915" y="139065"/>
              <a:ext cx="1165860" cy="258699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443865</xdr:colOff>
      <xdr:row>58</xdr:row>
      <xdr:rowOff>114299</xdr:rowOff>
    </xdr:from>
    <xdr:to>
      <xdr:col>18</xdr:col>
      <xdr:colOff>739140</xdr:colOff>
      <xdr:row>76</xdr:row>
      <xdr:rowOff>28574</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1082040</xdr:colOff>
      <xdr:row>61</xdr:row>
      <xdr:rowOff>103822</xdr:rowOff>
    </xdr:from>
    <xdr:to>
      <xdr:col>32</xdr:col>
      <xdr:colOff>295275</xdr:colOff>
      <xdr:row>81</xdr:row>
      <xdr:rowOff>85725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2552700</xdr:colOff>
      <xdr:row>68</xdr:row>
      <xdr:rowOff>40005</xdr:rowOff>
    </xdr:from>
    <xdr:to>
      <xdr:col>19</xdr:col>
      <xdr:colOff>38100</xdr:colOff>
      <xdr:row>86</xdr:row>
      <xdr:rowOff>38459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0515600" y="4211955"/>
          <a:ext cx="6391275" cy="3256004"/>
        </a:xfrm>
        <a:prstGeom prst="rect">
          <a:avLst/>
        </a:prstGeom>
      </xdr:spPr>
    </xdr:pic>
    <xdr:clientData/>
  </xdr:twoCellAnchor>
  <xdr:twoCellAnchor>
    <xdr:from>
      <xdr:col>13</xdr:col>
      <xdr:colOff>1811655</xdr:colOff>
      <xdr:row>37</xdr:row>
      <xdr:rowOff>167640</xdr:rowOff>
    </xdr:from>
    <xdr:to>
      <xdr:col>17</xdr:col>
      <xdr:colOff>523875</xdr:colOff>
      <xdr:row>49</xdr:row>
      <xdr:rowOff>13102</xdr:rowOff>
    </xdr:to>
    <xdr:pic>
      <xdr:nvPicPr>
        <xdr:cNvPr id="3" name="Grafik 1">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079355" y="1005840"/>
          <a:ext cx="5627370" cy="23314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Laboratorio/PESQUISA%20E%20DESENVOLVIMENTO/PED%20-%20Custeios/TAB%20PD%20041%20-%20CUSTOS%20PAP&#201;IS%20BASE.xlsx" TargetMode="External"/><Relationship Id="rId2" Type="http://schemas.openxmlformats.org/officeDocument/2006/relationships/externalLinkPath" Target="file:///N:\Laboratorio\PESQUISA%20E%20DESENVOLVIMENTO\PED%20-%20Custeios\TAB%20PD%20041%20-%20CUSTOS%20PAP&#201;IS%20BASE.xlsx" TargetMode="External"/><Relationship Id="rId1" Type="http://schemas.openxmlformats.org/officeDocument/2006/relationships/externalLinkPath" Target="/Laboratorio/PESQUISA%20E%20DESENVOLVIMENTO/PED%20-%20Custeios/TAB%20PD%20041%20-%20CUSTOS%20PAP&#201;IS%20BAS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ompras"/>
      <sheetName val="REV 00"/>
      <sheetName val="Custo por fornecedor"/>
      <sheetName val="Plan1"/>
      <sheetName val="Planilha2"/>
    </sheetNames>
    <sheetDataSet>
      <sheetData sheetId="0"/>
      <sheetData sheetId="1"/>
      <sheetData sheetId="2">
        <row r="24">
          <cell r="G24">
            <v>46183</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rbara Sena" refreshedDate="46000.683813541669" createdVersion="8" refreshedVersion="8" minRefreshableVersion="3" recordCount="260" xr:uid="{4B9AD532-FE08-46A3-9839-35EF052B1E82}">
  <cacheSource type="worksheet">
    <worksheetSource ref="A38:D298" sheet="PaperBase Dashboard"/>
  </cacheSource>
  <cacheFields count="7">
    <cacheField name="Supplier" numFmtId="0">
      <sharedItems count="12">
        <s v="CAIEIRAS INDUSTRIA E COMERCIO DE PAPEIS ESPECIAIS LTDA"/>
        <s v="CARTIERE DI GUARCINO S.P.A."/>
        <s v="HANGZHOU HUAWANG NEW MATERIAL TECHNOLOGY CO"/>
        <s v="GEBR HOFFSUMMER SPEZIALPAPIER GmbH &amp; Co."/>
        <s v="KINGDECOR (ZHEJIANG) CO., LTD"/>
        <s v="PAPIERFABRIK AUGUST KOEHLER AG"/>
        <s v="MALTA-DECOR SP. Z O. O."/>
        <s v="MUNKSJÖ PAPER S/A"/>
        <s v="TECHNOCELL DEKOR GMBH"/>
        <s v="SUNSHINE OJI (SHOUGUANG) SPECIALTY PAPER CO.,LTD."/>
        <s v="VERDE FORTE PAPEIS SA"/>
        <s v="TENTOK PAPER CO. LTD."/>
      </sharedItems>
    </cacheField>
    <cacheField name="Month" numFmtId="17">
      <sharedItems containsSemiMixedTypes="0" containsNonDate="0" containsDate="1" containsString="0" minDate="2023-01-01T00:00:00" maxDate="2025-01-02T00:00:00" count="25">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sharedItems>
      <fieldGroup par="6"/>
    </cacheField>
    <cacheField name="Quantity" numFmtId="3">
      <sharedItems containsSemiMixedTypes="0" containsString="0" containsNumber="1" containsInteger="1" minValue="0" maxValue="775338"/>
    </cacheField>
    <cacheField name="Origin" numFmtId="0">
      <sharedItems/>
    </cacheField>
    <cacheField name="Months (Month)" numFmtId="0" databaseField="0">
      <fieldGroup base="1">
        <rangePr groupBy="months" startDate="2023-01-01T00:00:00" endDate="2025-01-02T00:00:00"/>
        <groupItems count="14">
          <s v="&lt;01/01/2023"/>
          <s v="jan"/>
          <s v="fev"/>
          <s v="mar"/>
          <s v="abr"/>
          <s v="mai"/>
          <s v="jun"/>
          <s v="jul"/>
          <s v="ago"/>
          <s v="set"/>
          <s v="out"/>
          <s v="nov"/>
          <s v="dez"/>
          <s v="&gt;02/01/2025"/>
        </groupItems>
      </fieldGroup>
    </cacheField>
    <cacheField name="Quarters (Month)" numFmtId="0" databaseField="0">
      <fieldGroup base="1">
        <rangePr groupBy="quarters" startDate="2023-01-01T00:00:00" endDate="2025-01-02T00:00:00"/>
        <groupItems count="6">
          <s v="&lt;01/01/2023"/>
          <s v="Trim1"/>
          <s v="Trim2"/>
          <s v="Trim3"/>
          <s v="Trim4"/>
          <s v="&gt;02/01/2025"/>
        </groupItems>
      </fieldGroup>
    </cacheField>
    <cacheField name="Years (Month)" numFmtId="0" databaseField="0">
      <fieldGroup base="1">
        <rangePr groupBy="years" startDate="2023-01-01T00:00:00" endDate="2025-01-02T00:00:00"/>
        <groupItems count="5">
          <s v="&lt;01/01/2023"/>
          <s v="2023"/>
          <s v="2024"/>
          <s v="2025"/>
          <s v="&gt;02/01/202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568298611" createdVersion="8" refreshedVersion="8" minRefreshableVersion="3" recordCount="408" xr:uid="{00000000-000A-0000-FFFF-FFFF63000000}">
  <cacheSource type="worksheet">
    <worksheetSource ref="A38:C470" sheet="PaperBase Dashboard"/>
  </cacheSource>
  <cacheFields count="3">
    <cacheField name="Supplier" numFmtId="0">
      <sharedItems containsBlank="1"/>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7641550929" createdVersion="8" refreshedVersion="8" minRefreshableVersion="3" recordCount="408" xr:uid="{00000000-000A-0000-FFFF-FFFF38000000}">
  <cacheSource type="worksheet">
    <worksheetSource ref="A38:C970" sheet="PaperBase Dashboard"/>
  </cacheSource>
  <cacheFields count="3">
    <cacheField name="Supplier" numFmtId="0">
      <sharedItems containsBlank="1" count="13">
        <s v="CAIEIRAS INDUSTRIA E COMERCIO DE PAPEIS ESPECIAIS LTDA"/>
        <s v="CARTIERE DI GUARCINO S.P.A."/>
        <s v="HANGZHOU HUAWANG NEW MATERIAL TECHNOLOGY CO"/>
        <s v="GEBR HOFFSUMMER SPEZIALPAPIER GmbH &amp; Co."/>
        <s v="KINGDECOR (ZHEJIANG) CO., LTD"/>
        <s v="PAPIERFABRIK AUGUST KOEHLER AG"/>
        <s v="MALTA-DECOR SP. Z O. O."/>
        <s v="MUNKSJÖ PAPER S/A"/>
        <s v="TECHNOCELL DEKOR GMBH"/>
        <s v="SUNSHINE OJI (SHOUGUANG) SPECIALTY PAPER CO.,LTD."/>
        <s v="VERDE FORTE PAPEIS SA"/>
        <s v="TENTOK PAPER CO. LTD."/>
        <m/>
      </sharedItems>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7658101855" createdVersion="8" refreshedVersion="8" minRefreshableVersion="3" recordCount="408" xr:uid="{00000000-000A-0000-FFFF-FFFF3C000000}">
  <cacheSource type="worksheet">
    <worksheetSource ref="A38:D970" sheet="PaperBase Dashboard"/>
  </cacheSource>
  <cacheFields count="4">
    <cacheField name="Supplier" numFmtId="0">
      <sharedItems containsBlank="1"/>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 name="Origin" numFmtId="0">
      <sharedItems containsBlank="1" count="5">
        <s v="BR"/>
        <s v="EU"/>
        <s v="CN"/>
        <s v="JP"/>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arcelo Cardoso" refreshedDate="46211.810352199071" createdVersion="8" refreshedVersion="8" minRefreshableVersion="3" recordCount="516" xr:uid="{00000000-000A-0000-FFFF-FFFF18000000}">
  <cacheSource type="worksheet">
    <worksheetSource ref="A3:CK700" sheet="Preços e Condições"/>
  </cacheSource>
  <cacheFields count="89">
    <cacheField name="Material Number" numFmtId="0">
      <sharedItems containsBlank="1" containsMixedTypes="1" containsNumber="1" containsInteger="1" minValue="10029" maxValue="7004990"/>
    </cacheField>
    <cacheField name="Impress Type" numFmtId="0">
      <sharedItems containsBlank="1" containsMixedTypes="1" containsNumber="1" containsInteger="1" minValue="2" maxValue="31052" count="62">
        <s v="acerto"/>
        <s v="FF branco"/>
        <s v="FF PARDO"/>
        <n v="31052"/>
        <n v="9370"/>
        <s v="FF TABACO"/>
        <s v="FF PRETO"/>
        <s v="FF BRANCO HO"/>
        <s v="BACKING"/>
        <s v="FF MONOMAX"/>
        <n v="399"/>
        <n v="932"/>
        <n v="80"/>
        <n v="2"/>
        <n v="483"/>
        <n v="689"/>
        <n v="5481"/>
        <n v="380"/>
        <n v="8269"/>
        <n v="104"/>
        <s v="8291 LOP"/>
        <n v="1410"/>
        <n v="1430"/>
        <s v="8292 LOP"/>
        <s v="8269F"/>
        <n v="248"/>
        <n v="244"/>
        <n v="2638"/>
        <n v="9300"/>
        <n v="9080"/>
        <n v="938"/>
        <n v="497"/>
        <n v="664"/>
        <n v="8291"/>
        <n v="8292"/>
        <s v="0104 F"/>
        <n v="2795"/>
        <n v="8130"/>
        <n v="5740"/>
        <n v="301"/>
        <n v="128"/>
        <n v="308"/>
        <n v="86"/>
        <s v="0006"/>
        <s v="0128K"/>
        <n v="1833"/>
        <n v="408"/>
        <n v="9371"/>
        <n v="9372"/>
        <n v="9374"/>
        <n v="9377"/>
        <m/>
        <n v="204"/>
        <n v="247"/>
        <s v="XH1007"/>
        <n v="673"/>
        <n v="986"/>
        <n v="8686"/>
        <n v="8222" u="1"/>
        <n v="3222" u="1"/>
        <n v="6" u="1"/>
        <n v="1832" u="1"/>
      </sharedItems>
    </cacheField>
    <cacheField name="g/m2" numFmtId="0">
      <sharedItems containsString="0" containsBlank="1" containsNumber="1" containsInteger="1" minValue="30" maxValue="105" count="17">
        <n v="40"/>
        <n v="30"/>
        <n v="80"/>
        <n v="70"/>
        <n v="45"/>
        <n v="60"/>
        <n v="68"/>
        <n v="50"/>
        <n v="72"/>
        <n v="65"/>
        <n v="67"/>
        <n v="71"/>
        <n v="78"/>
        <n v="35"/>
        <n v="90"/>
        <n v="105"/>
        <m/>
      </sharedItems>
    </cacheField>
    <cacheField name="Width (mm)" numFmtId="0">
      <sharedItems containsString="0" containsBlank="1" containsNumber="1" containsInteger="1" minValue="623" maxValue="2175" count="25">
        <n v="1900"/>
        <n v="2140"/>
        <n v="1880"/>
        <n v="1905"/>
        <n v="2080"/>
        <n v="1270"/>
        <n v="1870"/>
        <n v="1855"/>
        <n v="1840"/>
        <n v="1865"/>
        <n v="1830"/>
        <n v="623"/>
        <n v="1860"/>
        <n v="2120"/>
        <n v="1550"/>
        <n v="2175"/>
        <n v="1330"/>
        <m/>
        <n v="2065"/>
        <n v="1845"/>
        <n v="1920"/>
        <n v="2070"/>
        <n v="2160"/>
        <n v="1250"/>
        <n v="640" u="1"/>
      </sharedItems>
    </cacheField>
    <cacheField name="Usage" numFmtId="0">
      <sharedItems containsBlank="1"/>
    </cacheField>
    <cacheField name="Supplier" numFmtId="0">
      <sharedItems containsBlank="1" count="20">
        <s v="Santher"/>
        <s v="Tentok"/>
        <s v="Munksjo DETT"/>
        <s v="VerdeForte"/>
        <s v="Cartiere"/>
        <s v="Technocell"/>
        <s v="Munksjo BR"/>
        <s v="Koehler"/>
        <s v="Munksjo ESP"/>
        <s v="Munksjo UNTER"/>
        <s v="Sunshine"/>
        <s v="Kingdecor"/>
        <s v="Huawon"/>
        <s v="Maltadecor"/>
        <s v="VF Papéis"/>
        <s v="Ultradecor"/>
        <s v="Qifeng"/>
        <s v="Xianhe"/>
        <m/>
        <s v="Munksjo" u="1"/>
      </sharedItems>
    </cacheField>
    <cacheField name="Product" numFmtId="0">
      <sharedItems containsBlank="1"/>
    </cacheField>
    <cacheField name="Color" numFmtId="0">
      <sharedItems containsBlank="1"/>
    </cacheField>
    <cacheField name="Supplier Ref" numFmtId="0">
      <sharedItems containsBlank="1" containsMixedTypes="1" containsNumber="1" containsInteger="1" minValue="104" maxValue="32166"/>
    </cacheField>
    <cacheField name="Reel Weight (t)" numFmtId="0">
      <sharedItems containsNonDate="0" containsString="0" containsBlank="1"/>
    </cacheField>
    <cacheField name="Production batch Qualified?" numFmtId="0">
      <sharedItems containsBlank="1"/>
    </cacheField>
    <cacheField name="Location" numFmtId="0">
      <sharedItems containsBlank="1"/>
    </cacheField>
    <cacheField name="Payment Terms" numFmtId="0">
      <sharedItems containsString="0" containsBlank="1" containsNumber="1" containsInteger="1" minValue="0" maxValue="120" count="8">
        <n v="30"/>
        <n v="90"/>
        <n v="60"/>
        <n v="0"/>
        <n v="120"/>
        <n v="75"/>
        <n v="45"/>
        <m/>
      </sharedItems>
    </cacheField>
    <cacheField name="Paper bonus (t)" numFmtId="0">
      <sharedItems containsString="0" containsBlank="1" containsNumber="1" containsInteger="1" minValue="300" maxValue="3300" count="6">
        <m/>
        <n v="300"/>
        <n v="3300"/>
        <n v="400"/>
        <n v="500"/>
        <n v="330" u="1"/>
      </sharedItems>
    </cacheField>
    <cacheField name="Lead Time" numFmtId="0">
      <sharedItems containsNonDate="0" containsString="0" containsBlank="1"/>
    </cacheField>
    <cacheField name="Stock Allowance(days)" numFmtId="0">
      <sharedItems containsString="0" containsBlank="1" containsNumber="1" containsInteger="1" minValue="0" maxValue="90"/>
    </cacheField>
    <cacheField name="Production Cycling" numFmtId="0">
      <sharedItems containsBlank="1"/>
    </cacheField>
    <cacheField name="Incoterm" numFmtId="0">
      <sharedItems containsBlank="1" count="4">
        <s v="FOB"/>
        <s v="EXW"/>
        <s v="CFR"/>
        <m/>
      </sharedItems>
    </cacheField>
    <cacheField name="ICMS" numFmtId="0">
      <sharedItems containsString="0" containsBlank="1" containsNumber="1" minValue="0.04" maxValue="0.12"/>
    </cacheField>
    <cacheField name="Incluso" numFmtId="0">
      <sharedItems containsBlank="1"/>
    </cacheField>
    <cacheField name="PIS/COFINS" numFmtId="0">
      <sharedItems containsString="0" containsBlank="1" containsNumber="1" minValue="9.2499999999999999E-2" maxValue="9.2499999999999999E-2"/>
    </cacheField>
    <cacheField name="Price Unit" numFmtId="0">
      <sharedItems containsBlank="1"/>
    </cacheField>
    <cacheField name="Lot (ton)" numFmtId="0">
      <sharedItems containsString="0" containsBlank="1" containsNumber="1" containsInteger="1" minValue="5" maxValue="3000" count="23">
        <m/>
        <n v="20"/>
        <n v="50"/>
        <n v="100"/>
        <n v="150"/>
        <n v="400"/>
        <n v="1000"/>
        <n v="800"/>
        <n v="25"/>
        <n v="15"/>
        <n v="300"/>
        <n v="30"/>
        <n v="10"/>
        <n v="600"/>
        <n v="500"/>
        <n v="200"/>
        <n v="70"/>
        <n v="40"/>
        <n v="5"/>
        <n v="26"/>
        <n v="80"/>
        <n v="250"/>
        <n v="3000" u="1"/>
      </sharedItems>
    </cacheField>
    <cacheField name="Currency" numFmtId="0">
      <sharedItems containsBlank="1" count="6">
        <s v="BRL"/>
        <s v="USD"/>
        <s v="EUR"/>
        <s v="CNY"/>
        <s v="RUB"/>
        <m/>
      </sharedItems>
    </cacheField>
    <cacheField name="jan/23" numFmtId="0">
      <sharedItems containsString="0" containsBlank="1" containsNumber="1" minValue="1600" maxValue="26500.15"/>
    </cacheField>
    <cacheField name="fev/23" numFmtId="0">
      <sharedItems containsString="0" containsBlank="1" containsNumber="1" minValue="1600" maxValue="26500.15"/>
    </cacheField>
    <cacheField name="mar/23" numFmtId="0">
      <sharedItems containsString="0" containsBlank="1" containsNumber="1" minValue="1600" maxValue="26500.15"/>
    </cacheField>
    <cacheField name="abr/23" numFmtId="0">
      <sharedItems containsString="0" containsBlank="1" containsNumber="1" minValue="200" maxValue="24000"/>
    </cacheField>
    <cacheField name="mai/23" numFmtId="0">
      <sharedItems containsString="0" containsBlank="1" containsNumber="1" minValue="200" maxValue="24000"/>
    </cacheField>
    <cacheField name="jun/23" numFmtId="0">
      <sharedItems containsString="0" containsBlank="1" containsNumber="1" minValue="200" maxValue="24000"/>
    </cacheField>
    <cacheField name="jul/23" numFmtId="0">
      <sharedItems containsString="0" containsBlank="1" containsNumber="1" minValue="200" maxValue="23040"/>
    </cacheField>
    <cacheField name="ago/23" numFmtId="0">
      <sharedItems containsString="0" containsBlank="1" containsNumber="1" minValue="200" maxValue="23040"/>
    </cacheField>
    <cacheField name="set/23" numFmtId="0">
      <sharedItems containsString="0" containsBlank="1" containsNumber="1" minValue="200" maxValue="23040"/>
    </cacheField>
    <cacheField name="out/23" numFmtId="0">
      <sharedItems containsString="0" containsBlank="1" containsNumber="1" minValue="1600" maxValue="22350"/>
    </cacheField>
    <cacheField name="nov/23" numFmtId="0">
      <sharedItems containsString="0" containsBlank="1" containsNumber="1" minValue="1600" maxValue="22350"/>
    </cacheField>
    <cacheField name="dez/23" numFmtId="0">
      <sharedItems containsString="0" containsBlank="1" containsNumber="1" minValue="1600" maxValue="22350"/>
    </cacheField>
    <cacheField name="jan/24" numFmtId="0">
      <sharedItems containsString="0" containsBlank="1" containsNumber="1" minValue="1720" maxValue="21679"/>
    </cacheField>
    <cacheField name="fev/24" numFmtId="0">
      <sharedItems containsString="0" containsBlank="1" containsNumber="1" minValue="1720" maxValue="21679"/>
    </cacheField>
    <cacheField name="mar/24" numFmtId="0">
      <sharedItems containsString="0" containsBlank="1" containsNumber="1" minValue="1600" maxValue="21679"/>
    </cacheField>
    <cacheField name="abr/24" numFmtId="0">
      <sharedItems containsString="0" containsBlank="1" containsNumber="1" minValue="1600" maxValue="21679"/>
    </cacheField>
    <cacheField name="mai/24" numFmtId="0">
      <sharedItems containsString="0" containsBlank="1" containsNumber="1" minValue="1600" maxValue="21679"/>
    </cacheField>
    <cacheField name="jun/24" numFmtId="0">
      <sharedItems containsString="0" containsBlank="1" containsNumber="1" minValue="1600" maxValue="21679"/>
    </cacheField>
    <cacheField name="jul/24" numFmtId="0">
      <sharedItems containsString="0" containsBlank="1" containsNumber="1" minValue="1650" maxValue="23501"/>
    </cacheField>
    <cacheField name="ago/24" numFmtId="0">
      <sharedItems containsString="0" containsBlank="1" containsNumber="1" minValue="1750" maxValue="23501"/>
    </cacheField>
    <cacheField name="set/24" numFmtId="0">
      <sharedItems containsString="0" containsBlank="1" containsNumber="1" minValue="1337" maxValue="23501"/>
    </cacheField>
    <cacheField name="out/24" numFmtId="0">
      <sharedItems containsString="0" containsBlank="1" containsNumber="1" minValue="1750" maxValue="24631"/>
    </cacheField>
    <cacheField name="nov/24" numFmtId="0">
      <sharedItems containsString="0" containsBlank="1" containsNumber="1" minValue="1750" maxValue="24631"/>
    </cacheField>
    <cacheField name="dez/24" numFmtId="0">
      <sharedItems containsString="0" containsBlank="1" containsNumber="1" minValue="1350" maxValue="24631"/>
    </cacheField>
    <cacheField name="jan/25" numFmtId="0">
      <sharedItems containsString="0" containsBlank="1" containsNumber="1" minValue="1337" maxValue="24631"/>
    </cacheField>
    <cacheField name="fev/25" numFmtId="0">
      <sharedItems containsString="0" containsBlank="1" containsNumber="1" minValue="1337" maxValue="24631"/>
    </cacheField>
    <cacheField name="mar/25" numFmtId="0">
      <sharedItems containsString="0" containsBlank="1" containsNumber="1" minValue="1337" maxValue="24631"/>
    </cacheField>
    <cacheField name="abr/25" numFmtId="0">
      <sharedItems containsString="0" containsBlank="1" containsNumber="1" minValue="1080" maxValue="24631"/>
    </cacheField>
    <cacheField name="mai/25" numFmtId="0">
      <sharedItems containsString="0" containsBlank="1" containsNumber="1" minValue="1080" maxValue="24631"/>
    </cacheField>
    <cacheField name="jun/25" numFmtId="0">
      <sharedItems containsString="0" containsBlank="1" containsNumber="1" minValue="1080" maxValue="24631"/>
    </cacheField>
    <cacheField name="jul/25" numFmtId="0">
      <sharedItems containsString="0" containsBlank="1" containsNumber="1" minValue="1230" maxValue="24631"/>
    </cacheField>
    <cacheField name="ago/25" numFmtId="0">
      <sharedItems containsString="0" containsBlank="1" containsNumber="1" minValue="1230" maxValue="24631"/>
    </cacheField>
    <cacheField name="set/25" numFmtId="0">
      <sharedItems containsString="0" containsBlank="1" containsNumber="1" minValue="1380" maxValue="24631"/>
    </cacheField>
    <cacheField name="out/25" numFmtId="0">
      <sharedItems containsString="0" containsBlank="1" containsNumber="1" minValue="1380" maxValue="24631"/>
    </cacheField>
    <cacheField name="nov/25" numFmtId="0">
      <sharedItems containsString="0" containsBlank="1" containsNumber="1" minValue="1660" maxValue="24631"/>
    </cacheField>
    <cacheField name="dez/25" numFmtId="0">
      <sharedItems containsString="0" containsBlank="1" containsNumber="1" minValue="1660" maxValue="24631"/>
    </cacheField>
    <cacheField name="jan/26" numFmtId="0">
      <sharedItems containsString="0" containsBlank="1" containsNumber="1" minValue="1650" maxValue="210000"/>
    </cacheField>
    <cacheField name="fev/26" numFmtId="0">
      <sharedItems containsString="0" containsBlank="1" containsNumber="1" minValue="1650" maxValue="210000"/>
    </cacheField>
    <cacheField name="mar/26" numFmtId="0">
      <sharedItems containsString="0" containsBlank="1" containsNumber="1" minValue="1650" maxValue="210000"/>
    </cacheField>
    <cacheField name="abr/26" numFmtId="0">
      <sharedItems containsString="0" containsBlank="1" containsNumber="1" minValue="1100" maxValue="26060"/>
    </cacheField>
    <cacheField name="mai/26" numFmtId="0">
      <sharedItems containsString="0" containsBlank="1" containsNumber="1" minValue="1100" maxValue="26060"/>
    </cacheField>
    <cacheField name="jun/26" numFmtId="0">
      <sharedItems containsString="0" containsBlank="1" containsNumber="1" minValue="1100" maxValue="26060"/>
    </cacheField>
    <cacheField name="jul/26" numFmtId="0">
      <sharedItems containsString="0" containsBlank="1" containsNumber="1" containsInteger="1" minValue="1600" maxValue="27180"/>
    </cacheField>
    <cacheField name="ago/26" numFmtId="0">
      <sharedItems containsString="0" containsBlank="1" containsNumber="1" containsInteger="1" minValue="1600" maxValue="27180"/>
    </cacheField>
    <cacheField name="set/26" numFmtId="0">
      <sharedItems containsString="0" containsBlank="1" containsNumber="1" containsInteger="1" minValue="1600" maxValue="27180"/>
    </cacheField>
    <cacheField name="out/26" numFmtId="0">
      <sharedItems containsNonDate="0" containsString="0" containsBlank="1"/>
    </cacheField>
    <cacheField name="nov/26" numFmtId="0">
      <sharedItems containsNonDate="0" containsString="0" containsBlank="1"/>
    </cacheField>
    <cacheField name="dez/26" numFmtId="0">
      <sharedItems containsNonDate="0" containsString="0" containsBlank="1"/>
    </cacheField>
    <cacheField name="Current Price" numFmtId="0">
      <sharedItems containsBlank="1" containsMixedTypes="1" containsNumber="1" minValue="1000" maxValue="210000" count="263">
        <n v="9440.6498999999985"/>
        <n v="9568.2262499999997"/>
        <n v="2153"/>
        <n v="3360"/>
        <n v="3060"/>
        <n v="3010"/>
        <n v="3550"/>
        <n v="3400"/>
        <n v="3350"/>
        <n v="2980"/>
        <n v="3110"/>
        <n v="2198"/>
        <n v="2690"/>
        <n v="2640"/>
        <n v="2910"/>
        <n v="14203.2"/>
        <n v="12385.83"/>
        <n v="17269.86"/>
        <n v="16823.400000000001"/>
        <n v="19239.78"/>
        <n v="10590"/>
        <n v="9432"/>
        <n v="2450"/>
        <n v="2370"/>
        <n v="8864.4599999999991"/>
        <n v="2900"/>
        <n v="3750"/>
        <n v="2550"/>
        <n v="2630"/>
        <n v="1230"/>
        <n v="1250"/>
        <n v="2390"/>
        <n v="2890"/>
        <n v="1750"/>
        <n v="1790"/>
        <n v="1900"/>
        <n v="2050"/>
        <n v="2350"/>
        <n v="1890"/>
        <n v="2320"/>
        <n v="2210"/>
        <n v="2500"/>
        <n v="1350"/>
        <n v="2470"/>
        <n v="20008"/>
        <n v="2330"/>
        <n v="2270"/>
        <n v="2280"/>
        <n v="2290"/>
        <n v="2310"/>
        <n v="2380"/>
        <n v="2430"/>
        <n v="2180"/>
        <n v="2200"/>
        <n v="2230"/>
        <n v="2000"/>
        <n v="2020"/>
        <n v="2100"/>
        <n v="1730"/>
        <n v="2410"/>
        <n v="1880"/>
        <n v="1930"/>
        <n v="1980"/>
        <n v="2040"/>
        <n v="2070"/>
        <n v="2120"/>
        <n v="1780"/>
        <n v="1830"/>
        <n v="2400"/>
        <n v="18889"/>
        <n v="18337"/>
        <n v="23581"/>
        <n v="19787"/>
        <n v="25865"/>
        <n v="22838"/>
        <n v="25933"/>
        <n v="23999.75"/>
        <n v="11555"/>
        <n v="15045"/>
        <n v="2460"/>
        <n v="2510"/>
        <n v="2560"/>
        <n v="2720"/>
        <n v="2770"/>
        <n v="2820"/>
        <n v="2590"/>
        <n v="2490"/>
        <n v="2530"/>
        <n v="2420"/>
        <n v="2480"/>
        <n v="2600"/>
        <n v="2680"/>
        <n v="2580"/>
        <n v="2740"/>
        <n v="2610"/>
        <n v="2660"/>
        <n v="2710"/>
        <n v="2790"/>
        <n v="2760"/>
        <n v="2840"/>
        <n v="2800"/>
        <n v="2220"/>
        <n v="3600"/>
        <n v="2850"/>
        <n v="2160"/>
        <n v="11650"/>
        <n v="1760"/>
        <n v="14500"/>
        <n v="1950"/>
        <n v="10950"/>
        <n v="1620"/>
        <n v="1600"/>
        <n v="11600"/>
        <n v="10300"/>
        <n v="1337"/>
        <n v="11900"/>
        <n v="1800"/>
        <n v="1380"/>
        <n v="13000"/>
        <n v="12000"/>
        <n v="11500"/>
        <n v="19500"/>
        <n v="9000"/>
        <n v="13500"/>
        <n v="1650"/>
        <n v="12100"/>
        <n v="13650"/>
        <n v="1530"/>
        <n v="12300"/>
        <n v="1080"/>
        <n v="8300"/>
        <n v="1450"/>
        <n v="2240"/>
        <n v="3030"/>
        <n v="2650"/>
        <n v="3150"/>
        <n v="1660"/>
        <n v="1850"/>
        <n v="2250"/>
        <n v="2950"/>
        <n v="2730"/>
        <n v="3230"/>
        <n v="2930"/>
        <n v="3430"/>
        <n v="2440"/>
        <n v="2940"/>
        <n v="2130"/>
        <n v="2830"/>
        <n v="1670"/>
        <n v="1680"/>
        <n v="1690"/>
        <n v="1710"/>
        <e v="#N/A"/>
        <n v="11000"/>
        <n v="1100"/>
        <n v="2090"/>
        <n v="1920"/>
        <n v="11700"/>
        <n v="210000"/>
        <n v="2620"/>
        <n v="8500"/>
        <n v="13900"/>
        <n v="27180"/>
        <n v="21205"/>
        <n v="1797"/>
        <n v="3020"/>
        <n v="3070"/>
        <n v="3120"/>
        <n v="3200"/>
        <n v="1990"/>
        <m/>
        <n v="3310" u="1"/>
        <n v="2960" u="1"/>
        <n v="2780" u="1"/>
        <n v="2150" u="1"/>
        <n v="2570" u="1"/>
        <n v="26060" u="1"/>
        <n v="20331" u="1"/>
        <n v="19183" u="1"/>
        <n v="17581" u="1"/>
        <n v="18111" u="1"/>
        <n v="22609" u="1"/>
        <n v="18981" u="1"/>
        <n v="24799" u="1"/>
        <n v="21897" u="1"/>
        <n v="24864" u="1"/>
        <n v="11079" u="1"/>
        <n v="14425" u="1"/>
        <n v="2990" u="1"/>
        <n v="3040" u="1"/>
        <n v="2520" u="1"/>
        <n v="2300" u="1"/>
        <n v="2190" u="1"/>
        <n v="1940" u="1"/>
        <n v="1970" u="1"/>
        <n v="1820" u="1"/>
        <n v="1770" u="1"/>
        <n v="2670" u="1"/>
        <n v="2700" u="1"/>
        <n v="1720" u="1"/>
        <n v="1960" u="1"/>
        <n v="2010" u="1"/>
        <n v="2340" u="1"/>
        <n v="2360" u="1"/>
        <n v="1910" u="1"/>
        <n v="2540" u="1"/>
        <n v="1870" u="1"/>
        <n v="1740" u="1"/>
        <n v="1480" u="1"/>
        <n v="1010" u="1"/>
        <n v="1050" u="1"/>
        <n v="1840" u="1"/>
        <n v="3270" u="1"/>
        <n v="2080" u="1"/>
        <n v="2860" u="1"/>
        <n v="2810" u="1"/>
        <n v="24631" u="1"/>
        <n v="19216" u="1"/>
        <n v="18131" u="1"/>
        <n v="16617" u="1"/>
        <n v="17118" u="1"/>
        <n v="21370" u="1"/>
        <n v="17941" u="1"/>
        <n v="23439" u="1"/>
        <n v="20696" u="1"/>
        <n v="23501" u="1"/>
        <n v="10471" u="1"/>
        <n v="13634" u="1"/>
        <n v="2110" u="1"/>
        <n v="2140" u="1"/>
        <n v="2260" u="1"/>
        <n v="1810" u="1"/>
        <n v="1860" u="1"/>
        <n v="2750" u="1"/>
        <n v="2060" u="1"/>
        <n v="2030" u="1"/>
        <n v="14996.25" u="1"/>
        <n v="13077.4" u="1"/>
        <n v="18234.14" u="1"/>
        <n v="20314.04" u="1"/>
        <n v="17762.740000000002" u="1"/>
        <n v="13911.18" u="1"/>
        <n v="12131.17" u="1"/>
        <n v="16914.78" u="1"/>
        <n v="18844.2" u="1"/>
        <n v="15859" u="1"/>
        <n v="17340" u="1"/>
        <n v="13700" u="1"/>
        <n v="15100" u="1"/>
        <n v="12800" u="1"/>
        <n v="12400" u="1"/>
        <n v="12600" u="1"/>
        <n v="13800" u="1"/>
        <n v="12500" u="1"/>
        <n v="19120" u="1"/>
        <n v="10000" u="1"/>
        <n v="3420" u="1"/>
        <n v="3260" u="1"/>
        <n v="2170" u="1"/>
        <n v="1570" u="1"/>
        <n v="8800" u="1"/>
        <n v="1000" u="1"/>
        <n v="9500" u="1"/>
      </sharedItems>
    </cacheField>
    <cacheField name="Última Atualização de Preço" numFmtId="0">
      <sharedItems containsDate="1" containsBlank="1" containsMixedTypes="1" minDate="2023-03-01T00:00:00" maxDate="2026-07-09T00:00:00" count="94">
        <d v="2025-09-01T00:00:00"/>
        <d v="2024-06-01T00:00:00"/>
        <d v="2026-07-08T00:00:00"/>
        <d v="2023-03-01T00:00:00"/>
        <d v="2026-06-01T00:00:00"/>
        <d v="2024-12-01T00:00:00"/>
        <d v="2026-04-01T00:00:00"/>
        <d v="2025-12-01T00:00:00"/>
        <d v="2024-09-01T00:00:00"/>
        <d v="2025-06-01T00:00:00"/>
        <d v="2025-08-01T00:00:00"/>
        <d v="2026-01-01T00:00:00"/>
        <d v="2023-12-01T00:00:00"/>
        <d v="2023-06-01T00:00:00"/>
        <d v="2026-03-01T00:00:00"/>
        <d v="2025-05-01T00:00:00"/>
        <d v="2025-03-01T00:00:00"/>
        <d v="2025-07-01T00:00:00"/>
        <d v="2025-10-01T00:00:00"/>
        <d v="2025-11-01T00:00:00"/>
        <d v="2024-02-01T00:00:00"/>
        <e v="#N/A"/>
        <d v="2026-05-01T00:00:00"/>
        <m/>
        <d v="2026-07-07T00:00:00" u="1"/>
        <d v="2026-07-03T00:00:00" u="1"/>
        <d v="2026-02-01T00:00:00" u="1"/>
        <d v="2026-05-28T00:00:00" u="1"/>
        <d v="2026-05-27T00:00:00" u="1"/>
        <d v="2026-05-21T00:00:00" u="1"/>
        <d v="2026-05-12T00:00:00" u="1"/>
        <d v="2026-05-05T00:00:00" u="1"/>
        <d v="2026-04-28T00:00:00" u="1"/>
        <d v="2026-04-27T00:00:00" u="1"/>
        <d v="2026-04-08T00:00:00" u="1"/>
        <d v="2026-04-07T00:00:00" u="1"/>
        <d v="2026-04-06T00:00:00" u="1"/>
        <d v="2026-03-31T00:00:00" u="1"/>
        <d v="2026-03-30T00:00:00" u="1"/>
        <d v="2026-03-27T00:00:00" u="1"/>
        <d v="2026-03-26T00:00:00" u="1"/>
        <d v="2026-03-24T00:00:00" u="1"/>
        <d v="2026-03-19T00:00:00" u="1"/>
        <d v="2026-03-18T00:00:00" u="1"/>
        <d v="2026-03-12T00:00:00" u="1"/>
        <d v="2026-03-03T00:00:00" u="1"/>
        <d v="2026-02-23T00:00:00" u="1"/>
        <d v="2026-02-19T00:00:00" u="1"/>
        <d v="2026-01-29T00:00:00" u="1"/>
        <d v="2026-01-28T00:00:00" u="1"/>
        <d v="2026-01-21T00:00:00" u="1"/>
        <d v="2026-01-16T00:00:00" u="1"/>
        <d v="2026-01-12T00:00:00" u="1"/>
        <d v="2026-01-07T00:00:00" u="1"/>
        <d v="2026-01-06T00:00:00" u="1"/>
        <d v="2025-12-18T00:00:00" u="1"/>
        <d v="2025-12-17T00:00:00" u="1"/>
        <d v="2025-12-16T00:00:00" u="1"/>
        <d v="2025-12-09T00:00:00" u="1"/>
        <d v="2025-12-03T00:00:00" u="1"/>
        <d v="2025-11-28T00:00:00" u="1"/>
        <d v="2025-11-25T00:00:00" u="1"/>
        <d v="2025-11-24T00:00:00" u="1"/>
        <d v="2025-11-18T00:00:00" u="1"/>
        <d v="2025-11-17T00:00:00" u="1"/>
        <d v="2025-11-13T00:00:00" u="1"/>
        <d v="2025-11-10T00:00:00" u="1"/>
        <d v="2025-11-07T00:00:00" u="1"/>
        <d v="2025-10-29T00:00:00" u="1"/>
        <d v="2025-10-07T00:00:00" u="1"/>
        <d v="2025-09-30T00:00:00" u="1"/>
        <d v="2025-09-29T00:00:00" u="1"/>
        <d v="2025-09-24T00:00:00" u="1"/>
        <d v="2025-09-08T00:00:00" u="1"/>
        <d v="2025-09-03T00:00:00" u="1"/>
        <d v="2025-09-02T00:00:00" u="1"/>
        <d v="2025-08-29T00:00:00" u="1"/>
        <d v="2025-08-27T00:00:00" u="1"/>
        <d v="2025-08-19T00:00:00" u="1"/>
        <d v="2025-08-08T00:00:00" u="1"/>
        <d v="2025-08-07T00:00:00" u="1"/>
        <d v="2025-07-31T00:00:00" u="1"/>
        <d v="2025-07-25T00:00:00" u="1"/>
        <d v="2025-07-18T00:00:00" u="1"/>
        <d v="2025-07-16T00:00:00" u="1"/>
        <d v="2025-07-15T00:00:00" u="1"/>
        <d v="2025-07-07T00:00:00" u="1"/>
        <d v="2025-07-04T00:00:00" u="1"/>
        <d v="2025-07-03T00:00:00" u="1"/>
        <d v="2025-06-30T00:00:00" u="1"/>
        <d v="2025-06-27T00:00:00" u="1"/>
        <d v="2025-06-24T00:00:00" u="1"/>
        <d v="2025-06-23T00:00:00" u="1"/>
        <d v="2025-06-18T00:00:00" u="1"/>
      </sharedItems>
    </cacheField>
    <cacheField name="YTD" numFmtId="0">
      <sharedItems containsBlank="1" containsMixedTypes="1" containsNumber="1" minValue="-0.37593984962406013" maxValue="49.8" count="1314">
        <e v="#N/A"/>
        <n v="8.0385852090032239E-2"/>
        <n v="8.8967971530249157E-2"/>
        <n v="9.0579710144927494E-2"/>
        <n v="4.195804195804187E-2"/>
        <n v="1.1278195488721776E-2"/>
        <n v="1.1494252873563315E-2"/>
        <n v="2.0991749082392763E-2"/>
        <n v="2.0992204379297386E-2"/>
        <n v="2.0992291948225272E-2"/>
        <n v="2.0992262175694165E-2"/>
        <n v="2.0992135511191723E-2"/>
        <n v="0"/>
        <n v="8.8888888888888795E-2"/>
        <n v="8.6956521739130377E-2"/>
        <n v="8.5106382978723305E-2"/>
        <n v="8.2304526748971263E-2"/>
        <n v="0.10352435055981468"/>
        <n v="7.870370370370372E-2"/>
        <n v="8.0952380952380887E-2"/>
        <n v="8.0568720379146974E-2"/>
        <n v="8.0188679245283057E-2"/>
        <n v="7.9439252336448662E-2"/>
        <n v="7.7981651376146877E-2"/>
        <n v="7.6923076923076872E-2"/>
        <n v="7.5221238938053103E-2"/>
        <n v="7.9207920792079278E-2"/>
        <n v="7.8431372549019551E-2"/>
        <n v="7.7294685990338063E-2"/>
        <n v="7.547169811320753E-2"/>
        <n v="9.2896174863388081E-2"/>
        <n v="9.1891891891891841E-2"/>
        <n v="9.0425531914893664E-2"/>
        <n v="8.8082901554404236E-2"/>
        <n v="-4.4198895027624308E-2"/>
        <n v="9.3023255813953432E-2"/>
        <n v="9.1954022988505857E-2"/>
        <n v="9.0395480225988756E-2"/>
        <n v="8.7912087912087822E-2"/>
        <n v="-1.1428571428571455E-2"/>
        <n v="-1.1299435028248594E-2"/>
        <n v="-1.1111111111111072E-2"/>
        <n v="-1.0810810810810811E-2"/>
        <n v="3.524229074889873E-2"/>
        <n v="3.4934497816593968E-2"/>
        <n v="3.4482758620689724E-2"/>
        <n v="3.3755274261603407E-2"/>
        <n v="7.5829383886255819E-2"/>
        <n v="7.5117370892018753E-2"/>
        <n v="7.4074074074074181E-2"/>
        <n v="7.2398190045248834E-2"/>
        <n v="0.10345834793784325"/>
        <n v="0.10350845519648555"/>
        <n v="0.10346279831539551"/>
        <n v="0.10289281533916728"/>
        <n v="0.10350270915994719"/>
        <n v="0.10349826053343647"/>
        <n v="0.10348495808688996"/>
        <n v="0.10352401871836503"/>
        <n v="0.10349127182044882"/>
        <n v="9.3333333333333268E-2"/>
        <n v="9.1304347826086873E-2"/>
        <n v="8.9361702127659592E-2"/>
        <n v="8.6419753086419693E-2"/>
        <n v="8.3665338645418252E-2"/>
        <n v="8.203125E-2"/>
        <n v="8.0459770114942541E-2"/>
        <n v="7.8066914498141182E-2"/>
        <n v="9.5454545454545459E-2"/>
        <n v="8.8235294117646967E-2"/>
        <n v="9.210526315789469E-2"/>
        <n v="9.0517241379310276E-2"/>
        <n v="7.8260869565217384E-2"/>
        <n v="8.3333333333333259E-2"/>
        <n v="8.0645161290322509E-2"/>
        <n v="9.0909090909090828E-2"/>
        <n v="8.4033613445378075E-2"/>
        <n v="8.4677419354838745E-2"/>
        <n v="8.3003952569169925E-2"/>
        <n v="9.6638655462184975E-2"/>
        <n v="9.4650205761316775E-2"/>
        <n v="9.2741935483870996E-2"/>
        <n v="8.984375E-2"/>
        <n v="8.8122605363984752E-2"/>
        <n v="0.12849162011173187"/>
        <n v="0.125"/>
        <n v="0.11557788944723613"/>
        <n v="9.543568464730301E-2"/>
        <n v="0.10091743119266061"/>
        <n v="4.014598540145986E-2"/>
        <n v="0.11057692307692313"/>
        <n v="0.11917098445595853"/>
        <n v="0.10313901345291487"/>
        <n v="2.5125628140703515E-2"/>
        <n v="0.11442786069651745"/>
        <n v="0.33009708737864085"/>
        <n v="2.4752475247524774E-2"/>
        <n v="0.11274509803921573"/>
        <n v="0.32535885167464107"/>
        <n v="2.1929824561403466E-2"/>
        <n v="0.10000000000000009"/>
        <n v="0.28936170212765955"/>
        <n v="5.1502145922746712E-2"/>
        <n v="0.12765957446808507"/>
        <n v="0.3125"/>
        <n v="-0.10810810810810811"/>
        <n v="-1.0695187165775444E-2"/>
        <n v="0.22395833333333326"/>
        <n v="5.6338028169014009E-2"/>
        <n v="0.13953488372093026"/>
        <n v="0.34090909090909083"/>
        <n v="2.0161290322580738E-2"/>
        <n v="9.2000000000000082E-2"/>
        <n v="0.26666666666666661"/>
        <n v="1.8656716417910557E-2"/>
        <n v="8.5185185185185253E-2"/>
        <n v="0.24727272727272731"/>
        <n v="2.2522522522522515E-2"/>
        <n v="0.1026785714285714"/>
        <n v="0.20960698689956336"/>
        <n v="4.743083003952564E-2"/>
        <n v="3.9603960396039639E-2"/>
        <n v="2.2831050228310446E-2"/>
        <n v="0.10407239819004532"/>
        <n v="0.30088495575221241"/>
        <n v="-3.7634408602150504E-2"/>
        <n v="-2.0618556701030966E-2"/>
        <n v="6.315789473684208E-2"/>
        <n v="0.15625"/>
        <n v="0.38071065989847708"/>
        <n v="5.9701492537313383E-2"/>
        <n v="0.14778325123152714"/>
        <n v="0.36057692307692313"/>
        <n v="8.181818181818179E-2"/>
        <n v="8.1081081081081141E-2"/>
        <n v="7.9295154185021977E-2"/>
        <n v="7.7586206896551824E-2"/>
        <n v="7.4999999999999956E-2"/>
        <n v="7.0866141732283561E-2"/>
        <n v="6.9498069498069581E-2"/>
        <n v="6.8181818181818121E-2"/>
        <n v="6.6176470588235281E-2"/>
        <n v="-6.0483870967741882E-2"/>
        <n v="-3.8888888888888862E-2"/>
        <n v="7.2580645161290258E-2"/>
        <n v="7.1146245059288571E-2"/>
        <n v="6.9767441860465018E-2"/>
        <n v="6.7669172932330879E-2"/>
        <n v="3.8022813688212143E-3"/>
        <n v="6.9999571772821456E-2"/>
        <n v="6.9999088445634072E-2"/>
        <n v="6.999926569363879E-2"/>
        <n v="6.9999573867521203E-2"/>
        <n v="4.6025104602510414E-2"/>
        <n v="8.0000000000000071E-2"/>
        <n v="7.5949367088607556E-2"/>
        <n v="7.3469387755102034E-2"/>
        <n v="5.7142857142857162E-2"/>
        <n v="7.2625698324022325E-2"/>
        <n v="1.9455252918287869E-2"/>
        <n v="0.10348747513296264"/>
        <n v="0.10350749375520407"/>
        <n v="7.4733096085409345E-2"/>
        <n v="7.3426573426573327E-2"/>
        <n v="7.2164948453608213E-2"/>
        <n v="7.0234113712374535E-2"/>
        <m/>
        <n v="6.4308681672025747E-2" u="1"/>
        <n v="7.1174377224199281E-2" u="1"/>
        <n v="7.2463768115942129E-2" u="1"/>
        <n v="4.5112781954887327E-2" u="1"/>
        <n v="4.5977011494252817E-2" u="1"/>
        <n v="8.9385474860335101E-2" u="1"/>
        <n v="8.040201005025116E-2" u="1"/>
        <n v="6.639004149377592E-2" u="1"/>
        <n v="4.8929663608562768E-2" u="1"/>
        <n v="5.8394160583941535E-2" u="1"/>
        <n v="8.290155440414515E-2" u="1"/>
        <n v="7.1748878923766801E-2" u="1"/>
        <n v="3.8022813688213031E-2" u="1"/>
        <n v="5.8016320896431273E-2" u="1"/>
        <n v="5.8024562864279705E-2" u="1"/>
        <n v="5.8022171970657954E-2" u="1"/>
        <n v="5.801287837756508E-2" u="1"/>
        <n v="5.8009113214160468E-2" u="1"/>
        <n v="5.7978474496958254E-2" u="1"/>
        <n v="5.796778328967167E-2" u="1"/>
        <n v="5.8022953197661931E-2" u="1"/>
        <n v="5.8030537301894114E-2" u="1"/>
        <n v="5.7997532019913978E-2" u="1"/>
        <n v="5.8065132270079367E-2" u="1"/>
        <n v="5.8016722898635686E-2" u="1"/>
        <n v="5.1792828685258918E-2" u="1"/>
        <n v="5.078125E-2" u="1"/>
        <n v="4.9808429118773923E-2" u="1"/>
        <n v="4.8327137546468446E-2" u="1"/>
        <n v="4.6263345195729499E-2" u="1"/>
        <n v="4.5454545454545414E-2" u="1"/>
        <n v="4.4673539518900407E-2" u="1"/>
        <n v="4.3478260869565188E-2" u="1"/>
        <n v="5.9090909090909083E-2" u="1"/>
        <n v="5.7777777777777706E-2" u="1"/>
        <n v="5.6521739130434678E-2" u="1"/>
        <n v="5.4621848739495826E-2" u="1"/>
        <n v="5.4545454545454453E-2" u="1"/>
        <n v="5.3333333333333233E-2" u="1"/>
        <n v="5.2173913043478182E-2" u="1"/>
        <n v="5.0420168067226934E-2" u="1"/>
        <n v="5.6034482758620774E-2" u="1"/>
        <n v="5.5319148936170182E-2" u="1"/>
        <n v="5.3497942386831365E-2" u="1"/>
        <n v="5.1063829787234116E-2" u="1"/>
        <n v="5.0000000000000044E-2" u="1"/>
        <n v="4.8387096774193505E-2" u="1"/>
        <n v="5.2419354838709742E-2" u="1"/>
        <n v="5.1383399209486091E-2" u="1"/>
        <n v="6.3025210084033612E-2" u="1"/>
        <n v="6.1728395061728447E-2" u="1"/>
        <n v="6.0483870967741993E-2" u="1"/>
        <n v="5.859375E-2" u="1"/>
        <n v="5.9288537549407216E-2" u="1"/>
        <n v="5.7471264367816133E-2" u="1"/>
        <n v="5.7017543859649189E-2" u="1"/>
        <n v="4.9382716049382713E-2" u="1"/>
        <n v="3.937007874015741E-2" u="1"/>
        <n v="3.8610038610038533E-2" u="1"/>
        <n v="3.7878787878787845E-2" u="1"/>
        <n v="3.6764705882353033E-2" u="1"/>
        <n v="4.5045045045045029E-2" u="1"/>
        <n v="4.4052863436123246E-2" u="1"/>
        <n v="4.31034482758621E-2" u="1"/>
        <n v="4.1666666666666741E-2" u="1"/>
        <n v="4.0322580645161255E-2" u="1"/>
        <n v="3.9525691699604737E-2" u="1"/>
        <n v="3.8759689922480689E-2" u="1"/>
        <n v="3.7593984962406068E-2" u="1"/>
        <n v="4.4444444444444509E-2" u="1"/>
        <n v="4.2194092827004148E-2" u="1"/>
        <n v="4.081632653061229E-2" u="1"/>
        <n v="4.2857142857142927E-2" u="1"/>
        <n v="4.2654028436019065E-2" u="1"/>
        <n v="4.2452830188679291E-2" u="1"/>
        <n v="4.20560747663552E-2" u="1"/>
        <n v="4.1284403669724856E-2" u="1"/>
        <n v="4.0723981900452566E-2" u="1"/>
        <n v="3.9823008849557473E-2" u="1"/>
        <n v="3.9215686274509887E-2" u="1"/>
        <n v="3.8647342995169032E-2" u="1"/>
        <n v="3.7735849056603765E-2" u="1"/>
        <n v="4.9180327868852514E-2" u="1"/>
        <n v="4.8648648648648596E-2" u="1"/>
        <n v="4.7872340425531901E-2" u="1"/>
        <n v="4.663212435233155E-2" u="1"/>
        <n v="4.6511627906976827E-2" u="1"/>
        <n v="4.5197740112994378E-2" u="1"/>
        <n v="4.3956043956044022E-2" u="1"/>
        <n v="-2.2099447513812209E-2" u="1"/>
        <n v="3.7914691943127909E-2" u="1"/>
        <n v="3.7558685446009488E-2" u="1"/>
        <n v="3.7037037037036979E-2" u="1"/>
        <n v="3.6199095022624528E-2" u="1"/>
        <n v="-1.2096774193548376E-2" u="1"/>
        <n v="-1.2000000000000011E-2" u="1"/>
        <n v="-1.9607843137254943E-2" u="1"/>
        <n v="-1.1194029850746245E-2" u="1"/>
        <n v="-1.8181818181818188E-2" u="1"/>
        <n v="-1.3157894736842146E-2" u="1"/>
        <n v="-1.3043478260869601E-2" u="1"/>
        <n v="-2.1276595744680882E-2" u="1"/>
        <n v="0.26291079812206575" u="1"/>
        <n v="0.26046511627906987" u="1"/>
        <n v="0.25454545454545463" u="1"/>
        <n v="-0.10695187165775399" u="1"/>
        <n v="-0.10416666666666663" u="1"/>
        <n v="0.24034334763948495" u="1"/>
        <n v="0.15019762845849804" u="1"/>
        <n v="-2.3102310231023049E-2" u="1"/>
        <n v="-1.5075376884422065E-2" u="1"/>
        <n v="-1.4925373134328401E-2" u="1"/>
        <n v="-2.4271844660194164E-2" u="1"/>
        <n v="-1.3698630136986356E-2" u="1"/>
        <n v="-1.3574660633484115E-2" u="1"/>
        <n v="-2.2123893805309769E-2" u="1"/>
        <n v="-1.4851485148514865E-2" u="1"/>
        <n v="-1.4705882352941124E-2" u="1"/>
        <n v="-2.3923444976076569E-2" u="1"/>
        <n v="-1.3513513513513487E-2" u="1"/>
        <n v="-1.3392857142857095E-2" u="1"/>
        <n v="-2.183406113537123E-2" u="1"/>
        <n v="4.2918454935623185E-3" u="1"/>
        <n v="4.2553191489360653E-3" u="1"/>
        <n v="-4.1666666666666519E-3" u="1"/>
        <n v="5.2631578947368585E-3" u="1"/>
        <n v="5.2083333333332593E-3" u="1"/>
        <n v="-5.0761421319797106E-3" u="1"/>
        <n v="4.9751243781095411E-3" u="1"/>
        <n v="4.9261083743843415E-3" u="1"/>
        <n v="-4.8076923076922906E-3" u="1"/>
        <n v="-1.6666666666666718E-2" u="1"/>
        <n v="-9.2741935483870996E-2" u="1"/>
        <n v="-1.1673151750972721E-2" u="1"/>
        <n v="4.3243243243243246E-2" u="1"/>
        <n v="-3.3149171270718258E-2" u="1"/>
        <n v="4.3715846994535568E-2" u="1"/>
        <n v="4.3010752688172005E-2" u="1"/>
        <n v="4.1884816753926746E-2" u="1"/>
        <n v="5.3763440860215006E-3" u="1"/>
        <n v="5.3191489361701372E-3" u="1"/>
        <n v="-5.1813471502590858E-3" u="1"/>
        <n v="5.1546391752577136E-3" u="1"/>
        <n v="5.1020408163264808E-3" u="1"/>
        <n v="-4.9751243781094301E-3" u="1"/>
        <n v="4.0000000000000036E-2" u="1"/>
        <n v="3.460207612456756E-2" u="1"/>
        <n v="8.4656084656084651E-2" u="1"/>
        <n v="4.2553191489361764E-2" u="1"/>
        <n v="-5.7142857142856718E-3" u="1"/>
        <n v="-5.5248618784530246E-3" u="1"/>
        <n v="4.5714285714285818E-2" u="1"/>
        <n v="4.4198895027624419E-2" u="1"/>
        <n v="1.195219123505975E-2" u="1"/>
        <n v="1.171875E-2" u="1"/>
        <n v="1.1152416356877248E-2" u="1"/>
        <n v="1.067615658362997E-2" u="1"/>
        <n v="1.0489510489510412E-2" u="1"/>
        <n v="1.0309278350515427E-2" u="1"/>
        <n v="1.0033444816053505E-2" u="1"/>
        <n v="1.3636363636363669E-2" u="1"/>
        <n v="1.3333333333333419E-2" u="1"/>
        <n v="1.304347826086949E-2" u="1"/>
        <n v="1.2605042016806678E-2" u="1"/>
        <n v="9.0909090909090384E-3" u="1"/>
        <n v="8.8888888888889461E-3" u="1"/>
        <n v="8.6956521739129933E-3" u="1"/>
        <n v="8.4033613445377853E-3" u="1"/>
        <n v="1.2931034482758674E-2" u="1"/>
        <n v="1.2765957446808418E-2" u="1"/>
        <n v="1.2345679012345734E-2" u="1"/>
        <n v="8.5106382978723527E-3" u="1"/>
        <n v="8.3333333333333037E-3" u="1"/>
        <n v="8.0645161290322509E-3" u="1"/>
        <n v="1.2096774193548487E-2" u="1"/>
        <n v="1.1857707509881354E-2" u="1"/>
        <n v="2.1008403361344463E-2" u="1"/>
        <n v="2.0576131687242816E-2" u="1"/>
        <n v="1.953125E-2" u="1"/>
        <n v="1.9762845849802479E-2" u="1"/>
        <n v="1.9157088122605304E-2" u="1"/>
        <n v="1.3157894736842035E-2" u="1"/>
        <n v="8.2304526748970819E-3" u="1"/>
        <n v="7.5268954656085851E-2" u="1"/>
        <n v="6.0810896021186833E-2" u="1"/>
        <n v="0.11173008260956641" u="1"/>
        <n v="3.3816502995092979E-2" u="1"/>
        <n v="3.3816375892466555E-2" u="1"/>
        <n v="3.3816082379228618E-2" u="1"/>
        <n v="3.3816543866872495E-2" u="1"/>
        <n v="7.799985335535875E-2" u="1"/>
        <n v="7.7999896135327429E-2" u="1"/>
        <n v="7.8000423298440813E-2" u="1"/>
        <n v="7.7999596692881701E-2" u="1"/>
        <n v="0.12004161674758818" u="1"/>
        <n v="0.3338461538461539" u="1"/>
        <n v="-8.7136929460580936E-2" u="1"/>
        <n v="-8.536585365853655E-2" u="1"/>
        <n v="-8.3665338645418363E-2" u="1"/>
        <n v="-8.108108108108103E-2" u="1"/>
        <n v="-0.14634146341463417" u="1"/>
        <n v="-8.203125E-2" u="1"/>
        <n v="-7.9545454545454586E-2" u="1"/>
        <n v="-6.5040650406504086E-2" u="1"/>
        <n v="-6.374501992031878E-2" u="1"/>
        <n v="-6.25E-2" u="1"/>
        <n v="-6.0606060606060552E-2" u="1"/>
        <n v="8.2987551867219622E-3" u="1"/>
        <n v="8.1300813008129413E-3" u="1"/>
        <n v="7.9681274900398336E-3" u="1"/>
        <n v="7.7220077220077066E-3" u="1"/>
        <n v="8.4745762711864181E-3" u="1"/>
        <n v="7.8740157480314821E-3" u="1"/>
        <n v="8.8495575221239076E-3" u="1"/>
        <n v="8.6580086580085869E-3" u="1"/>
        <n v="8.1967213114753079E-3" u="1"/>
        <n v="-0.20472440944881887" u="1"/>
        <n v="-1.7467248908296984E-2" u="1"/>
        <n v="-1.7094017094017144E-2" u="1"/>
        <n v="-1.6736401673640211E-2" u="1"/>
        <n v="-1.619433198380571E-2" u="1"/>
        <n v="-3.6649214659685847E-2" u="1"/>
        <n v="-3.398058252427183E-2" u="1"/>
        <n v="-2.8225806451612878E-2" u="1"/>
        <n v="-2.0958083832335328E-2" u="1"/>
        <n v="-6.7264573991031362E-2" u="1"/>
        <n v="-7.2115384615384581E-2" u="1"/>
        <n v="-6.3025210084033612E-2" u="1"/>
        <n v="-5.3380782918149516E-2" u="1"/>
        <n v="-5.4347826086956541E-2" u="1"/>
        <n v="-4.9833887043189362E-2" u="1"/>
        <n v="-2.2012578616352196E-2" u="1"/>
        <n v="-2.4734982332155431E-2" u="1"/>
        <n v="-2.430555555555558E-2" u="1"/>
        <n v="-2.4911032028469782E-2" u="1"/>
        <n v="-9.8039215686274161E-3" u="1"/>
        <n v="-9.7087378640776656E-3" u="1"/>
        <n v="-9.5693779904306719E-3" u="1"/>
        <n v="-9.3457943925233655E-3" u="1"/>
        <n v="-1.0526315789473717E-2" u="1"/>
        <n v="-1.025641025641022E-2" u="1"/>
        <n v="-1.1494252873563204E-2" u="1"/>
        <n v="-1.1363636363636354E-2" u="1"/>
        <n v="-1.1173184357541888E-2" u="1"/>
        <n v="-1.0869565217391353E-2" u="1"/>
        <n v="-1.098901098901095E-2" u="1"/>
        <n v="-1.0928961748633892E-2" u="1"/>
        <n v="-1.0638297872340385E-2" u="1"/>
        <n v="-1.0362694300518172E-2" u="1"/>
        <n v="-9.3896713615023719E-3" u="1"/>
        <n v="-9.302325581395321E-3" u="1"/>
        <n v="-9.1743119266054496E-3" u="1"/>
        <n v="-8.9686098654708779E-3" u="1"/>
        <n v="-8.733624454148492E-3" u="1"/>
        <n v="-8.6580086580086979E-3" u="1"/>
        <n v="-8.5470085470085166E-3" u="1"/>
        <n v="-8.3682008368201055E-3" u="1"/>
        <n v="-9.4339622641509413E-3" u="1"/>
        <n v="-9.2592592592593004E-3" u="1"/>
        <n v="-9.0909090909090384E-3" u="1"/>
        <n v="-8.7719298245614308E-3" u="1"/>
        <n v="-0.14338235294117652" u="1"/>
        <n v="-0.13059701492537312" u="1"/>
        <n v="-0.124" u="1"/>
        <n v="-3.9735099337748325E-2" u="1"/>
        <n v="-0.11794871794871797" u="1"/>
        <n v="-4.132231404958675E-2" u="1"/>
        <n v="-0.12101910828025475" u="1"/>
        <n v="-4.0322580645161255E-2" u="1"/>
        <n v="-4.7619047619047672E-2" u="1"/>
        <n v="-2.4390243902439046E-2" u="1"/>
        <n v="-0.17333333333333334" u="1"/>
        <n v="-0.17218543046357615" u="1"/>
        <n v="-0.16938110749185664" u="1"/>
        <n v="-0.10666666666666669" u="1"/>
        <n v="-0.10596026490066224" u="1"/>
        <n v="-0.10423452768729646" u="1"/>
        <n v="-0.11428571428571432" u="1"/>
        <n v="-0.11347517730496459" u="1"/>
        <n v="-0.11149825783972123" u="1"/>
        <n v="-0.18571428571428572" u="1"/>
        <n v="-0.18439716312056742" u="1"/>
        <n v="-0.18118466898954699" u="1"/>
        <n v="-0.18796992481203012" u="1"/>
        <n v="-0.1992481203007519" u="1"/>
        <n v="-0.19776119402985071" u="1"/>
        <n v="-0.19413919413919412" u="1"/>
        <n v="-0.37593984962406013" u="1"/>
        <n v="-0.30451127819548873" u="1"/>
        <n v="-0.30223880597014929" u="1"/>
        <n v="-0.29670329670329665" u="1"/>
        <n v="-0.27450980392156865" u="1"/>
        <n v="-0.20717131474103589" u="1"/>
        <n v="-0.2055335968379447" u="1"/>
        <n v="-0.20155038759689925" u="1"/>
        <n v="-0.12749003984063745" u="1"/>
        <n v="-0.12648221343873522" u="1"/>
        <n v="-0.12403100775193798" u="1"/>
        <n v="-0.18548387096774188" u="1"/>
        <n v="-0.18400000000000005" u="1"/>
        <n v="-0.18039215686274512" u="1"/>
        <n v="-0.10483870967741937" u="1"/>
        <n v="-0.10399999999999998" u="1"/>
        <n v="-0.10196078431372546" u="1"/>
        <n v="-1.2711864406779627E-2" u="1"/>
        <n v="-1.2605042016806678E-2" u="1"/>
        <n v="-1.2345679012345734E-2" u="1"/>
        <n v="-0.19480519480519476" u="1"/>
        <n v="-0.19313304721030045" u="1"/>
        <n v="-0.18907563025210083" u="1"/>
        <n v="-0.18828451882845187" u="1"/>
        <n v="-0.18672199170124482" u="1"/>
        <n v="-0.18292682926829273" u="1"/>
        <n v="-0.15555555555555556" u="1"/>
        <n v="-0.1541850220264317" u="1"/>
        <n v="-0.15086206896551724" u="1"/>
        <n v="-0.14830508474576276" u="1"/>
        <n v="-0.1470588235294118" u="1"/>
        <n v="-0.1440329218106996" u="1"/>
        <n v="6.1522448979591582E-2" u="1"/>
        <n v="6.4999999999999947E-2" u="1"/>
        <n v="-5.7971014492753659E-2" u="1"/>
        <n v="-4.0000000000000036E-2" u="1"/>
        <n v="-4.166666666666663E-2" u="1"/>
        <n v="1.9874476987447709E-2" u="1"/>
        <n v="6.8" u="1"/>
        <n v="-9.9999999999999978E-2" u="1"/>
        <n v="-5.8823529411764719E-2" u="1"/>
        <n v="-7.4626865671641784E-2" u="1"/>
        <n v="-4.8000000000000043E-2" u="1"/>
        <n v="3.1872509960159334E-2" u="1"/>
        <n v="3.125E-2" u="1"/>
        <n v="3.0651340996168619E-2" u="1"/>
        <n v="2.9739776951672958E-2" u="1"/>
        <n v="2.8469750889679624E-2" u="1"/>
        <n v="2.7972027972027913E-2" u="1"/>
        <n v="2.7491408934707806E-2" u="1"/>
        <n v="2.6755852842809347E-2" u="1"/>
        <n v="-4.5643153526970903E-2" u="1"/>
        <n v="-4.471544715447151E-2" u="1"/>
        <n v="-4.3824701195219085E-2" u="1"/>
        <n v="-4.2471042471042497E-2" u="1"/>
        <n v="-4.296875E-2" u="1"/>
        <n v="4.1493775933610033E-2" u="1"/>
        <n v="4.0650406504065151E-2" u="1"/>
        <n v="3.9840637450199168E-2" u="1"/>
        <n v="4.2372881355932313E-2" u="1"/>
        <n v="4.4247787610619538E-2" u="1"/>
        <n v="4.3290043290043378E-2" u="1"/>
        <n v="4.0983606557376984E-2" u="1"/>
        <n v="2.6200873362445476E-2" u="1"/>
        <n v="2.564102564102555E-2" u="1"/>
        <n v="2.5104602510460206E-2" u="1"/>
        <n v="2.4291497975708509E-2" u="1"/>
        <n v="3.8834951456310662E-2" u="1"/>
        <n v="3.2258064516129004E-2" u="1"/>
        <n v="2.39520958083832E-2" u="1"/>
        <n v="2.8268551236749095E-2" u="1"/>
        <n v="2.7777777777777679E-2" u="1"/>
        <n v="2.515723270440251E-2" u="1"/>
        <n v="-0.12333333333333329" u="1"/>
        <n v="-0.12251655629139069" u="1"/>
        <n v="-0.12052117263843654" u="1"/>
        <n v="-5.6666666666666643E-2" u="1"/>
        <n v="-5.6291390728476776E-2" u="1"/>
        <n v="-5.5374592833876246E-2" u="1"/>
        <n v="-6.0714285714285721E-2" u="1"/>
        <n v="-6.0283687943262443E-2" u="1"/>
        <n v="-5.9233449477351874E-2" u="1"/>
        <n v="-0.13214285714285712" u="1"/>
        <n v="-0.13120567375886527" u="1"/>
        <n v="-0.12891986062717775" u="1"/>
        <n v="-0.18656716417910446" u="1"/>
        <n v="-0.18315018315018317" u="1"/>
        <n v="-0.19607843137254899" u="1"/>
        <n v="-7.9681274900398336E-3" u="1"/>
        <n v="-7.905138339920903E-3" u="1"/>
        <n v="-7.7519379844961378E-3" u="1"/>
        <n v="7.1713147410358502E-2" u="1"/>
        <n v="-0.14919354838709675" u="1"/>
        <n v="-0.14800000000000002" u="1"/>
        <n v="-0.14509803921568631" u="1"/>
        <n v="-6.8548387096774244E-2" u="1"/>
        <n v="-6.7999999999999949E-2" u="1"/>
        <n v="-6.6666666666666652E-2" u="1"/>
        <n v="5.0847457627118731E-2" u="1"/>
        <n v="-0.15151515151515149" u="1"/>
        <n v="-0.15021459227467815" u="1"/>
        <n v="-0.14644351464435146" u="1"/>
        <n v="-0.14522821576763489" u="1"/>
        <n v="-0.14227642276422769" u="1"/>
        <n v="-0.1333333333333333" u="1"/>
        <n v="-0.13215859030837007" u="1"/>
        <n v="-0.12931034482758619" u="1"/>
        <n v="-0.1271186440677966" u="1"/>
        <n v="-0.12605042016806722" u="1"/>
        <n v="-0.12345679012345678" u="1"/>
        <n v="3.8277511961722466E-2" u="1"/>
        <n v="3.7383177570093462E-2" u="1"/>
        <n v="4.2780748663101553E-2" u="1"/>
        <n v="4.2105263157894646E-2" u="1"/>
        <n v="4.1025641025641102E-2" u="1"/>
        <n v="4.4692737430167551E-2" u="1"/>
        <n v="4.1450777202072464E-2" u="1"/>
        <n v="3.7209302325581506E-2" u="1"/>
        <n v="3.669724770642202E-2" u="1"/>
        <n v="3.5874439461883512E-2" u="1"/>
        <n v="3.463203463203457E-2" u="1"/>
        <n v="3.4188034188034289E-2" u="1"/>
        <n v="3.3472803347280422E-2" u="1"/>
        <n v="3.6363636363636376E-2" u="1"/>
        <n v="3.5087719298245723E-2" u="1"/>
        <n v="-0.14741035856573703" u="1"/>
        <n v="-0.14624505928853759" u="1"/>
        <n v="-0.14341085271317833" u="1"/>
        <n v="-6.7729083665338696E-2" u="1"/>
        <n v="-6.7193675889328008E-2" u="1"/>
        <n v="-6.589147286821706E-2" u="1"/>
        <n v="-0.24829931972789121" u="1"/>
        <n v="-0.18972332015810278" u="1"/>
        <n v="4.3062200956937691E-2" u="1"/>
        <n v="-0.24" u="1"/>
        <n v="-0.20408163265306123" u="1"/>
        <n v="-0.26470588235294112" u="1"/>
        <n v="-0.17529880478087645" u="1"/>
        <n v="0.1272727272727272" u="1"/>
        <n v="0.22413793103448265" u="1"/>
        <n v="-6.9999999999999951E-2" u="1"/>
        <n v="5.9999533705611396E-2" u="1"/>
        <n v="-7.9166666666666718E-2" u="1"/>
        <n v="-0.19402985074626866" u="1"/>
        <n v="0.1339285714285714" u="1"/>
        <n v="-3.0004710315591154E-2" u="1"/>
        <n v="1.1627906976744207E-2" u="1"/>
        <n v="-0.16304347826086951" u="1"/>
        <n v="0.12962962962962954" u="1"/>
        <n v="-0.11764705882352944" u="1"/>
        <n v="-0.17670682730923692" u="1"/>
        <n v="-0.15857605177993528" u="1"/>
        <n v="-0.26045016077170413" u="1"/>
        <n v="-8.4999999999999964E-2" u="1"/>
        <n v="0.10526315789473695" u="1"/>
        <n v="-0.20512820512820518" u="1"/>
        <n v="-0.22053231939163498" u="1"/>
        <n v="-0.1633466135458167" u="1"/>
        <n v="-4.1284403669724745E-2" u="1"/>
        <n v="13.833333333333334" u="1"/>
        <n v="7.5187969924812137E-2" u="1"/>
        <n v="9.6153846153846256E-2" u="1"/>
        <n v="2.1834061135371119E-2" u="1"/>
        <n v="2.3696682464454888E-2" u="1"/>
        <n v="0.33175355450236976" u="1"/>
        <n v="0.16599996513411397" u="1"/>
        <n v="5.439330543933063E-2" u="1"/>
        <n v="7.4626865671641784E-2" u="1"/>
        <n v="-0.14193548387096777" u="1"/>
        <n v="0.10989010989010994" u="1"/>
        <n v="-8.6580086580086535E-2" u="1"/>
        <n v="0.34408602150537626" u="1"/>
        <n v="1.4354066985645897E-2" u="1"/>
        <n v="-2.9900332225913595E-2" u="1"/>
        <n v="-0.21238938053097345" u="1"/>
        <n v="-0.13636363636363635" u="1"/>
        <n v="5.0925925925925819E-2" u="1"/>
        <n v="0.11475409836065564" u="1"/>
        <n v="-0.12658227848101267" u="1"/>
        <n v="-0.17256637168141598" u="1"/>
        <n v="6.1797752808988804E-2" u="1"/>
        <n v="-0.25099601593625498" u="1"/>
        <n v="-2.9900332225913706E-2" u="1"/>
        <n v="1.298701298701288E-2" u="1"/>
        <n v="0.11494252873563227" u="1"/>
        <n v="-0.20186335403726707" u="1"/>
        <n v="0.26315789473684204" u="1"/>
        <n v="8.5972850678732948E-2" u="1"/>
        <n v="0.10332103321033204" u="1"/>
        <n v="2.8089887640449396E-2" u="1"/>
        <n v="-0.2142857142857143" u="1"/>
        <n v="9.7087378640776656E-3" u="1"/>
        <n v="-0.21647509578544066" u="1"/>
        <n v="5.2000000000000046E-2" u="1"/>
        <n v="0.1333333333333333" u="1"/>
        <n v="-0.11075949367088611" u="1"/>
        <n v="-0.15789473684210531" u="1"/>
        <n v="4.2345276872964188E-2" u="1"/>
        <n v="9.1346153846153744E-2" u="1"/>
        <n v="-0.16078431372549018" u="1"/>
        <n v="2.2099447513812098E-2" u="1"/>
        <n v="-0.16923076923076918" u="1"/>
        <n v="0.13816698053986198" u="1"/>
        <n v="-0.19920318725099606" u="1"/>
        <n v="0.14492753623188404" u="1"/>
        <n v="0.16532608695652184" u="1"/>
        <n v="0.1511111111111112" u="1"/>
        <n v="2.6178010471204161E-2" u="1"/>
        <n v="0.18826405867970664" u="1"/>
        <n v="-8.4745762711864403E-2" u="1"/>
        <n v="-0.18340611353711789" u="1"/>
        <n v="-0.1830357142857143" u="1"/>
        <n v="-0.21014492753623193" u="1"/>
        <n v="4.3689320388349495E-2" u="1"/>
        <n v="-0.16465863453815266" u="1"/>
        <n v="-0.1620553359683794" u="1"/>
        <n v="-0.14074074074074072" u="1"/>
        <n v="-0.14851485148514854" u="1"/>
        <n v="-2.7997886951928175E-2" u="1"/>
        <n v="8.1395348837209225E-2" u="1"/>
        <n v="0.10035842293906816" u="1"/>
        <n v="5.7522123893805288E-2" u="1"/>
        <n v="-0.17672413793103448" u="1"/>
        <n v="0.11194029850746268" u="1"/>
        <n v="0.21428571428571419" u="1"/>
        <n v="8.4444444444444544E-2" u="1"/>
        <n v="5.6277056277056259E-2" u="1"/>
        <n v="-0.21008403361344541" u="1"/>
        <n v="8.6538461538461453E-2" u="1"/>
        <n v="-0.12" u="1"/>
        <n v="9.3406593406593297E-2" u="1"/>
        <n v="0.17488789237668168" u="1"/>
        <n v="0.20975609756097557" u="1"/>
        <n v="-0.10204081632653061" u="1"/>
        <n v="2.3904382470119501E-2" u="1"/>
        <n v="5.9523809523809534E-2" u="1"/>
        <n v="-0.13246753246753251" u="1"/>
        <n v="-0.13363148898307076" u="1"/>
        <n v="-0.36619718309859151" u="1"/>
        <n v="1.4150943396226356E-2" u="1"/>
        <n v="0.13820230175302295" u="1"/>
        <n v="8.8105726872246715E-2" u="1"/>
        <n v="0.10489510489510478" u="1"/>
        <n v="-0.25242718446601942" u="1"/>
        <n v="-8.764940239043828E-2" u="1"/>
        <n v="3.3582089552238736E-2" u="1"/>
        <n v="6.6964285714285809E-2" u="1"/>
        <n v="8.4745762711864403E-2" u="1"/>
        <n v="-0.10256410256410253" u="1"/>
        <n v="-0.2441471571906354" u="1"/>
        <n v="6.8807339449541205E-2" u="1"/>
        <n v="0.13821571238348862" u="1"/>
        <n v="-2.1164021164021163E-2" u="1"/>
        <n v="-0.24054982817869419" u="1"/>
        <n v="-9.7719869706840434E-2" u="1"/>
        <n v="2.4896265560165887E-2" u="1"/>
        <n v="0.16346153846153855" u="1"/>
        <n v="-5.0013372559507885E-2" u="1"/>
        <n v="1.6393442622950838E-2" u="1"/>
        <n v="-0.17832167832167833" u="1"/>
        <n v="0.10727969348659006" u="1"/>
        <n v="49.8" u="1"/>
        <n v="8.1339712918660378E-2" u="1"/>
        <n v="-0.27184466019417475" u="1"/>
        <n v="6.1452513966480549E-2" u="1"/>
        <n v="-0.20261437908496727" u="1"/>
        <n v="-0.12429378531073443" u="1"/>
        <n v="-0.11194029850746268" u="1"/>
        <n v="4.0358744394618729E-2" u="1"/>
        <n v="1.3100436681222627E-2" u="1"/>
        <n v="-0.14552238805970152" u="1"/>
        <n v="4.7970479704797064E-2" u="1"/>
        <n v="-0.11387900355871883" u="1"/>
        <n v="-7.1651090342679136E-2" u="1"/>
        <n v="4.4776119402984982E-2" u="1"/>
        <n v="-0.1071428571428571" u="1"/>
        <n v="0.13658536585365844" u="1"/>
        <n v="6.6666666666666652E-2" u="1"/>
        <n v="-0.16872427983539096" u="1"/>
        <n v="8.144796380090491E-2" u="1"/>
        <n v="5.8823529411764719E-2" u="1"/>
        <n v="-0.16228070175438591" u="1"/>
        <n v="-0.1551020408163265" u="1"/>
        <n v="-9.7087378640776656E-2" u="1"/>
        <n v="-0.21645021645021645" u="1"/>
        <n v="0.15384615384615374" u="1"/>
        <n v="-0.19902912621359226" u="1"/>
        <n v="-0.10864864864864865" u="1"/>
        <n v="-6.8807339449541316E-2" u="1"/>
        <n v="-0.13694267515923564" u="1"/>
        <n v="0.12875536480686689" u="1"/>
        <n v="-0.2624584717607974" u="1"/>
        <n v="-3.2653061224491298E-3" u="1"/>
        <n v="5.1446153846153919E-2" u="1"/>
        <n v="0.12334801762114544" u="1"/>
        <n v="2.1276595744680771E-2" u="1"/>
        <n v="5.9459459459459518E-2" u="1"/>
        <n v="0.1293103448275863" u="1"/>
        <n v="-0.17391304347826086" u="1"/>
        <n v="0.24894514767932496" u="1"/>
        <n v="-0.24013157894736847" u="1"/>
        <n v="4.0756839682945412E-2" u="1"/>
        <n v="0.12790697674418605" u="1"/>
        <n v="-4.035874439461884E-2" u="1"/>
        <n v="9.4786729857820884E-3" u="1"/>
        <n v="4.3749999999999956E-2" u="1"/>
        <n v="-0.10548523206751059" u="1"/>
        <n v="0.16531531531531529" u="1"/>
        <n v="6.2146892655367214E-2" u="1"/>
        <n v="9.302325581395321E-3" u="1"/>
        <n v="6.0773480662983381E-2" u="1"/>
        <n v="0.13821626617375227" u="1"/>
        <n v="2.979406258357864E-2" u="1"/>
        <n v="5.9829059829059839E-2" u="1"/>
        <n v="-0.10084033613445376" u="1"/>
        <n v="3.2967032967033072E-2" u="1"/>
        <n v="0.14592274678111594" u="1"/>
        <n v="5.2208835341365445E-2" u="1"/>
        <n v="-0.15100671140939592" u="1"/>
        <n v="-0.19379844961240311" u="1"/>
        <n v="-3.2258064516129004E-2" u="1"/>
        <n v="1.4218009478673022E-2" u="1"/>
        <n v="-0.27147766323024058" u="1"/>
        <n v="-0.19771863117870725" u="1"/>
        <n v="-0.1518518518518519" u="1"/>
        <n v="-6.5789473684210509E-2" u="1"/>
        <n v="4.3269230769230838E-2" u="1"/>
        <n v="-0.26689189189189189" u="1"/>
        <n v="-0.22026431718061679" u="1"/>
        <n v="-0.16532258064516125" u="1"/>
        <n v="8.3999492450196778E-2" u="1"/>
        <n v="-8.5714285714285743E-2" u="1"/>
        <n v="-0.26910299003322258" u="1"/>
        <n v="0.16529255319148928" u="1"/>
        <n v="-0.12429392656002847" u="1"/>
        <n v="0.16529914529914524" u="1"/>
        <n v="0.15454545454545454" u="1"/>
        <n v="-0.12096774193548387" u="1"/>
        <n v="-0.16556291390728473" u="1"/>
        <n v="-6.9536423841059625E-2" u="1"/>
        <n v="9.2682926829268375E-2" u="1"/>
        <n v="-0.12043795620437958" u="1"/>
        <n v="-7.6923076923076872E-2" u="1"/>
        <n v="-0.13354037267080743" u="1"/>
        <n v="-0.12416107382550334" u="1"/>
        <n v="-0.14516129032258063" u="1"/>
        <n v="0.22033898305084754" u="1"/>
        <n v="-0.17674418604651165" u="1"/>
        <n v="-0.21381578947368418" u="1"/>
        <n v="24.9" u="1"/>
        <n v="1.025641025641022E-2" u="1"/>
        <n v="9.6590909090909172E-2" u="1"/>
        <n v="2.0920502092050208E-2" u="1"/>
        <n v="-0.25291828793774318" u="1"/>
        <n v="-0.14144736842105265" u="1"/>
        <n v="5.3941908713692976E-2" u="1"/>
        <n v="0.14893617021276606" u="1"/>
        <n v="-0.16730038022813687" u="1"/>
        <n v="-0.17624521072796939" u="1"/>
        <n v="6.5356925789537224E-2" u="1"/>
        <n v="6.6278914651916709E-2" u="1"/>
        <n v="0.13698630136986312" u="1"/>
        <n v="0.13815068493150684" u="1"/>
        <n v="0.16531231049120687" u="1"/>
        <n v="-0.25986842105263153" u="1"/>
        <n v="-0.21794871794871795" u="1"/>
        <n v="2.7624309392265234E-2" u="1"/>
        <n v="-8.2987551867219955E-2" u="1"/>
        <n v="0.16527296937416769" u="1"/>
        <n v="5.2356020942407877E-3" u="1"/>
        <n v="9.0624999999999956E-2" u="1"/>
        <n v="-3.9473684210526327E-2" u="1"/>
        <n v="1.8348623853210899E-2" u="1"/>
        <n v="-0.18478260869565222" u="1"/>
        <n v="-0.10041841004184104" u="1"/>
        <n v="0.16086956521739126" u="1"/>
        <n v="0.16529888797164083" u="1"/>
        <n v="6.3106796116504826E-2" u="1"/>
        <n v="8.5000038855061577E-2" u="1"/>
        <n v="-0.24840764331210186" u="1"/>
        <n v="-9.5541401273885329E-2" u="1"/>
        <n v="-4.8543689320388328E-2" u="1"/>
        <n v="8.9108910891089188E-2" u="1"/>
        <n v="-0.1090342679127726" u="1"/>
        <n v="0.12280701754385959" u="1"/>
        <n v="-0.203125" u="1"/>
        <n v="0.19024390243902434" u="1"/>
        <n v="5.1282051282051322E-2" u="1"/>
        <n v="1.3698630136986356E-2" u="1"/>
        <n v="-0.19587628865979378" u="1"/>
        <n v="5.1467268623024864E-2" u="1"/>
        <n v="6.4377682403433445E-2" u="1"/>
        <n v="2.4154589371980784E-2" u="1"/>
        <n v="8.4021739130434758E-2" u="1"/>
        <n v="0.11707317073170742" u="1"/>
        <n v="0.13592233009708732" u="1"/>
        <n v="0.13023255813953494" u="1"/>
        <n v="6.4655172413793149E-2" u="1"/>
        <n v="2.1645021645021689E-2" u="1"/>
        <n v="-0.1875" u="1"/>
        <n v="0.18139534883720931" u="1"/>
        <n v="-8.6956521739130488E-2" u="1"/>
        <n v="6.3953488372092915E-2" u="1"/>
        <n v="0.20814479638009042" u="1"/>
        <n v="-0.19762845849802368" u="1"/>
        <n v="-0.12406015037593987" u="1"/>
        <n v="0.16585365853658529" u="1"/>
        <n v="-9.3167701863353991E-2" u="1"/>
        <n v="4.1860465116279055E-2" u="1"/>
        <n v="0.1116279069767443" u="1"/>
        <n v="1.6483516483516425E-2" u="1"/>
        <n v="8.8372093023255882E-2" u="1"/>
        <n v="0.1653212786567646" u="1"/>
        <n v="5.1470588235293935E-2" u="1"/>
        <n v="0.16748768472906406" u="1"/>
        <n v="-0.13698630136986301" u="1"/>
        <n v="-6.5517241379310365E-2" u="1"/>
        <n v="-0.171875" u="1"/>
        <n v="0.11491442542787289" u="1"/>
        <n v="9.565217391304337E-2" u="1"/>
        <n v="7.3076923076923039E-2" u="1"/>
        <n v="-0.17582417582417587" u="1"/>
        <n v="5.3671421024828359E-2" u="1"/>
        <n v="-0.14642857142857146" u="1"/>
        <n v="6.0439560439560447E-2" u="1"/>
        <n v="-3.0000000000000027E-2" u="1"/>
        <n v="9.3596059113300489E-2" u="1"/>
        <n v="-0.11857707509881421" u="1"/>
        <n v="-0.21999999999999997" u="1"/>
        <n v="-0.12244897959183676" u="1"/>
        <n v="7.2115384615384581E-2" u="1"/>
        <n v="0.16666666666666674" u="1"/>
        <n v="0.1212121212121211" u="1"/>
        <n v="-0.15637860082304522" u="1"/>
        <n v="7.547169811320753E-3" u="1"/>
        <n v="9.9099099099099197E-2" u="1"/>
        <n v="-9.6774193548387122E-2" u="1"/>
        <n v="-0.13580246913580252" u="1"/>
        <n v="6.2200956937799035E-2" u="1"/>
        <n v="-2.5641025641025661E-2" u="1"/>
        <n v="0.15104166666666674" u="1"/>
        <n v="8.4011090573012925E-2" u="1"/>
        <n v="-0.23255813953488369" u="1"/>
        <n v="8.4999979557877747E-2" u="1"/>
        <n v="-0.20161290322580649" u="1"/>
        <n v="-0.16118421052631582" u="1"/>
        <n v="-9.7165991902834037E-2" u="1"/>
        <n v="-8.8495575221238965E-2" u="1"/>
        <n v="-8.1300813008130079E-2" u="1"/>
        <n v="6.0185185185185119E-2" u="1"/>
        <n v="0.15009953188555336" u="1"/>
        <n v="-0.16363636363636369" u="1"/>
        <n v="5.9360730593607247E-2" u="1"/>
        <n v="5.8035714285714191E-2" u="1"/>
        <n v="-0.15322580645161288" u="1"/>
        <n v="0.11618257261410792" u="1"/>
        <n v="7.0422535211267512E-2" u="1"/>
        <n v="9.8814229249011953E-2" u="1"/>
        <n v="0.13420046498085414" u="1"/>
        <n v="9.3137254901960675E-2" u="1"/>
        <n v="-9.7560975609756184E-3" u="1"/>
        <n v="-0.28301886792452835" u="1"/>
        <n v="8.6206896551724199E-2" u="1"/>
        <n v="6.8493150684931559E-2" u="1"/>
        <n v="1.4705882352941124E-2" u="1"/>
        <n v="0.13076923076923075" u="1"/>
        <n v="2.2346368715083775E-2" u="1"/>
        <n v="0.10138248847926268" u="1"/>
        <n v="2.1390374331550888E-2" u="1"/>
        <n v="-0.16666666666666663" u="1"/>
        <n v="-0.13818181818181818" u="1"/>
        <n v="-7.9681274900398447E-2" u="1"/>
        <n v="-0.26086956521739135" u="1"/>
        <n v="-0.24890510948905109" u="1"/>
        <n v="-0.16014234875444844" u="1"/>
        <n v="6.3583815028901647E-2" u="1"/>
        <n v="-0.21518987341772156" u="1"/>
        <n v="4.9999953362309668E-2" u="1"/>
        <n v="0.18571428571428572" u="1"/>
        <n v="-0.13861386138613863" u="1"/>
        <n v="-6.3999999999999946E-2" u="1"/>
        <n v="-7.8291814946619187E-2" u="1"/>
        <n v="1.4778325123152802E-2" u="1"/>
        <n v="4.4554455445544594E-2" u="1"/>
        <n v="6.0747663551401931E-2" u="1"/>
        <n v="-3.703703703703709E-2" u="1"/>
        <n v="1.6949152542372836E-2" u="1"/>
        <n v="-0.21641791044776115" u="1"/>
        <n v="-0.18807339449541283" u="1"/>
        <n v="-4.3010752688172005E-2" u="1"/>
        <n v="6.1111111111111116E-2" u="1"/>
        <n v="4.4438183104966056E-2" u="1"/>
        <n v="1.4018691588784993E-2" u="1"/>
        <n v="-0.10595110373967209" u="1"/>
        <n v="7.4509803921568585E-2" u="1"/>
        <n v="-9.9337748344370813E-2" u="1"/>
        <n v="-3.0030769230769194E-2" u="1"/>
        <n v="-9.375E-2" u="1"/>
        <n v="6.3559322033898358E-2" u="1"/>
        <n v="0.10377358490566047" u="1"/>
        <n v="8.2926829268292757E-2" u="1"/>
        <n v="1.7341040462427681E-2" u="1"/>
        <n v="-0.17840375586854462" u="1"/>
        <n v="2.8409090909090828E-2" u="1"/>
        <n v="1.4234875444839812E-2" u="1"/>
        <n v="1.4639999999999986E-2" u="1"/>
        <n v="0.47222222222222232" u="1"/>
        <n v="-8.59375E-2" u="1"/>
        <n v="0.14480001050721247" u="1"/>
        <n v="-2.2346368715083775E-2" u="1"/>
        <n v="-0.20066889632107021" u="1"/>
        <n v="-0.1705685618729097" u="1"/>
        <n v="0.11715481171548126" u="1"/>
        <n v="7.2916666666666741E-2" u="1"/>
        <n v="-9.8765432098765427E-2" u="1"/>
        <n v="-0.29604357200992093" u="1"/>
        <n v="4.3333333333333224E-2" u="1"/>
        <n v="0.11428571428571432" u="1"/>
        <n v="-0.10999999999999999" u="1"/>
        <n v="6.9597069597069572E-2" u="1"/>
        <n v="0.16527397260273968" u="1"/>
        <n v="0.10762331838565031" u="1"/>
        <n v="-0.25320512820512819" u="1"/>
        <n v="0.11244979919678721" u="1"/>
        <n v="5.3763440860215006E-2" u="1"/>
        <n v="-0.19736842105263153" u="1"/>
        <n v="-0.2053571428571429" u="1"/>
        <n v="7.1770334928229707E-2" u="1"/>
        <n v="4.2253521126760507E-2" u="1"/>
        <n v="8.1545064377682497E-2" u="1"/>
        <n v="-0.14860681114551089" u="1"/>
        <n v="0.14285714285714279" u="1"/>
        <n v="0.12393162393162394" u="1"/>
        <n v="-0.19248826291079812" u="1"/>
        <n v="-0.19069767441860463" u="1"/>
        <n v="-0.31042198139973332" u="1"/>
        <n v="-0.11594202898550721" u="1"/>
        <n v="-6.3559322033898358E-2" u="1"/>
        <n v="-3.6290322580645129E-2" u="1"/>
        <n v="2.1367521367521292E-2" u="1"/>
        <n v="2.4630541871921263E-2" u="1"/>
        <n v="7.9831932773109182E-2" u="1"/>
        <n v="-0.11627906976744184" u="1"/>
        <n v="-0.17421602787456447" u="1"/>
        <n v="-0.18061674008810569" u="1"/>
        <n v="-7.5601374570446689E-2" u="1"/>
        <n v="2.1505376344086002E-2" u="1"/>
        <n v="4.3046357615894149E-2" u="1"/>
        <n v="6.0109289617486406E-2" u="1"/>
        <n v="-0.18145161290322576" u="1"/>
        <n v="5.508474576271194E-2" u="1"/>
        <n v="-0.20700636942675155" u="1"/>
        <n v="3.3834586466165328E-2" u="1"/>
        <n v="-8.4291187739463647E-2" u="1"/>
        <n v="8.9473684210526372E-2" u="1"/>
        <n v="9.4999999999999973E-2" u="1"/>
        <n v="5.7894736842105221E-2" u="1"/>
        <n v="-0.1741071428571429" u="1"/>
        <n v="4.4117647058823595E-2" u="1"/>
        <n v="-3.003137606454509E-2" u="1"/>
        <n v="9.0128755364806912E-2" u="1"/>
        <n v="-0.13306451612903225" u="1"/>
        <n v="-0.16286644951140061" u="1"/>
        <n v="-0.21551724137931039" u="1"/>
        <n v="5.3398058252427161E-2" u="1"/>
        <n v="0.15009996197765263" u="1"/>
        <n v="-0.20576131687242794" u="1"/>
        <n v="-0.14828897338403046" u="1"/>
        <n v="0.13084112149532712" u="1"/>
        <n v="0.13397129186602874" u="1"/>
        <n v="5.3658536585365901E-2" u="1"/>
        <n v="0.11538461538461542" u="1"/>
        <n v="-0.22480620155038755" u="1"/>
        <n v="0.17103984450923226" u="1"/>
        <n v="1.2820512820512775E-2" u="1"/>
        <n v="-8.333333333333337E-2" u="1"/>
        <n v="7.8189300411522611E-2" u="1"/>
        <n v="-0.1560509554140127" u="1"/>
        <n v="8.636363636363642E-2" u="1"/>
        <n v="-0.18936877076411962" u="1"/>
        <n v="1.9230769230769162E-2" u="1"/>
        <n v="6.0000121111161819E-2" u="1"/>
        <n v="0.48663057233937912" u="1"/>
        <n v="-0.14192401029374513" u="1"/>
        <n v="-0.15734265734265729" u="1"/>
        <n v="1.7142857142857126E-2" u="1"/>
        <n v="0.11278195488721798" u="1"/>
        <n v="-0.16883116883116878" u="1"/>
        <n v="8.085106382978724E-2" u="1"/>
        <n v="8.4009129315786968E-2" u="1"/>
        <n v="0.161904761904762" u="1"/>
        <n v="-0.18192915889155348" u="1"/>
        <n v="-0.18181818181818177" u="1"/>
        <n v="0.16860465116279078" u="1"/>
        <n v="6.25E-2" u="1"/>
        <n v="0.14782608695652177" u="1"/>
        <n v="7.6628352490421436E-2" u="1"/>
        <n v="-0.21186440677966101" u="1"/>
        <n v="-0.20960698689956336" u="1"/>
        <n v="8.6756892716365996E-2" u="1"/>
        <n v="-0.15891472868217049" u="1"/>
        <n v="0.17050691244239635" u="1"/>
        <n v="5.0980392156862786E-2" u="1"/>
        <n v="0.14468085106382977" u="1"/>
        <n v="1.6853932584269593E-2" u="1"/>
        <n v="0.12785388127853881" u="1"/>
        <n v="-0.17813765182186236" u="1"/>
        <n v="0.12669683257918551" u="1"/>
        <n v="2.2598870056497189E-2" u="1"/>
        <n v="9.550561797752799E-2" u="1"/>
        <n v="-0.3079744111266246" u="1"/>
        <n v="-0.17948717948717952" u="1"/>
        <n v="-0.25657894736842102" u="1"/>
        <n v="-8.1784386617100413E-2" u="1"/>
        <n v="-0.22932330827067671" u="1"/>
        <n v="-0.16981132075471694" u="1"/>
        <n v="8.4017094017093896E-2" u="1"/>
        <n v="-0.19844357976653693" u="1"/>
        <n v="0.13270142180094791" u="1"/>
        <n v="0.13824387768049751" u="1"/>
        <n v="-0.12698412698412698" u="1"/>
        <n v="-0.17293233082706772" u="1"/>
        <n v="-0.1386554621848739" u="1"/>
        <n v="-0.14473684210526316" u="1"/>
        <n v="8.4017094017094118E-2" u="1"/>
        <n v="2.6881720430107503E-2" u="1"/>
        <n v="-0.15306122448979587" u="1"/>
        <n v="6.4935064935064846E-2" u="1"/>
        <n v="-0.22566371681415931" u="1"/>
        <n v="-0.17730496453900713" u="1"/>
        <n v="-9.8684210526315819E-2" u="1"/>
        <n v="-0.21074380165289253" u="1"/>
        <n v="0.16533434843293993" u="1"/>
        <n v="0.12454212454212454" u="1"/>
        <n v="-0.18584070796460173" u="1"/>
        <n v="-0.16788321167883213" u="1"/>
        <n v="5.3278688524590168E-2" u="1"/>
        <n v="0.15009992815345918" u="1"/>
        <n v="-0.18787878787878787" u="1"/>
        <n v="-3.515625E-2" u="1"/>
        <n v="-0.12890625" u="1"/>
        <n v="6.1475409836065475E-2" u="1"/>
        <n v="8.5000012070093778E-2" u="1"/>
        <n v="-0.21459227467811159" u="1"/>
        <n v="1.6042780748663166E-2" u="1"/>
        <n v="4.8872180451127845E-2" u="1"/>
        <n v="-0.10452961672473871" u="1"/>
        <n v="0.13816489361702122" u="1"/>
        <n v="9.2592592592593004E-3" u="1"/>
        <n v="5.1483749411210589E-2" u="1"/>
        <n v="-7.7220077220077177E-2" u="1"/>
        <n v="8.4009009009009095E-2" u="1"/>
        <n v="0.1283018867924528" u="1"/>
        <n v="8.9201877934272256E-2" u="1"/>
        <n v="-0.14130434782608692" u="1"/>
        <n v="1.2552301255230214E-2" u="1"/>
        <n v="-0.21268656716417911" u="1"/>
        <n v="-0.16129032258064513" u="1"/>
        <n v="-0.17431192660550454" u="1"/>
        <n v="5.9999984927467054E-2" u="1"/>
        <n v="0.14018691588785037" u="1"/>
        <n v="5.9139784946236507E-2" u="1"/>
        <n v="8.3976063829787062E-2" u="1"/>
        <n v="-0.17040358744394624" u="1"/>
        <n v="-0.26421404682274252" u="1"/>
        <n v="-0.2411575562700965" u="1"/>
        <n v="-0.26870748299319724" u="1"/>
        <n v="-0.14950166112956809" u="1"/>
        <n v="-0.26859504132231404" u="1"/>
        <n v="8.3976063829787284E-2" u="1"/>
        <n v="-0.12643678160919536" u="1"/>
        <n v="0.13815217391304357" u="1"/>
        <n v="3.90625E-2" u="1"/>
        <n v="-0.20264317180616742" u="1"/>
        <n v="6.1904761904761907E-2" u="1"/>
        <n v="5.7692307692307709E-2" u="1"/>
        <n v="-0.19827586206896552" u="1"/>
        <n v="-8.2352941176470629E-2" u="1"/>
        <n v="-0.13915857605177995" u="1"/>
        <n v="0.14932126696832571" u="1"/>
        <n v="6.8965517241379226E-2" u="1"/>
        <n v="9.6153846153845812E-3" u="1"/>
        <n v="7.3529411764705843E-2" u="1"/>
        <n v="8.4905660377358583E-2" u="1"/>
        <n v="-9.7560975609756073E-2" u="1"/>
        <n v="-2.7998913894438537E-2" u="1"/>
        <n v="-0.25566343042071193" u="1"/>
        <n v="7.3891625615763568E-2" u="1"/>
        <n v="-0.17254901960784319" u="1"/>
        <n v="4.6428571428571486E-2" u="1"/>
        <n v="-9.2664092664092701E-2" u="1"/>
        <n v="8.5000035674510865E-2" u="1"/>
        <n v="9.9009900990099098E-2" u="1"/>
        <n v="8.5308056872037907E-2" u="1"/>
        <n v="-3.7815126050420145E-2" u="1"/>
        <n v="-9.0909090909090939E-2" u="1"/>
        <n v="-9.740259740259738E-2" u="1"/>
        <n v="1.4634146341463428E-2" u="1"/>
        <n v="-3.0022371364653133E-2" u="1"/>
        <n v="-0.10480349344978168" u="1"/>
        <n v="-0.10389610389610393" u="1"/>
        <n v="-0.11188811188811187" u="1"/>
        <n v="-0.23397435897435892" u="1"/>
        <n v="4.6099290780141855E-2" u="1"/>
        <n v="1.7134934003093738E-2" u="1"/>
        <n v="-3.8135593220338992E-2" u="1"/>
        <n v="-3.0022371364653244E-2" u="1"/>
        <n v="0.12234042553191493" u="1"/>
        <n v="-9.4736842105263119E-2" u="1"/>
        <n v="8.7155963302752326E-2" u="1"/>
        <n v="0.10861423220973787" u="1"/>
        <n v="-0.18507462686567167" u="1"/>
        <n v="-0.18840579710144922" u="1"/>
        <n v="-0.19935691318327975" u="1"/>
        <n v="-0.18468468468468469" u="1"/>
        <n v="9.4786729857819996E-2" u="1"/>
        <n v="0.16384180790960445" u="1"/>
        <n v="-0.25391849529780564" u="1"/>
        <n v="6.321839080459779E-2" u="1"/>
        <n v="-0.19999999999999996" u="1"/>
        <n v="-0.18385650224215244" u="1"/>
        <n v="-0.15116279069767447" u="1"/>
        <n v="-9.9009900990098987E-2" u="1"/>
        <n v="9.3922651933701751E-2" u="1"/>
        <n v="5.1456745853877051E-2" u="1"/>
        <n v="-0.17346938775510201" u="1"/>
        <n v="6.2857142857142945E-2" u="1"/>
        <n v="7.909604519774005E-2" u="1"/>
        <n v="9.0476190476190377E-2" u="1"/>
        <n v="7.1090047393364886E-2" u="1"/>
        <n v="5.7268722466960353E-2" u="1"/>
        <n v="8.3992467043314534E-2" u="1"/>
        <n v="-0.23510971786833856" u="1"/>
        <n v="-0.24916943521594681" u="1"/>
        <n v="2.34375E-2" u="1"/>
        <n v="-9.5617529880478114E-2" u="1"/>
        <n v="2.1459227467811148E-2" u="1"/>
        <n v="5.1498881431767396E-2" u="1"/>
        <n v="0.16528562460765861" u="1"/>
        <n v="9.139784946236551E-2" u="1"/>
        <n v="-0.27631578947368418" u="1"/>
        <n v="8.260869565217388E-2" u="1"/>
        <n v="2.19780219780219E-2" u="1"/>
        <n v="-7.2784810126582333E-2" u="1"/>
        <n v="-0.13432835820895528" u="1"/>
        <n v="-8.064516129032262E-2" u="1"/>
        <n v="7.0093457943925186E-2" u="1"/>
        <n v="-0.1785714285714286" u="1"/>
        <n v="6.2240663900414939E-2" u="1"/>
        <n v="0.10471204188481686" u="1"/>
        <n v="0.16999999999999993" u="1"/>
        <n v="-0.22653721682847894" u="1"/>
        <n v="-0.19230769230769229" u="1"/>
        <n v="-0.13970588235294112" u="1"/>
        <n v="7.1698113207547154E-2" u="1"/>
        <n v="9.4444444444444553E-2" u="1"/>
        <n v="4.8888888888888982E-2" u="1"/>
        <n v="8.3994673768308825E-2" u="1"/>
        <n v="-0.11952191235059761" u="1"/>
        <n v="4.6594982078853153E-2" u="1"/>
        <n v="-0.14925373134328357" u="1"/>
        <n v="-0.20370370370370372" u="1"/>
        <n v="-8.6614173228346414E-2" u="1"/>
        <n v="8.3990297149787674E-2" u="1"/>
        <n v="-0.19435736677115989" u="1"/>
        <n v="-9.958506224066388E-2" u="1"/>
        <n v="6.4102564102564097E-2" u="1"/>
        <n v="-0.27426160337552741" u="1"/>
        <n v="4.5296167247386832E-2" u="1"/>
        <n v="0.22674418604651159" u="1"/>
        <n v="-0.20746887966804983" u="1"/>
        <n v="-0.16986301369863011" u="1"/>
        <n v="0.12389380530973448" u="1"/>
        <n v="0.24392614188532558" u="1"/>
        <n v="5.2434456928838857E-2" u="1"/>
        <n v="-0.23648648648648651" u="1"/>
        <n v="0.1581395348837209" u="1"/>
        <n v="1.7543859649122862E-2" u="1"/>
        <n v="2.2471910112359605E-2" u="1"/>
        <n v="6.0465116279069697E-2" u="1"/>
        <n v="0.14027149321266963" u="1"/>
        <n v="1.7937219730941756E-2" u="1"/>
        <n v="-0.1796875" u="1"/>
        <n v="-0.20598006644518274" u="1"/>
        <n v="6.7264573991031362E-2" u="1"/>
        <n v="-0.21739130434782605" u="1"/>
        <n v="6.0975609756097615E-2" u="1"/>
        <n v="-0.1705426356589147" u="1"/>
        <n v="-0.2072072072072072" u="1"/>
        <n v="1.5625E-2" u="1"/>
        <n v="-0.155893536121673" u="1"/>
        <n v="0.10676156583629903" u="1"/>
        <n v="2.3255813953488413E-2" u="1"/>
        <n v="0.11864406779661008" u="1"/>
        <n v="0.15962441314553999" u="1"/>
        <n v="1.744186046511631E-2" u="1"/>
        <n v="-0.24223602484472051" u="1"/>
        <n v="8.404446699571011E-2" u="1"/>
        <n v="0.15596330275229353" u="1"/>
        <n v="-0.17030567685589515" u="1"/>
        <n v="-2.2222222222222254E-2" u="1"/>
        <n v="-0.16599190283400811" u="1"/>
        <n v="0.13661202185792343" u="1"/>
        <n v="-0.24509803921568629" u="1"/>
        <n v="1.449275362318847E-2" u="1"/>
        <n v="-0.13571428571428568" u="1"/>
        <n v="-0.15217391304347827" u="1"/>
        <n v="8.3972602739726065E-2" u="1"/>
        <n v="-8.5106382978723416E-2" u="1"/>
        <n v="6.1611374407583019E-2" u="1"/>
        <n v="-0.18867924528301883" u="1"/>
        <n v="4.2704626334519658E-2" u="1"/>
        <n v="-0.108843537414966" u="1"/>
        <n v="1.6304347826086918E-2" u="1"/>
        <n v="-0.2032520325203252" u="1"/>
        <n v="-2.99903257013866E-2" u="1"/>
        <n v="5.1561461794019881E-2" u="1"/>
        <n v="-0.18446601941747576" u="1"/>
        <n v="0.17194570135746612" u="1"/>
        <n v="2.2222222222222143E-2" u="1"/>
        <n v="1.4851485148514865E-2" u="1"/>
        <n v="0.18565400843881852" u="1"/>
        <n v="7.3260073260073222E-2" u="1"/>
        <n v="-7.8740157480314932E-2" u="1"/>
        <n v="2.316602316602312E-2" u="1"/>
        <n v="-0.22270742358078599" u="1"/>
        <n v="-0.16734693877551021" u="1"/>
        <n v="2.732240437158473E-2" u="1"/>
        <n v="2.4390243902439046E-2" u="1"/>
        <n v="5.1644336175395988E-2" u="1"/>
        <n v="6.2761506276150625E-2" u="1"/>
        <n v="0.16534195933456552" u="1"/>
        <n v="5.2884615384615419E-2" u="1"/>
        <n v="0.12315270935960587" u="1"/>
        <n v="0.17452830188679247" u="1"/>
        <n v="-0.19256756756756754" u="1"/>
        <n v="-2.9841656516443327E-2" u="1"/>
        <n v="-3.988749680388648E-2" u="1"/>
        <n v="0.12890013519804233" u="1"/>
        <n v="2.2727272727272707E-2" u="1"/>
        <n v="5.2132701421800931E-2" u="1"/>
        <n v="-0.26751592356687903" u="1"/>
        <n v="-0.15073529411764708" u="1"/>
        <n v="-0.18149466192170816" u="1"/>
        <n v="-0.20920502092050208" u="1"/>
        <n v="0.13991769547325106" u="1"/>
        <n v="-0.21035598705501624" u="1"/>
        <n v="-3.3816425120772986E-2" u="1"/>
        <n v="-7.3578595317725703E-2" u="1"/>
        <n v="-8.1967213114754078E-2" u="1"/>
        <n v="-0.14909090909090905" u="1"/>
        <n v="8.737864077669899E-2" u="1"/>
        <n v="-0.2276785714285714" u="1"/>
        <n v="-0.1063829787234043" u="1"/>
        <n v="-0.22222222222222221" u="1"/>
        <n v="1.7241379310344751E-2" u="1"/>
        <n v="-0.15019762845849804" u="1"/>
        <n v="-0.17741935483870963" u="1"/>
        <n v="6.500000586288146E-2" u="1"/>
        <n v="5.9999895822210325E-2" u="1"/>
      </sharedItems>
    </cacheField>
    <cacheField name="Current Price2" numFmtId="0">
      <sharedItems containsBlank="1" containsMixedTypes="1" containsNumber="1" minValue="1.08" maxValue="210"/>
    </cacheField>
    <cacheField name="BRL Cost" numFmtId="0">
      <sharedItems containsBlank="1" containsMixedTypes="1" containsNumber="1" minValue="6.2250000000000005" maxValue="115.05000000000001"/>
    </cacheField>
    <cacheField name="International Freight" numFmtId="0">
      <sharedItems containsBlank="1" containsMixedTypes="1" containsNumber="1" minValue="0" maxValue="1.8659666666666668"/>
    </cacheField>
    <cacheField name="Import Fees" numFmtId="43">
      <sharedItems containsBlank="1" containsMixedTypes="1" containsNumber="1" minValue="0" maxValue="16.107000000000003"/>
    </cacheField>
    <cacheField name="Incoterm Adjust" numFmtId="4">
      <sharedItems containsBlank="1" containsMixedTypes="1" containsNumber="1" minValue="-0.17699999999999999" maxValue="5.9000000000000004E-2"/>
    </cacheField>
    <cacheField name="Freight" numFmtId="4">
      <sharedItems containsString="0" containsBlank="1" containsNumber="1" minValue="9.1999999999999998E-2" maxValue="0.2"/>
    </cacheField>
    <cacheField name="TCO_x000a_(R$/KG)" numFmtId="43">
      <sharedItems containsBlank="1" containsMixedTypes="1" containsNumber="1" minValue="6.9773304046371516" maxValue="141.03413131959928" count="8000">
        <n v="9.6406498999999979"/>
        <n v="9.7682262499999997"/>
        <n v="14.337716666666669"/>
        <n v="22.634883200000001"/>
        <n v="20.634783200000001"/>
        <n v="20.301433199999998"/>
        <n v="23.9016132"/>
        <n v="22.901563200000002"/>
        <n v="22.568213199999999"/>
        <n v="20.101423199999999"/>
        <n v="20.968133199999997"/>
        <n v="14.596466666666668"/>
        <n v="18.167993200000002"/>
        <n v="17.834643200000002"/>
        <n v="19.634733199999999"/>
        <n v="14.4032"/>
        <n v="12.58583"/>
        <n v="17.469860000000001"/>
        <n v="17.023400000000002"/>
        <n v="19.439779999999999"/>
        <n v="10.79"/>
        <n v="9.6319999999999997"/>
        <n v="16.5679132"/>
        <n v="16.034553200000001"/>
        <n v="9.0644599999999986"/>
        <n v="19.568063199999997"/>
        <n v="25.235013199999997"/>
        <n v="17.234613199999998"/>
        <n v="17.767973199999997"/>
        <n v="8.4341732000000018"/>
        <n v="8.6265131999999998"/>
        <n v="16.167893199999998"/>
        <n v="19.501393200000003"/>
        <n v="11.901013200000001"/>
        <n v="12.167693200000002"/>
        <n v="12.901063200000001"/>
        <n v="13.901113199999999"/>
        <n v="15.901213200000003"/>
        <n v="12.834393199999999"/>
        <n v="15.7012032"/>
        <n v="14.967833199999999"/>
        <n v="16.901263199999999"/>
        <n v="9.2342132000000028"/>
        <n v="16.7012532"/>
        <n v="20.207999999999998"/>
        <n v="15.590873200000003"/>
        <n v="15.190853200000001"/>
        <n v="15.257523200000001"/>
        <n v="15.324193200000002"/>
        <n v="15.457533200000002"/>
        <n v="15.724213200000003"/>
        <n v="15.924223200000002"/>
        <n v="16.2575732"/>
        <n v="14.590823200000003"/>
        <n v="14.724163200000003"/>
        <n v="14.9241732"/>
        <n v="13.390763200000002"/>
        <n v="13.524103200000003"/>
        <n v="13.7241132"/>
        <n v="14.057463200000001"/>
        <n v="11.590673200000001"/>
        <n v="16.124233199999999"/>
        <n v="12.590723200000001"/>
        <n v="12.724063200000002"/>
        <n v="12.9240732"/>
        <n v="13.257423200000002"/>
        <n v="13.657443200000003"/>
        <n v="13.8574532"/>
        <n v="14.190803200000001"/>
        <n v="11.724013200000002"/>
        <n v="11.924023200000002"/>
        <n v="12.257373200000002"/>
        <n v="15.857553200000003"/>
        <n v="16.057563200000001"/>
        <n v="16.3909132"/>
        <n v="15.524203200000001"/>
        <n v="19.088999999999999"/>
        <n v="18.536999999999999"/>
        <n v="23.780999999999999"/>
        <n v="19.986999999999998"/>
        <n v="26.064999999999998"/>
        <n v="23.038"/>
        <n v="26.132999999999999"/>
        <n v="24.199749999999998"/>
        <n v="11.754999999999999"/>
        <n v="15.244999999999999"/>
        <n v="16.634583200000002"/>
        <n v="16.967933199999997"/>
        <n v="17.3012832"/>
        <n v="18.3680032"/>
        <n v="18.7013532"/>
        <n v="19.034703199999999"/>
        <n v="16.301233199999999"/>
        <n v="17.501293199999999"/>
        <n v="16.8345932"/>
        <n v="15.767873200000002"/>
        <n v="16.1012232"/>
        <n v="17.101273199999998"/>
        <n v="16.367903200000001"/>
        <n v="16.767923199999998"/>
        <n v="17.567963200000001"/>
        <n v="18.1013232"/>
        <n v="16.2345632"/>
        <n v="17.434623200000001"/>
        <n v="18.501343200000004"/>
        <n v="17.6346332"/>
        <n v="17.967983200000003"/>
        <n v="18.301333199999998"/>
        <n v="18.8346932"/>
        <n v="18.634683199999998"/>
        <n v="19.1680432"/>
        <n v="18.901363199999999"/>
        <n v="13.701103200000002"/>
        <n v="14.0344532"/>
        <n v="15.034503200000003"/>
        <n v="24.234963200000003"/>
        <n v="19.234713200000002"/>
        <n v="15.634533200000002"/>
        <n v="14.634483200000002"/>
        <n v="11.172330000000001"/>
        <n v="13.049340000000001"/>
        <n v="12.84756"/>
        <n v="13.609080000000001"/>
        <n v="14.327280000000002"/>
        <n v="10.573829999999997"/>
        <n v="12.107700000000003"/>
        <n v="11.973180000000001"/>
        <n v="11.129579999999999"/>
        <n v="10.018080000000001"/>
        <n v="10.204242000000001"/>
        <n v="11.386080000000002"/>
        <n v="13.318380000000001"/>
        <n v="10.493459999999999"/>
        <n v="12.32658"/>
        <n v="11.471579999999999"/>
        <n v="11.044079999999999"/>
        <n v="17.884079999999997"/>
        <n v="132.36858000000004"/>
        <n v="8.9065799999999999"/>
        <n v="12.75408"/>
        <n v="12.309479999999999"/>
        <n v="11.557079999999999"/>
        <n v="12.882330000000001"/>
        <n v="11.502360000000001"/>
        <n v="11.728080000000002"/>
        <n v="8.4756600000000013"/>
        <n v="8.3080800000000021"/>
        <n v="10.964279999999999"/>
        <n v="13.834443200000003"/>
        <n v="15.167843200000004"/>
        <n v="15.367853200000001"/>
        <n v="20.434773199999999"/>
        <n v="17.901313199999997"/>
        <n v="21.234813199999998"/>
        <n v="11.300983200000001"/>
        <n v="11.234313199999999"/>
        <n v="12.567713200000002"/>
        <n v="15.2345132"/>
        <n v="19.9014132"/>
        <n v="18.434673199999999"/>
        <n v="21.7681732"/>
        <n v="19.768073200000003"/>
        <n v="23.101573200000001"/>
        <n v="16.501243200000001"/>
        <n v="19.834743199999998"/>
        <n v="14.434473200000001"/>
        <n v="19.101373200000001"/>
        <n v="11.367653199999999"/>
        <n v="11.434323200000001"/>
        <n v="11.5009932"/>
        <n v="11.6343332"/>
        <n v="12.101023200000002"/>
        <n v="12.434373200000001"/>
        <e v="#N/A"/>
        <n v="10.900963200000001"/>
        <n v="10.616579999999999"/>
        <n v="16.434573199999999"/>
        <n v="7.5674632000000006"/>
        <n v="14.1677932"/>
        <n v="13.0344032"/>
        <n v="11.215079999999999"/>
        <n v="15.664601000000001"/>
        <n v="17.701303200000002"/>
        <n v="8.4790800000000015"/>
        <n v="11.1906532"/>
        <n v="11.257323200000002"/>
        <n v="11.3239932"/>
        <n v="11.457333200000001"/>
        <n v="13.096080000000001"/>
        <n v="18.699180000000002"/>
        <n v="27.38"/>
        <n v="21.404999999999998"/>
        <n v="19.7"/>
        <n v="13.298202"/>
        <n v="20.3681032"/>
        <n v="20.7014532"/>
        <n v="21.034803199999999"/>
        <n v="21.568163200000001"/>
        <n v="13.400466666666667"/>
        <n v="12.982080000000003"/>
        <m/>
        <n v="14.935466666666668" u="1"/>
        <n v="21.898563200000002" u="1"/>
        <n v="20.1669132" u="1"/>
        <n v="19.910263199999999" u="1"/>
        <n v="23.234323199999999" u="1"/>
        <n v="22.380003200000001" u="1"/>
        <n v="22.1233532" u="1"/>
        <n v="19.978703199999998" u="1"/>
        <n v="20.807063199999998" u="1"/>
        <n v="15.116216666666668" u="1"/>
        <n v="17.960903200000001" u="1"/>
        <n v="17.727263199999999" u="1"/>
        <n v="19.304923199999998" u="1"/>
        <n v="18.022263200000001" u="1"/>
        <n v="17.765613200000001" u="1"/>
        <n v="19.396963199999998" u="1"/>
        <n v="17.945563200000002" u="1"/>
        <n v="17.688913200000002" u="1"/>
        <n v="17.7886232" u="1"/>
        <n v="15.916047687000002" u="1"/>
        <n v="15.444047687000003" u="1"/>
        <n v="18.587632612499998" u="1"/>
        <n v="23.7582132" u="1"/>
        <n v="17.855883199999997" u="1"/>
        <n v="17.035783200000001" u="1"/>
        <n v="18.059433199999997" u="1"/>
        <n v="10.213613200000001" u="1"/>
        <n v="10.275563200000001" u="1"/>
        <n v="16.904213200000001" u="1"/>
        <n v="16.9744232" u="1"/>
        <n v="19.670133200000002" u="1"/>
        <n v="11.987463200000002" u="1"/>
        <n v="12.857993200000003" u="1"/>
        <n v="13.468643200000001" u="1"/>
        <n v="14.5607332" u="1"/>
        <n v="16.161993200000001" u="1"/>
        <n v="12.819643200000003" u="1"/>
        <n v="13.616733200000001" u="1"/>
        <n v="16.092373200000001" u="1"/>
        <n v="14.691713200000001" u="1"/>
        <n v="19.664823200000001" u="1"/>
        <n v="16.376163200000001" u="1"/>
        <n v="16.694173199999998" u="1"/>
        <n v="17.027523199999997" u="1"/>
        <n v="17.691273199999998" u="1"/>
        <n v="10.024223200000002" u="1"/>
        <n v="15.976763200000002" u="1"/>
        <n v="15.820973200000003" u="1"/>
        <n v="14.485213200000002" u="1"/>
        <n v="15.403253200000002" u="1"/>
        <n v="16.168803199999999" u="1"/>
        <n v="15.472873200000002" u="1"/>
        <n v="15.662853200000002" u="1"/>
        <n v="15.847523200000001" u="1"/>
        <n v="16.1501932" u="1"/>
        <n v="14.690533200000003" u="1"/>
        <n v="14.839213200000003" u="1"/>
        <n v="15.0392232" u="1"/>
        <n v="15.372573200000001" u="1"/>
        <n v="13.183673200000001" u="1"/>
        <n v="13.823233200000002" u="1"/>
        <n v="14.0002332" u="1"/>
        <n v="13.888723200000001" u="1"/>
        <n v="11.828443200000002" u="1"/>
        <n v="16.024523200000001" u="1"/>
        <n v="16.032193200000002" u="1"/>
        <n v="12.606063200000001" u="1"/>
        <n v="12.747073200000001" u="1"/>
        <n v="12.962423200000002" u="1"/>
        <n v="13.410823200000001" u="1"/>
        <n v="13.508763200000002" u="1"/>
        <n v="13.642103200000003" u="1"/>
        <n v="13.8421132" u="1"/>
        <n v="14.175463200000001" u="1"/>
        <n v="11.951163200000002" u="1"/>
        <n v="12.092173200000001" u="1"/>
        <n v="12.307523200000002" u="1"/>
        <n v="12.403103200000002" u="1"/>
        <n v="15.575533200000002" u="1"/>
        <n v="15.252213200000002" u="1"/>
        <n v="15.3342232" u="1"/>
        <n v="15.431573200000003" u="1"/>
        <n v="15.357823200000002" u="1"/>
        <n v="15.609163200000003" u="1"/>
        <n v="15.8091732" u="1"/>
        <n v="16.142523199999999" u="1"/>
        <n v="14.721213200000003" u="1"/>
        <n v="14.854553200000003" u="1"/>
        <n v="15.0545632" u="1"/>
        <n v="15.387913200000002" u="1"/>
        <n v="15.287023200000002" u="1"/>
        <n v="15.443373200000003" u="1"/>
        <n v="16.003873200000001" u="1"/>
        <n v="16.252853200000001" u="1"/>
        <n v="15.037453200000002" u="1"/>
        <n v="15.193803200000001" u="1"/>
        <n v="15.071673200000001" u="1"/>
        <n v="15.382013200000003" u="1"/>
        <n v="16.473513199999999" u="1"/>
        <n v="16.921913199999999" u="1"/>
        <n v="17.600413199999998" u="1"/>
        <n v="17.374443200000002" u="1"/>
        <n v="17.662363200000001" u="1"/>
        <n v="17.746763199999997" u="1"/>
        <n v="18.137313200000001" u="1"/>
        <n v="18.724363199999999" u="1"/>
        <n v="16.1708432" u="1"/>
        <n v="16.8493432" u="1"/>
        <n v="16.630453199999998" u="1"/>
        <n v="17.255853200000001" u="1"/>
        <n v="12.683353200000001" u="1"/>
        <n v="16.6275032" u="1"/>
        <n v="16.067003200000002" u="1"/>
        <n v="15.909473200000001" u="1"/>
        <n v="16.5348732" u="1"/>
        <n v="17.461513199999999" u="1"/>
        <n v="17.803963199999998" u="1"/>
        <n v="18.202638199999999" u="1"/>
        <n v="15.262013200000002" u="1"/>
        <n v="15.917763200000001" u="1"/>
        <n v="16.154913199999999" u="1"/>
        <n v="16.694513199999999" u="1"/>
        <n v="12.123443200000002" u="1"/>
        <n v="16.239873199999998" u="1"/>
        <n v="16.688273200000001" u="1"/>
        <n v="17.366773199999997" u="1"/>
        <n v="17.3939132" u="1"/>
        <n v="12.591313200000002" u="1"/>
        <n v="16.465843200000002" u="1"/>
        <n v="17.144343199999998" u="1"/>
        <n v="17.431673199999999" u="1"/>
        <n v="18.057073200000001" u="1"/>
        <n v="17.378573199999998" u="1"/>
        <n v="16.783853199999999" u="1"/>
        <n v="17.232253199999999" u="1"/>
        <n v="17.9343532" u="1"/>
        <n v="17.423413199999999" u="1"/>
        <n v="16.157273200000002" u="1"/>
        <n v="16.605673199999998" u="1"/>
        <n v="17.461173199999998" u="1"/>
        <n v="16.433983199999997" u="1"/>
        <n v="15.482313200000002" u="1"/>
        <n v="15.930713200000001" u="1"/>
        <n v="16.786213199999999" u="1"/>
        <n v="16.652873200000002" u="1"/>
        <n v="16.924273199999998" u="1"/>
        <n v="17.602773199999998" u="1"/>
        <n v="17.452913200000001" u="1"/>
        <n v="18.0783132" u="1"/>
        <n v="17.451763200000002" u="1"/>
        <n v="17.8423132" u="1"/>
        <n v="18.041763199999998" u="1"/>
        <n v="18.609313199999999" u="1"/>
        <n v="16.809813200000001" u="1"/>
        <n v="15.961983200000002" u="1"/>
        <n v="16.2493132" u="1"/>
        <n v="16.874713199999999" u="1"/>
        <n v="16.196213199999999" u="1"/>
        <n v="16.3454832" u="1"/>
        <n v="16.7095132" u="1"/>
        <n v="17.334913199999999" u="1"/>
        <n v="18.225813200000001" u="1"/>
        <n v="17.377983199999999" u="1"/>
        <n v="17.665313200000003" u="1"/>
        <n v="18.290713199999999" u="1"/>
        <n v="17.4352132" u="1"/>
        <n v="17.645843200000002" u="1"/>
        <n v="18.094243200000001" u="1"/>
        <n v="18.9497432" u="1"/>
        <n v="17.868273200000001" u="1"/>
        <n v="18.3166732" u="1"/>
        <n v="18.995173199999996" u="1"/>
        <n v="18.362693199999999" u="1"/>
        <n v="17.5030632" u="1"/>
        <n v="17.5951032" u="1"/>
        <n v="18.5945632" u="1"/>
        <n v="14.115283200000002" u="1"/>
        <n v="14.471643200000001" u="1"/>
        <n v="15.272273200000003" u="1"/>
        <n v="17.627553200000001" u="1"/>
        <n v="23.3299032" u="1"/>
        <n v="14.176643200000003" u="1"/>
        <n v="14.3335832" u="1"/>
        <n v="15.256933200000002" u="1"/>
        <n v="19.027623200000001" u="1"/>
        <n v="15.780263200000002" u="1"/>
        <n v="14.918273200000002" u="1"/>
        <n v="16.5655532" u="1"/>
        <n v="11.402840000000001" u="1"/>
        <n v="12.81883" u="1"/>
        <n v="11.37806" u="1"/>
        <n v="12.641830000000001" u="1"/>
        <n v="11.27068" u="1"/>
        <n v="12.63658" u="1"/>
        <n v="11.471580000000001" u="1"/>
        <n v="13.02928" u="1"/>
        <n v="13.118080000000001" u="1"/>
        <n v="11.55978" u="1"/>
        <n v="12.745329999999999" u="1"/>
        <n v="13.336080000000001" u="1"/>
        <n v="14.038180000000002" u="1"/>
        <n v="10.505579999999998" u="1"/>
        <n v="11.873942000000003" u="1"/>
        <n v="12.56833" u="1"/>
        <n v="11.2872" u="1"/>
        <n v="10.946579999999999" u="1"/>
        <n v="12.138380000000002" u="1"/>
        <n v="13.226459999999999" u="1"/>
        <n v="14.081580000000002" u="1"/>
        <n v="10.08633" u="1"/>
        <n v="10.35988" u="1"/>
        <n v="11.554080000000001" u="1"/>
        <n v="13.09158" u="1"/>
        <n v="11.119079999999999" u="1"/>
        <n v="11.471579999999998" u="1"/>
        <n v="14.134079999999999" u="1"/>
        <n v="10.503329999999998" u="1"/>
        <n v="12.221579999999999" u="1"/>
        <n v="10.786979999999998" u="1"/>
        <n v="11.69012" u="1"/>
        <n v="11.77272" u="1"/>
        <n v="11.77768" u="1"/>
        <n v="17.752899999999997" u="1"/>
        <n v="17.662039999999998" u="1"/>
        <n v="118.74784000000001" u="1"/>
        <n v="9.9852800000000013" u="1"/>
        <n v="10.067880000000001" u="1"/>
        <n v="13.51722" u="1"/>
        <n v="14.053520000000001" u="1"/>
        <n v="12.39222" u="1"/>
        <n v="12.935027999999999" u="1"/>
        <n v="13.5655962" u="1"/>
        <n v="12.629360399999999" u="1"/>
        <n v="13.301855999999999" u="1"/>
        <n v="14.525149200000001" u="1"/>
        <n v="12.020596199999998" u="1"/>
        <n v="12.134180000000001" u="1"/>
        <n v="12.76956" u="1"/>
        <n v="13.85528" u="1"/>
        <n v="12.1692" u="1"/>
        <n v="12.1876044" u="1"/>
        <n v="12.60698" u="1"/>
        <n v="14.044079999999999" u="1"/>
        <n v="12.344880000000002" u="1"/>
        <n v="12.129880000000002" u="1"/>
        <n v="12.262280000000001" u="1"/>
        <n v="9.9707200000000018" u="1"/>
        <n v="8.9151200000000017" u="1"/>
        <n v="12.18572" u="1"/>
        <n v="11.790279999999999" u="1"/>
        <n v="11.855979999999999" u="1"/>
        <n v="14.118233200000002" u="1"/>
        <n v="15.336583200000003" u="1"/>
        <n v="18.324933200000004" u="1"/>
        <n v="14.5330032" u="1"/>
        <n v="15.7513532" u="1"/>
        <n v="18.739703199999997" u="1"/>
        <n v="16.5818032" u="1"/>
        <n v="17.761803199999999" u="1"/>
        <n v="20.566333199999995" u="1"/>
        <n v="16.613933200000002" u="1"/>
        <n v="17.855293199999998" u="1"/>
        <n v="20.161013199999999" u="1"/>
        <n v="11.529913200000001" u="1"/>
        <n v="11.9246132" u="1"/>
        <n v="13.104613200000001" u="1"/>
        <n v="16.054613200000002" u="1"/>
        <n v="15.361573200000002" u="1"/>
        <n v="16.5742932" u="1"/>
        <n v="17.261073199999998" u="1"/>
        <n v="21.001213199999999" u="1"/>
        <n v="16.901853199999998" u="1"/>
        <n v="18.0971932" u="1"/>
        <n v="21.070203200000002" u="1"/>
        <n v="11.983613200000001" u="1"/>
        <n v="16.477703200000001" u="1"/>
        <n v="18.060053199999999" u="1"/>
        <n v="20.758730700000001" u="1"/>
        <n v="14.256293200000002" u="1"/>
        <n v="14.792013200000003" u="1"/>
        <n v="18.309593200000002" u="1"/>
        <n v="18.1585532" u="1"/>
        <n v="19.976333199999999" u="1"/>
        <n v="22.854573200000001" u="1"/>
        <n v="15.8510632" u="1"/>
        <n v="16.655233200000001" u="1"/>
        <n v="18.463583199999999" u="1"/>
        <n v="17.544573199999999" u="1"/>
        <n v="20.494573199999998" u="1"/>
        <n v="16.575583200000001" u="1"/>
        <n v="17.793933199999998" u="1"/>
        <n v="20.782283199999998" u="1"/>
        <n v="12.0526432" u="1"/>
        <n v="12.0550032" u="1"/>
        <n v="13.273353200000001" u="1"/>
        <n v="16.261703199999999" u="1"/>
        <n v="15.236873200000003" u="1"/>
        <n v="16.455223199999999" u="1"/>
        <n v="19.466583199999999" u="1"/>
        <n v="18.941803199999999" u="1"/>
        <n v="21.891803200000002" u="1"/>
        <n v="12.643233200000003" u="1"/>
        <n v="13.330583200000001" u="1"/>
        <n v="14.076933200000001" u="1"/>
        <n v="15.318293200000003" u="1"/>
        <n v="17.6240132" u="1"/>
        <n v="14.687583200000001" u="1"/>
        <n v="15.905933200000002" u="1"/>
        <n v="18.8942832" u="1"/>
        <n v="13.373063200000001" u="1"/>
        <n v="12.9051492" u="1"/>
        <n v="14.145963200000002" u="1"/>
        <n v="14.302313200000002" u="1"/>
        <n v="14.349638200000001" u="1"/>
        <n v="14.639763200000001" u="1"/>
        <n v="16.725443199999997" u="1"/>
        <n v="15.6895132" u="1"/>
        <n v="16.966073199999997" u="1"/>
        <n v="17.754293199999999" u="1"/>
        <n v="18.346213199999998" u="1"/>
        <n v="16.9579132" u="1"/>
        <n v="13.970920000000001" u="1"/>
        <n v="17.942023199999998" u="1"/>
        <n v="18.275373200000001" u="1"/>
        <n v="18.411388199999998" u="1"/>
        <n v="15.898263200000002" u="1"/>
        <n v="13.616763199999999" u="1"/>
        <n v="13.0500132" u="1"/>
        <n v="12.436763200000001" u="1"/>
        <n v="13.361263200000002" u="1"/>
        <n v="13.510533200000001" u="1"/>
        <n v="13.419263200000001" u="1"/>
        <n v="13.351013200000002" u="1"/>
        <n v="11.2226382" u="1"/>
        <n v="11.871513200000001" u="1"/>
        <n v="12.244983200000002" u="1"/>
        <n v="12.401333200000002" u="1"/>
        <n v="12.675683200000002" u="1"/>
        <n v="12.9140432" u="1"/>
        <n v="13.093993200000002" u="1"/>
        <n v="10.332679999999998" u="1"/>
        <n v="13.688713200000002" u="1"/>
        <n v="11.33676" u="1"/>
        <n v="14.8356732" u="1"/>
        <n v="16.995388200000001" u="1"/>
        <n v="17.295263200000001" u="1"/>
        <n v="17.639013199999997" u="1"/>
        <n v="18.8535732" u="1"/>
        <n v="17.3856532" u="1"/>
        <n v="17.098323199999999" u="1"/>
        <n v="17.400993200000002" u="1"/>
        <n v="10.814513200000002" u="1"/>
        <n v="11.349363200000001" u="1"/>
        <n v="11.50196" u="1"/>
        <n v="11.54706" u="1"/>
        <n v="13.755100000000001" u="1"/>
        <n v="17.282079999999997" u="1"/>
        <n v="11.624039999999999" u="1"/>
        <n v="16.264653199999998" u="1"/>
        <n v="15.703563200000001" u="1"/>
        <n v="13.009079999999999" u="1"/>
        <n v="12.162920000000002" u="1"/>
        <n v="11.60918" u="1"/>
        <n v="11.20158" u="1"/>
        <n v="16.954573199999999" u="1"/>
        <n v="17.208063199999998" u="1"/>
        <n v="17.196263199999997" u="1"/>
        <n v="17.760303199999999" u="1"/>
        <n v="14.922403200000003" u="1"/>
        <n v="15.823013200000004" u="1"/>
        <n v="15.180513200000004" u="1"/>
        <n v="15.357513200000001" u="1"/>
        <n v="16.3236642" u="1"/>
        <n v="10.257163200000001" u="1"/>
        <n v="9.480413200000001" u="1"/>
        <n v="12.995179200000001" u="1"/>
        <n v="13.879921100000002" u="1"/>
        <n v="14.7518052" u="1"/>
        <n v="17.470613199999999" u="1"/>
        <n v="13.6249932" u="1"/>
        <n v="17.249039999999997" u="1"/>
        <n v="11.326131674999999" u="1"/>
        <n v="11.204579999999998" u="1"/>
        <n v="16.609349999999999" u="1"/>
        <n v="11.44008" u="1"/>
        <n v="18.566579999999998" u="1"/>
        <n v="19.061843199999998" u="1"/>
        <n v="17.149063200000001" u="1"/>
        <n v="9.420300000000001" u="1"/>
        <n v="12.580103200000002" u="1"/>
        <n v="12.2644532" u="1"/>
        <n v="12.361803200000002" u="1"/>
        <n v="12.4821632" u="1"/>
        <n v="11.439263200000001" u="1"/>
        <n v="11.675263200000002" u="1"/>
        <n v="12.196013200000001" u="1"/>
        <n v="12.886080000000002" u="1"/>
        <n v="12.173062200000002" u="1"/>
        <n v="12.799013200000001" u="1"/>
        <n v="12.158959999999999" u="1"/>
        <n v="11.002559999999999" u="1"/>
        <n v="12.864080000000001" u="1"/>
        <n v="11.35708" u="1"/>
        <n v="18.49268" u="1"/>
        <n v="13.026580000000001" u="1"/>
        <n v="27.743580000000001" u="1"/>
        <n v="12.75888" u="1"/>
        <n v="11.081580000000001" u="1"/>
        <n v="19.2252732" u="1"/>
        <n v="19.546013199999997" u="1"/>
        <n v="19.8152732" u="1"/>
        <n v="19.942123200000001" u="1"/>
        <n v="14.191266666666667" u="1"/>
        <n v="13.257966666666666" u="1"/>
        <n v="14.181040000000003" u="1"/>
        <n v="13.246400000000003" u="1"/>
        <n v="21.6035632" u="1"/>
        <n v="19.871913199999998" u="1"/>
        <n v="19.615263200000001" u="1"/>
        <n v="18.491903199999999" u="1"/>
        <n v="18.258263199999998" u="1"/>
        <n v="18.5532632" u="1"/>
        <n v="18.296613199999999" u="1"/>
        <n v="18.476563200000001" u="1"/>
        <n v="18.219913199999997" u="1"/>
        <n v="18.319623199999999" u="1"/>
        <n v="17.8175332" u="1"/>
        <n v="16.9974332" u="1"/>
        <n v="18.0210832" u="1"/>
        <n v="12.927023200000002" u="1"/>
        <n v="13.537673200000002" u="1"/>
        <n v="16.231023199999999" u="1"/>
        <n v="12.888673200000001" u="1"/>
        <n v="13.702283200000002" u="1"/>
        <n v="14.058643200000001" u="1"/>
        <n v="14.859273200000001" u="1"/>
        <n v="17.214553199999997" u="1"/>
        <n v="22.3269032" u="1"/>
        <n v="13.763643200000002" u="1"/>
        <n v="13.920583200000001" u="1"/>
        <n v="14.8439332" u="1"/>
        <n v="19.322623199999999" u="1"/>
        <n v="15.367263200000004" u="1"/>
        <n v="14.5052732" u="1"/>
        <n v="16.1525532" u="1"/>
        <n v="13.591559999999999" u="1"/>
        <n v="14.12786" u="1"/>
        <n v="12.466559999999999" u="1"/>
        <n v="13.456843200000002" u="1"/>
        <n v="13.006263200000001" u="1"/>
        <n v="12.938013200000002" u="1"/>
        <n v="13.163023200000001" u="1"/>
        <n v="17.916653199999999" u="1"/>
        <n v="17.629323199999998" u="1"/>
        <n v="17.931993200000001" u="1"/>
        <n v="13.697279999999999" u="1"/>
        <n v="15.290563200000003" u="1"/>
        <n v="13.6940232" u="1"/>
        <n v="13.234413200000001" u="1"/>
        <n v="13.567763200000002" u="1"/>
        <n v="14.567813200000002" u="1"/>
        <n v="17.367953199999999" u="1"/>
        <n v="18.768023199999998" u="1"/>
        <n v="22.301533199999998" u="1"/>
        <n v="19.968083200000002" u="1"/>
        <n v="26.259999999999998" u="1"/>
        <n v="20.530999999999999" u="1"/>
        <n v="19.382999999999999" u="1"/>
        <n v="17.780999999999999" u="1"/>
        <n v="18.311" u="1"/>
        <n v="22.809000000000001" u="1"/>
        <n v="19.181000000000001" u="1"/>
        <n v="24.998999999999999" u="1"/>
        <n v="22.096999999999998" u="1"/>
        <n v="25.064" u="1"/>
        <n v="11.279" u="1"/>
        <n v="14.625" u="1"/>
        <n v="20.168093200000001" u="1"/>
        <n v="20.501443199999997" u="1"/>
        <n v="17.034603199999999" u="1"/>
        <n v="15.5678632" u="1"/>
        <n v="15.057513200000001" u="1"/>
        <n v="14.657493200000003" u="1"/>
        <n v="14.7908332" u="1"/>
        <n v="15.3908632" u="1"/>
        <n v="14.390813200000002" u="1"/>
        <n v="12.8574032" u="1"/>
        <n v="12.990743200000001" u="1"/>
        <n v="13.190753200000001" u="1"/>
        <n v="12.057363200000003" u="1"/>
        <n v="12.190703200000002" u="1"/>
        <n v="12.390713200000002" u="1"/>
        <n v="11.857353200000002" u="1"/>
        <n v="14.990843200000004" u="1"/>
        <n v="18.034653199999997" u="1"/>
        <n v="18.234663200000004" u="1"/>
        <n v="11.701003200000001" u="1"/>
        <n v="13.301083200000001" u="1"/>
        <n v="13.434423200000001" u="1"/>
        <n v="13.6344332" u="1"/>
        <n v="14.767823200000002" u="1"/>
        <n v="13.501093200000001" u="1"/>
        <n v="14.834493200000002" u="1"/>
        <n v="15.834543199999999" u="1"/>
        <n v="15.967883199999999" u="1"/>
        <n v="12.9677332" u="1"/>
        <n v="13.1010732" u="1"/>
        <n v="17.1679432" u="1"/>
        <n v="16.5667084" u="1"/>
        <n v="16.033348400000001" u="1"/>
        <n v="19.566858399999997" u="1"/>
        <n v="25.233808399999997" u="1"/>
        <n v="17.233408399999998" u="1"/>
        <n v="17.766768399999997" u="1"/>
        <n v="8.4329684000000018" u="1"/>
        <n v="8.6253083999999998" u="1"/>
        <n v="16.166688399999998" u="1"/>
        <n v="19.500188399999999" u="1"/>
        <n v="11.899808400000001" u="1"/>
        <n v="12.166488400000002" u="1"/>
        <n v="12.899858400000001" u="1"/>
        <n v="13.899908399999999" u="1"/>
        <n v="15.900008400000003" u="1"/>
        <n v="12.833188399999999" u="1"/>
        <n v="12.747392000000001" u="1"/>
        <n v="13.311692000000003" u="1"/>
        <n v="11.464892000000001" u="1"/>
        <n v="12.302792" u="1"/>
        <n v="11.550392" u="1"/>
        <n v="11.966492000000002" u="1"/>
        <n v="12.875642000000001" u="1"/>
        <n v="11.495672000000003" u="1"/>
        <n v="11.208392" u="1"/>
        <n v="10.957592" u="1"/>
        <n v="8.4689720000000008" u="1"/>
        <n v="11.122892" u="1"/>
        <n v="8.3013920000000017" u="1"/>
        <n v="11.721392000000003" u="1"/>
        <n v="18.692492000000001" u="1"/>
        <n v="11.037392000000001" u="1"/>
        <n v="17.877392" u="1"/>
        <n v="132.36189200000004" u="1"/>
        <n v="8.8998920000000012" u="1"/>
        <n v="12.319892000000001" u="1"/>
        <n v="15.056308400000001" u="1"/>
        <n v="14.656288400000003" u="1"/>
        <n v="14.722958400000003" u="1"/>
        <n v="14.7896284" u="1"/>
        <n v="14.9229684" u="1"/>
        <n v="15.189648400000001" u="1"/>
        <n v="15.3896584" u="1"/>
        <n v="15.723008400000003" u="1"/>
        <n v="14.056258400000001" u="1"/>
        <n v="14.189598400000001" u="1"/>
        <n v="14.389608400000002" u="1"/>
        <n v="13.522898400000003" u="1"/>
        <n v="13.656238400000003" u="1"/>
        <n v="13.8562484" u="1"/>
        <n v="12.8561984" u="1"/>
        <n v="12.989538400000001" u="1"/>
        <n v="13.189548400000001" u="1"/>
        <n v="12.056158400000003" u="1"/>
        <n v="12.189498400000002" u="1"/>
        <n v="12.389508400000002" u="1"/>
        <n v="12.722858400000002" u="1"/>
        <n v="11.722808400000002" u="1"/>
        <n v="12.589518400000001" u="1"/>
        <n v="12.9228684" u="1"/>
        <n v="12.7895284" u="1"/>
        <n v="13.322888400000002" u="1"/>
        <n v="14.989638400000004" u="1"/>
        <n v="15.322988400000002" u="1"/>
        <n v="15.856348400000003" u="1"/>
        <n v="16.056358400000001" u="1"/>
        <n v="16.3897084" u="1"/>
        <n v="16.123028399999999" u="1"/>
        <n v="16.7000484" u="1"/>
        <n v="16.900058399999999" u="1"/>
        <n v="17.900108399999997" u="1"/>
        <n v="18.033448399999997" u="1"/>
        <n v="18.233458400000004" u="1"/>
        <n v="15.2333084" u="1"/>
        <n v="15.366648400000001" u="1"/>
        <n v="15.5666584" u="1"/>
        <n v="14.633278400000002" u="1"/>
        <n v="18.166788400000002" u="1"/>
        <n v="18.300128399999998" u="1"/>
        <n v="18.633478399999998" u="1"/>
        <n v="11.299778400000001" u="1"/>
        <n v="11.233108399999999" u="1"/>
        <n v="11.366448399999999" u="1"/>
        <n v="11.699798400000001" u="1"/>
        <n v="19.633528399999999" u="1"/>
        <n v="19.966878400000002" u="1"/>
        <n v="12.566508400000002" u="1"/>
        <n v="13.299878400000001" u="1"/>
        <n v="13.433218400000001" u="1"/>
        <n v="13.6332284" u="1"/>
        <n v="14.766618400000002" u="1"/>
        <n v="14.966628399999999" u="1"/>
        <n v="13.499888400000001" u="1"/>
        <n v="13.833238400000003" u="1"/>
        <n v="14.833288400000002" u="1"/>
        <n v="15.166638400000004" u="1"/>
        <n v="15.833338399999999" u="1"/>
        <n v="15.966678399999999" u="1"/>
        <n v="12.699848400000002" u="1"/>
        <n v="13.0331984" u="1"/>
        <n v="13.233208400000001" u="1"/>
        <n v="13.366548400000001" u="1"/>
        <n v="13.566558400000002" u="1"/>
        <n v="12.9665284" u="1"/>
        <n v="13.0998684" u="1"/>
        <n v="13.699898400000002" u="1"/>
        <n v="14.0332484" u="1"/>
        <n v="14.566608400000002" u="1"/>
        <n v="17.366748399999999" u="1"/>
        <n v="23.100368400000001" u="1"/>
        <n v="14.1665884" u="1"/>
        <n v="18.766818399999998" u="1"/>
        <n v="18.433468399999999" u="1"/>
        <n v="23.9004084" u="1"/>
        <n v="22.900358400000002" u="1"/>
        <n v="22.567008399999999" u="1"/>
        <n v="20.100218399999999" u="1"/>
        <n v="20.9669284" u="1"/>
        <n v="22.300328399999998" u="1"/>
        <n v="20.300228399999998" u="1"/>
        <n v="11.165642000000002" u="1"/>
        <n v="13.042652000000002" u="1"/>
        <n v="12.840872000000003" u="1"/>
        <n v="10.567141999999999" u="1"/>
        <n v="12.101012000000003" u="1"/>
        <n v="13.602392000000002" u="1"/>
        <n v="14.320592000000001" u="1"/>
        <n v="10.486772" u="1"/>
        <n v="10.011392000000001" u="1"/>
        <n v="10.197554" u="1"/>
        <n v="13.089392000000002" u="1"/>
        <n v="13.291514000000001" u="1"/>
        <n v="11.379392000000001" u="1"/>
        <n v="17.833438400000002" u="1"/>
        <n v="18.500138400000004" u="1"/>
        <n v="19.033498399999999" u="1"/>
        <n v="19.833538399999998" u="1"/>
        <n v="20.166888400000001" u="1"/>
        <n v="20.500238399999997" u="1"/>
        <n v="21.033598399999999" u="1"/>
        <n v="15.766668400000002" u="1"/>
        <n v="16.1000184" u="1"/>
        <n v="16.433368399999999" u="1"/>
        <n v="16.966728399999997" u="1"/>
        <n v="15.6999984" u="1"/>
        <n v="16.366698400000001" u="1"/>
        <n v="16.766718400000002" u="1"/>
        <n v="17.3000784" u="1"/>
        <n v="16.2333584" u="1"/>
        <n v="17.033398399999999" u="1"/>
        <n v="17.566758400000001" u="1"/>
        <n v="17.6334284" u="1"/>
        <n v="17.966778400000003" u="1"/>
        <n v="17.100068399999998" u="1"/>
        <n v="17.433418400000001" u="1"/>
        <n v="18.100118399999999" u="1"/>
        <n v="16.300028399999999" u="1"/>
        <n v="16.633378399999998" u="1"/>
        <n v="9.2330084000000028" u="1"/>
        <n v="18.900158399999999" u="1"/>
        <n v="14.585320000000001" u="1"/>
        <n v="14.326570000000002" u="1"/>
        <n v="13.38932" u="1"/>
        <n v="12.975392000000003" u="1"/>
        <n v="15.033298400000003" u="1"/>
        <n v="17.500088399999999" u="1"/>
        <n v="8.472392000000001" u="1"/>
        <n v="17.1667384" u="1"/>
        <n v="10.609892" u="1"/>
        <n v="7.5662584000000006" u="1"/>
        <n v="16.38286005008322" u="1"/>
        <n v="15.855591894978462" u="1"/>
        <n v="19.348743422547482" u="1"/>
        <n v="24.950967570535536" u="1"/>
        <n v="17.041945243964165" u="1"/>
        <n v="17.569213399068925" u="1"/>
        <n v="8.3420206847356582" u="1"/>
        <n v="8.5320236235118472" u="1"/>
        <n v="15.987408933754653" u="1"/>
        <n v="19.28283490315939" u="1"/>
        <n v="11.769263692916585" u="1"/>
        <n v="12.032897770468965" u="1"/>
        <n v="12.757891483738007" u="1"/>
        <n v="13.746519274559427" u="1"/>
        <n v="15.723774856202272" u="1"/>
        <n v="12.691982964349911" u="1"/>
        <n v="12.556311392667403" u="1"/>
        <n v="13.233207165895918" u="1"/>
        <n v="11.263329237926579" u="1"/>
        <n v="12.207062568737925" u="1"/>
        <n v="11.349528048242634" u="1"/>
        <n v="11.865014369685261" u="1"/>
        <n v="12.685609608141485" u="1"/>
        <n v="11.386146891011531" u="1"/>
        <n v="11.004732806978414" u="1"/>
        <n v="10.838869772527268" u="1"/>
        <n v="8.3077130995375512" u="1"/>
        <n v="10.91853399666236" u="1"/>
        <n v="8.0739732562325504" u="1"/>
        <n v="11.521925668874744" u="1"/>
        <n v="18.705978350738548" u="1"/>
        <n v="10.832335186346304" u="1"/>
        <n v="17.728240011630689" u="1"/>
        <n v="134.31826963053913" u="1"/>
        <n v="8.6773649284449341" u="1"/>
        <n v="12.125317341087127" u="1"/>
        <n v="14.890131962321325" u="1"/>
        <n v="14.494680845992756" u="1"/>
        <n v="14.560589365380853" u="1"/>
        <n v="14.626497884768945" u="1"/>
        <n v="14.758314923545134" u="1"/>
        <n v="15.021949001097514" u="1"/>
        <n v="15.219674559261797" u="1"/>
        <n v="15.549217156202273" u="1"/>
        <n v="13.901504171499903" u="1"/>
        <n v="14.033321210276094" u="1"/>
        <n v="14.231046768440375" u="1"/>
        <n v="13.374236016395145" u="1"/>
        <n v="13.506053055171336" u="1"/>
        <n v="13.703778613335617" u="1"/>
        <n v="12.715150822514197" u="1"/>
        <n v="12.846967861290386" u="1"/>
        <n v="13.044693419454672" u="1"/>
        <n v="11.924248589857061" u="1"/>
        <n v="12.056065628633249" u="1"/>
        <n v="12.253791186797535" u="1"/>
        <n v="12.583333783738007" u="1"/>
        <n v="11.594705992916586" u="1"/>
        <n v="12.451516744961816" u="1"/>
        <n v="12.781059341902292" u="1"/>
        <n v="12.649242303126103" u="1"/>
        <n v="13.176510458230862" u="1"/>
        <n v="14.824223442933231" u="1"/>
        <n v="15.153766039873704" u="1"/>
        <n v="15.681034194978462" u="1"/>
        <n v="15.878759753142745" u="1"/>
        <n v="16.208302350083219" u="1"/>
        <n v="15.944668272530841" u="1"/>
        <n v="16.514677088859408" u="1"/>
        <n v="16.712402647023694" u="1"/>
        <n v="17.701030437845112" u="1"/>
        <n v="17.832847476621303" u="1"/>
        <n v="18.030573034785586" u="1"/>
        <n v="15.064689662321324" u="1"/>
        <n v="15.196506701097514" u="1"/>
        <n v="15.394232259261797" u="1"/>
        <n v="14.471512987828472" u="1"/>
        <n v="17.964664515397491" u="1"/>
        <n v="18.096481554173682" u="1"/>
        <n v="18.426024151114152" u="1"/>
        <n v="11.176087018423733" u="1"/>
        <n v="11.110178499035637" u="1"/>
        <n v="11.241995537811826" u="1"/>
        <n v="11.571538134752302" u="1"/>
        <n v="19.414651941935578" u="1"/>
        <n v="19.744194538876048" u="1"/>
        <n v="12.428348886797535" u="1"/>
        <n v="13.153342600066575" u="1"/>
        <n v="13.285159638842766" u="1"/>
        <n v="13.482885197007047" u="1"/>
        <n v="14.603330026604663" u="1"/>
        <n v="14.801055584768944" u="1"/>
        <n v="13.351068158230861" u="1"/>
        <n v="13.680610755171335" u="1"/>
        <n v="14.669238545992755" u="1"/>
        <n v="14.998781142933231" u="1"/>
        <n v="15.657866336814175" u="1"/>
        <n v="15.789683375590366" u="1"/>
        <n v="12.560165925573724" u="1"/>
        <n v="12.889708522514196" u="1"/>
        <n v="13.087434080678481" u="1"/>
        <n v="13.219251119454672" u="1"/>
        <n v="13.416976677618955" u="1"/>
        <n v="12.823800003126102" u="1"/>
        <n v="12.955617041902292" u="1"/>
        <n v="13.548793716395144" u="1"/>
        <n v="13.878336313335616" u="1"/>
        <n v="14.405604468440375" u="1"/>
        <n v="17.173762282740356" u="1"/>
        <n v="22.841894950116505" u="1"/>
        <n v="14.010153352111807" u="1"/>
        <n v="18.557841189890343" u="1"/>
        <n v="18.228298592949873" u="1"/>
        <n v="23.63279718277364" u="1"/>
        <n v="22.644169391952222" u="1"/>
        <n v="22.314626795011748" u="1"/>
        <n v="19.876011577652235" u="1"/>
        <n v="20.73282232969747" u="1"/>
        <n v="22.050992717459366" u="1"/>
        <n v="20.073737135816522" u="1"/>
        <n v="26.2456" u="1"/>
        <n v="20.5166" u="1"/>
        <n v="19.368600000000001" u="1"/>
        <n v="17.7666" u="1"/>
        <n v="18.296600000000002" u="1"/>
        <n v="22.794600000000003" u="1"/>
        <n v="19.166600000000003" u="1"/>
        <n v="24.9846" u="1"/>
        <n v="22.082599999999999" u="1"/>
        <n v="25.049600000000002" u="1"/>
        <n v="24.18535" u="1"/>
        <n v="11.264600000000002" u="1"/>
        <n v="14.610600000000002" u="1"/>
        <n v="19.685600000000001" u="1"/>
        <n v="9.6262498999999977" u="1"/>
        <n v="9.7538262499999995" u="1"/>
        <n v="9.0500599999999984" u="1"/>
        <n v="10.961633401820388" u="1"/>
        <n v="12.959568606653786" u="1"/>
        <n v="12.754339687222188" u="1"/>
        <n v="10.358241729608004" u="1"/>
        <n v="12.001833649306327" u="1"/>
        <n v="13.41829949582795" u="1"/>
        <n v="14.25935176305391" u="1"/>
        <n v="10.360002293853537" u="1"/>
        <n v="9.7979494625536478" u="1"/>
        <n v="10.065840842668244" u="1"/>
        <n v="12.90110663393162" u="1"/>
        <n v="13.212684273952757" u="1"/>
        <n v="11.177130427610525" u="1"/>
        <n v="17.635121918457017" u="1"/>
        <n v="18.294207112337968" u="1"/>
        <n v="18.821475267442722" u="1"/>
        <n v="19.612377500099861" u="1"/>
        <n v="19.941920097040335" u="1"/>
        <n v="20.271462693980808" u="1"/>
        <n v="20.798730849085565" u="1"/>
        <n v="15.591957817426083" u="1"/>
        <n v="15.921500414366555" u="1"/>
        <n v="16.251043011307029" u="1"/>
        <n v="16.778311166411786" u="1"/>
        <n v="15.526049298037986" u="1"/>
        <n v="16.185134491918934" u="1"/>
        <n v="16.580585608247503" u="1"/>
        <n v="17.10785376335226" u="1"/>
        <n v="16.053317453142743" u="1"/>
        <n v="16.844219685799882" u="1"/>
        <n v="17.371487840904642" u="1"/>
        <n v="17.437396360292734" u="1"/>
        <n v="17.766938957233208" u="1"/>
        <n v="16.910128205187974" u="1"/>
        <n v="17.239670802128451" u="1"/>
        <n v="17.898755996009399" u="1"/>
        <n v="16.119225972530838" u="1"/>
        <n v="16.448768569471312" u="1"/>
        <n v="9.1329229173927953" u="1"/>
        <n v="18.689658228666531" u="1"/>
        <n v="14.493003966650969" u="1"/>
        <n v="14.226404886351018" u="1"/>
        <n v="13.260723773264527" u="1"/>
        <n v="14.3888" u="1"/>
        <n v="12.571429999999999" u="1"/>
        <n v="17.455460000000002" u="1"/>
        <n v="19.425380000000001" u="1"/>
        <n v="17.009000000000004" u="1"/>
        <n v="9.6175999999999995" u="1"/>
        <n v="10.775600000000001" u="1"/>
        <n v="12.891158966843253" u="1"/>
        <n v="14.866964104157042" u="1"/>
        <n v="17.305579321516543" u="1"/>
        <n v="8.2463708768646597" u="1"/>
        <n v="16.976036724576069" u="1"/>
        <n v="10.401341134766032" u="1"/>
        <n v="7.4852099326904256" u="1"/>
        <n v="15.667043300000001" u="1"/>
        <n v="7.5433958326904254" u="1"/>
        <n v="12.518652711243849" u="1"/>
        <n v="13.193357941024887" u="1"/>
        <n v="11.229854854438976" u="1"/>
        <n v="12.170534112606147" u="1"/>
        <n v="11.315774711559301" u="1"/>
        <n v="11.829592836466567" u="1"/>
        <n v="12.647532496924336" u="1"/>
        <n v="11.352275049871155" u="1"/>
        <n v="10.972095283078001" u="1"/>
        <n v="10.806769008047825" u="1"/>
        <n v="8.2838035646149333" u="1"/>
        <n v="10.886175425957678" u="1"/>
        <n v="8.0508201409869589" u="1"/>
        <n v="11.487614425799951" u="1"/>
        <n v="18.648418359258169" u="1"/>
        <n v="10.800255568837352" u="1"/>
        <n v="17.673844138463334" u="1"/>
        <n v="133.88656969443628" u="1"/>
        <n v="8.6522591408292318" u="1"/>
        <n v="12.089053425642224" u="1"/>
        <n v="10.929135354517841" u="1"/>
        <n v="12.920604920113222" u="1"/>
        <n v="12.716040154429475" u="1"/>
        <n v="10.327696354675565" u="1"/>
        <n v="11.965969346922398" u="1"/>
        <n v="13.377851282447097" u="1"/>
        <n v="14.216181769443626" u="1"/>
        <n v="10.329451221452413" u="1"/>
        <n v="9.7692172833934556" u="1"/>
        <n v="10.036241723972372" u="1"/>
        <n v="12.862332139725147" u="1"/>
        <n v="13.17290146445651" u="1"/>
        <n v="11.143934997318652" u="1"/>
        <n v="12.852416664885306" u="1"/>
        <n v="8.222659855227608" u="1"/>
        <n v="10.370656283235729" u="1"/>
        <n v="11.528797473528492" u="1"/>
        <n v="16.38067845008322" u="1"/>
        <n v="15.853410294978461" u="1"/>
        <n v="19.346561822547486" u="1"/>
        <n v="24.948785970535539" u="1"/>
        <n v="17.039763643964164" u="1"/>
        <n v="17.567031799068925" u="1"/>
        <n v="7.4830283326904254" u="1"/>
        <n v="8.5298420235118471" u="1"/>
        <n v="15.985227333754652" u="1"/>
        <n v="19.28065330315939" u="1"/>
        <n v="11.767082092916585" u="1"/>
        <n v="12.030716170468965" u="1"/>
        <n v="12.755709883738007" u="1"/>
        <n v="13.744337674559427" u="1"/>
        <n v="15.721593256202272" u="1"/>
        <n v="12.689801364349911" u="1"/>
        <n v="12.902489511243848" u="1"/>
        <n v="13.577194741024886" u="1"/>
        <n v="11.613691654438975" u="1"/>
        <n v="12.554370912606144" u="1"/>
        <n v="11.699611511559301" u="1"/>
        <n v="12.213429636466566" u="1"/>
        <n v="13.031369296924336" u="1"/>
        <n v="11.736111849871152" u="1"/>
        <n v="11.355932083078001" u="1"/>
        <n v="11.190605808047826" u="1"/>
        <n v="8.6676403646149325" u="1"/>
        <n v="11.270012225957677" u="1"/>
        <n v="8.4346569409869598" u="1"/>
        <n v="11.87145122579995" u="1"/>
        <n v="19.032255159258167" u="1"/>
        <n v="11.184092368837351" u="1"/>
        <n v="18.057680938463335" u="1"/>
        <n v="134.27040649443629" u="1"/>
        <n v="9.0360959408292327" u="1"/>
        <n v="12.472890225642223" u="1"/>
        <n v="14.887950362321325" u="1"/>
        <n v="14.492499245992756" u="1"/>
        <n v="14.558407765380853" u="1"/>
        <n v="14.624316284768945" u="1"/>
        <n v="14.756133323545134" u="1"/>
        <n v="15.019767401097514" u="1"/>
        <n v="15.217492959261797" u="1"/>
        <n v="15.547035556202273" u="1"/>
        <n v="13.899322571499903" u="1"/>
        <n v="14.031139610276094" u="1"/>
        <n v="14.228865168440375" u="1"/>
        <n v="13.372054416395144" u="1"/>
        <n v="13.503871455171335" u="1"/>
        <n v="13.701597013335617" u="1"/>
        <n v="12.712969222514197" u="1"/>
        <n v="12.844786261290386" u="1"/>
        <n v="13.042511819454672" u="1"/>
        <n v="11.922066989857061" u="1"/>
        <n v="12.053884028633249" u="1"/>
        <n v="12.251609586797535" u="1"/>
        <n v="12.581152183738007" u="1"/>
        <n v="12.119792548021344" u="1"/>
        <n v="12.449335144961816" u="1"/>
        <n v="12.778877741902292" u="1"/>
        <n v="12.515243664349912" u="1"/>
        <n v="12.647060703126103" u="1"/>
        <n v="13.174328858230862" u="1"/>
        <n v="14.822041842933231" u="1"/>
        <n v="15.151584439873703" u="1"/>
        <n v="15.678852594978462" u="1"/>
        <n v="15.876578153142745" u="1"/>
        <n v="16.206120750083219" u="1"/>
        <n v="15.942486672530841" u="1"/>
        <n v="16.512495488859408" u="1"/>
        <n v="16.710221047023694" u="1"/>
        <n v="17.698848837845112" u="1"/>
        <n v="17.830665876621303" u="1"/>
        <n v="18.028391434785586" u="1"/>
        <n v="15.062508062321324" u="1"/>
        <n v="15.194325101097514" u="1"/>
        <n v="15.392050659261796" u="1"/>
        <n v="14.469331387828472" u="1"/>
        <n v="17.962482915397491" u="1"/>
        <n v="18.094299954173682" u="1"/>
        <n v="18.423842551114156" u="1"/>
        <n v="11.173905418423733" u="1"/>
        <n v="11.107996899035637" u="1"/>
        <n v="11.239813937811826" u="1"/>
        <n v="11.569356534752302" u="1"/>
        <n v="19.412470341935581" u="1"/>
        <n v="19.742012938876051" u="1"/>
        <n v="12.426167286797535" u="1"/>
        <n v="13.151161000066574" u="1"/>
        <n v="13.282978038842765" u="1"/>
        <n v="13.480703597007047" u="1"/>
        <n v="14.601148426604663" u="1"/>
        <n v="14.798873984768944" u="1"/>
        <n v="13.348886558230861" u="1"/>
        <n v="13.678429155171335" u="1"/>
        <n v="14.667056945992755" u="1"/>
        <n v="14.996599542933231" u="1"/>
        <n v="15.655684736814175" u="1"/>
        <n v="15.787501775590366" u="1"/>
        <n v="12.557984325573724" u="1"/>
        <n v="12.887526922514196" u="1"/>
        <n v="13.085252480678481" u="1"/>
        <n v="13.217069519454672" u="1"/>
        <n v="13.414795077618955" u="1"/>
        <n v="12.821618403126102" u="1"/>
        <n v="12.953435441902291" u="1"/>
        <n v="13.546612116395144" u="1"/>
        <n v="13.876154713335616" u="1"/>
        <n v="14.403422868440375" u="1"/>
        <n v="17.171580682740355" u="1"/>
        <n v="22.839713350116511" u="1"/>
        <n v="14.007971752111807" u="1"/>
        <n v="18.555659589890347" u="1"/>
        <n v="18.226116992949873" u="1"/>
        <n v="23.630615582773643" u="1"/>
        <n v="22.641987791952225" u="1"/>
        <n v="22.312445195011748" u="1"/>
        <n v="19.873829977652242" u="1"/>
        <n v="20.730640729697473" u="1"/>
        <n v="22.048811117459373" u="1"/>
        <n v="20.071555535816525" u="1"/>
        <n v="11.312972154517841" u="1"/>
        <n v="13.304441720113221" u="1"/>
        <n v="13.099876954429474" u="1"/>
        <n v="10.711533154675564" u="1"/>
        <n v="12.349806146922397" u="1"/>
        <n v="13.761688082447096" u="1"/>
        <n v="14.600018569443625" u="1"/>
        <n v="10.713288021452412" u="1"/>
        <n v="10.153054083393455" u="1"/>
        <n v="10.420078523972373" u="1"/>
        <n v="13.246168939725147" u="1"/>
        <n v="13.556738264456509" u="1"/>
        <n v="11.527771797318652" u="1"/>
        <n v="17.632940318457017" u="1"/>
        <n v="18.292025512337968" u="1"/>
        <n v="18.819293667442725" u="1"/>
        <n v="19.610195900099864" u="1"/>
        <n v="19.939738497040338" u="1"/>
        <n v="20.269281093980812" u="1"/>
        <n v="20.796549249085569" u="1"/>
        <n v="15.589776217426083" u="1"/>
        <n v="15.919318814366555" u="1"/>
        <n v="16.248861411307029" u="1"/>
        <n v="16.776129566411786" u="1"/>
        <n v="15.523867698037986" u="1"/>
        <n v="16.182952891918934" u="1"/>
        <n v="16.578404008247503" u="1"/>
        <n v="17.10567216335226" u="1"/>
        <n v="16.051135853142743" u="1"/>
        <n v="16.842038085799881" u="1"/>
        <n v="17.369306240904642" u="1"/>
        <n v="17.435214760292734" u="1"/>
        <n v="17.764757357233208" u="1"/>
        <n v="16.907946605187973" u="1"/>
        <n v="17.237489202128451" u="1"/>
        <n v="17.896574396009399" u="1"/>
        <n v="16.117044372530838" u="1"/>
        <n v="16.446586969471312" u="1"/>
        <n v="9.1307413173927952" u="1"/>
        <n v="18.687476628666534" u="1"/>
        <n v="15.132731966650969" u="1"/>
        <n v="14.866132886351018" u="1"/>
        <n v="13.900451773264527" u="1"/>
        <n v="13.236253464885305" u="1"/>
        <n v="8.606496655227609" u="1"/>
        <n v="16.973855124576069" u="1"/>
        <n v="10.754493083235728" u="1"/>
        <n v="16.60260519144656" u="1"/>
        <n v="16.067959836623814" u="1"/>
        <n v="19.609985312324497" u="1"/>
        <n v="25.290592207316159" u="1"/>
        <n v="17.270911884974986" u="1"/>
        <n v="17.805557239797732" u="1"/>
        <n v="7.5804648288127403" u="1"/>
        <n v="8.6419248691053845" u="1"/>
        <n v="16.2016211753295" u="1"/>
        <n v="19.543154642971658" u="1"/>
        <n v="11.92445833674754" u="1"/>
        <n v="12.191781014158913" u="1"/>
        <n v="12.926918377040186" u="1"/>
        <n v="13.929378417332829" u="1"/>
        <n v="15.934298497918126" u="1"/>
        <n v="12.860087707687342" u="1"/>
        <n v="12.363696613912275" u="1"/>
        <n v="13.245847309969392" u="1"/>
        <n v="11.101010323477576" u="1"/>
        <n v="12.225320034138608" u="1"/>
        <n v="11.185189409506556" u="1"/>
        <n v="11.885144275528349" u="1"/>
        <n v="12.489965242955742" u="1"/>
        <n v="11.408898213473984" u="1"/>
        <n v="10.848473065390635" u="1"/>
        <n v="10.864616999697564" u="1"/>
        <n v="8.3473163859816353" u="1"/>
        <n v="10.764293979361657" u="1"/>
        <n v="7.9863841404053248" u="1"/>
        <n v="11.353547581564516" u="1"/>
        <n v="18.688659447733571" u="1"/>
        <n v="10.680114893332677" u="1"/>
        <n v="17.414441775651063" u="1"/>
        <n v="133.66806585800177" u="1"/>
        <n v="8.5756377426081833" u="1"/>
        <n v="11.942801183767374" u="1"/>
        <n v="15.088991804389694" u="1"/>
        <n v="14.688007788272637" u="1"/>
        <n v="14.75483845762548" u="1"/>
        <n v="14.821669126978321" u="1"/>
        <n v="14.955330465684007" u="1"/>
        <n v="15.22265314309538" u="1"/>
        <n v="15.423145151153909" u="1"/>
        <n v="15.757298497918127" u="1"/>
        <n v="14.086531764097048" u="1"/>
        <n v="14.220193102802735" u="1"/>
        <n v="14.420685110861264" u="1"/>
        <n v="13.551886409274305" u="1"/>
        <n v="13.685547747979991" u="1"/>
        <n v="13.886039756038517" u="1"/>
        <n v="12.883579715745871" u="1"/>
        <n v="13.017241054451558" u="1"/>
        <n v="13.217733062510089" u="1"/>
        <n v="12.081611683511756" u="1"/>
        <n v="12.215273022217442" u="1"/>
        <n v="12.415765030275971" u="1"/>
        <n v="12.749918377040187" u="1"/>
        <n v="12.282103691570285" u="1"/>
        <n v="12.616257038334501" u="1"/>
        <n v="12.950410385098715" u="1"/>
        <n v="12.683087707687342" u="1"/>
        <n v="12.81674904639303" u="1"/>
        <n v="13.351394401215774" u="1"/>
        <n v="15.022161135036853" u="1"/>
        <n v="15.356314481801068" u="1"/>
        <n v="15.890959836623813" u="1"/>
        <n v="16.091451844682343" u="1"/>
        <n v="16.425605191446561" u="1"/>
        <n v="16.158282514035186" u="1"/>
        <n v="16.736266530152246" u="1"/>
        <n v="16.936758538210771" u="1"/>
        <n v="17.939218578503418" u="1"/>
        <n v="18.072879917209104" u="1"/>
        <n v="18.273371925267636" u="1"/>
        <n v="15.265991804389694" u="1"/>
        <n v="15.39965314309538" u="1"/>
        <n v="15.600145151153908" u="1"/>
        <n v="14.664515780214108" u="1"/>
        <n v="18.206541255914793" u="1"/>
        <n v="18.340202594620479" u="1"/>
        <n v="18.674355941384693" u="1"/>
        <n v="11.322982312571952" u="1"/>
        <n v="11.256151643219107" u="1"/>
        <n v="11.389812981924793" u="1"/>
        <n v="11.723966328689009" u="1"/>
        <n v="19.67681598167734" u="1"/>
        <n v="20.010969328441558" u="1"/>
        <n v="12.59276503027597" u="1"/>
        <n v="13.327902393157244" u="1"/>
        <n v="13.461563731862931" u="1"/>
        <n v="13.66205573992146" u="1"/>
        <n v="14.798177118919794" u="1"/>
        <n v="14.998669126978321" u="1"/>
        <n v="13.528394401215774" u="1"/>
        <n v="13.86254774797999" u="1"/>
        <n v="14.865007788272637" u="1"/>
        <n v="15.199161135036853" u="1"/>
        <n v="15.86746782856528" u="1"/>
        <n v="16.001129167270967" u="1"/>
        <n v="12.726426368981658" u="1"/>
        <n v="13.06057971574587" u="1"/>
        <n v="13.261071723804401" u="1"/>
        <n v="13.394733062510088" u="1"/>
        <n v="13.595225070568617" u="1"/>
        <n v="12.993749046393029" u="1"/>
        <n v="13.127410385098715" u="1"/>
        <n v="13.728886409274304" u="1"/>
        <n v="14.063039756038517" u="1"/>
        <n v="14.597685110861264" u="1"/>
        <n v="17.404573223680675" u="1"/>
        <n v="23.152010788025184" u="1"/>
        <n v="14.196701094744203" u="1"/>
        <n v="18.808017280090382" u="1"/>
        <n v="18.473863933326164" u="1"/>
        <n v="23.953978820259298" u="1"/>
        <n v="22.951518779966655" u="1"/>
        <n v="22.617365433202437" u="1"/>
        <n v="20.144630667147243" u="1"/>
        <n v="21.013429368734201" u="1"/>
        <n v="22.350042755791065" u="1"/>
        <n v="20.345122675205772" u="1"/>
        <n v="10.806383522376148" u="1"/>
        <n v="12.973706703081183" u="1"/>
        <n v="12.769601247915027" u="1"/>
        <n v="10.217129920173287" u="1"/>
        <n v="12.021214578972453" u="1"/>
        <n v="13.205487474202071" u="1"/>
        <n v="14.266374585800175" u="1"/>
        <n v="10.388370937643199" u="1"/>
        <n v="9.6699658609849202" u="1"/>
        <n v="10.095819785238376" u="1"/>
        <n v="12.700412958028194" u="1"/>
        <n v="13.225436764452775" u="1"/>
        <n v="11.016831237448596" u="1"/>
        <n v="17.872387909150579" u="1"/>
        <n v="18.540694602679011" u="1"/>
        <n v="19.075339957501754" u="1"/>
        <n v="19.877307989735868" u="1"/>
        <n v="20.211461336500086" u="1"/>
        <n v="20.545614683264301" u="1"/>
        <n v="21.080260038087047" u="1"/>
        <n v="15.800637159212441" u="1"/>
        <n v="16.134790505976653" u="1"/>
        <n v="16.468943852740871" u="1"/>
        <n v="17.003589207563614" u="1"/>
        <n v="15.733806489859596" u="1"/>
        <n v="16.402113183388028" u="1"/>
        <n v="16.803097199505089" u="1"/>
        <n v="17.337742554327832" u="1"/>
        <n v="16.268451844682343" u="1"/>
        <n v="17.070419876916461" u="1"/>
        <n v="17.605065231739204" u="1"/>
        <n v="17.671895901092046" u="1"/>
        <n v="18.006049247856264" u="1"/>
        <n v="17.1372505462693" u="1"/>
        <n v="17.471403893033518" u="1"/>
        <n v="18.13971058656195" u="1"/>
        <n v="16.335282514035185" u="1"/>
        <n v="16.6694358607994" u="1"/>
        <n v="9.2512315626338175" u="1"/>
        <n v="18.941678618796065" u="1"/>
        <n v="14.671676461705722" u="1"/>
        <n v="14.404205378549783" u="1"/>
        <n v="13.435365677340485" u="1"/>
        <n v="12.905671551359131" u="1"/>
        <n v="8.1547423124632843" u="1"/>
        <n v="17.204081215622146" u="1"/>
        <n v="10.259219463187778" u="1"/>
        <n v="15.660601" u="1"/>
        <n v="16.602437191446558" u="1"/>
        <n v="16.067791836623815" u="1"/>
        <n v="19.609817312324495" u="1"/>
        <n v="25.290424207316157" u="1"/>
        <n v="17.270743884974987" u="1"/>
        <n v="17.80538923979773" u="1"/>
        <n v="7.5802968288127399" u="1"/>
        <n v="8.6417568691053841" u="1"/>
        <n v="16.201453175329497" u="1"/>
        <n v="19.542986642971655" u="1"/>
        <n v="11.924290336747539" u="1"/>
        <n v="12.191613014158913" u="1"/>
        <n v="12.926750377040186" u="1"/>
        <n v="13.929210417332831" u="1"/>
        <n v="15.934130497918126" u="1"/>
        <n v="12.859919707687341" u="1"/>
        <n v="12.358710613912276" u="1"/>
        <n v="13.240861309969393" u="1"/>
        <n v="11.096024323477577" u="1"/>
        <n v="12.22033403413861" u="1"/>
        <n v="11.180203409506557" u="1"/>
        <n v="11.88015827552835" u="1"/>
        <n v="12.484979242955744" u="1"/>
        <n v="11.403912213473985" u="1"/>
        <n v="10.843487065390637" u="1"/>
        <n v="10.859630999697565" u="1"/>
        <n v="8.3423303859816347" u="1"/>
        <n v="10.759307979361658" u="1"/>
        <n v="7.9813981404053242" u="1"/>
        <n v="11.348561581564518" u="1"/>
        <n v="18.683673447733568" u="1"/>
        <n v="10.675128893332678" u="1"/>
        <n v="17.409455775651065" u="1"/>
        <n v="133.66307985800174" u="1"/>
        <n v="8.5706517426081827" u="1"/>
        <n v="11.937815183767375" u="1"/>
        <n v="15.088823804389694" u="1"/>
        <n v="14.687839788272637" u="1"/>
        <n v="14.75467045762548" u="1"/>
        <n v="14.821501126978321" u="1"/>
        <n v="14.955162465684007" u="1"/>
        <n v="15.22248514309538" u="1"/>
        <n v="15.422977151153908" u="1"/>
        <n v="15.757130497918126" u="1"/>
        <n v="14.086363764097047" u="1"/>
        <n v="14.220025102802735" u="1"/>
        <n v="14.420517110861264" u="1"/>
        <n v="13.551718409274303" u="1"/>
        <n v="13.68537974797999" u="1"/>
        <n v="13.885871756038517" u="1"/>
        <n v="12.88341171574587" u="1"/>
        <n v="13.017073054451558" u="1"/>
        <n v="13.217565062510088" u="1"/>
        <n v="12.081443683511756" u="1"/>
        <n v="12.215105022217442" u="1"/>
        <n v="12.41559703027597" u="1"/>
        <n v="12.749750377040186" u="1"/>
        <n v="12.281935691570284" u="1"/>
        <n v="12.616089038334499" u="1"/>
        <n v="12.950242385098715" u="1"/>
        <n v="12.682919707687342" u="1"/>
        <n v="12.816581046393029" u="1"/>
        <n v="13.351226401215774" u="1"/>
        <n v="15.021993135036853" u="1"/>
        <n v="15.356146481801067" u="1"/>
        <n v="15.890791836623814" u="1"/>
        <n v="16.091283844682341" u="1"/>
        <n v="16.425437191446559" u="1"/>
        <n v="16.158114514035187" u="1"/>
        <n v="16.736098530152244" u="1"/>
        <n v="16.936590538210773" u="1"/>
        <n v="17.939050578503419" u="1"/>
        <n v="18.072711917209105" u="1"/>
        <n v="18.273203925267637" u="1"/>
        <n v="15.265823804389694" u="1"/>
        <n v="15.399485143095379" u="1"/>
        <n v="15.599977151153908" u="1"/>
        <n v="14.664347780214106" u="1"/>
        <n v="18.206373255914791" u="1"/>
        <n v="18.340034594620477" u="1"/>
        <n v="18.674187941384691" u="1"/>
        <n v="11.322814312571952" u="1"/>
        <n v="11.255983643219107" u="1"/>
        <n v="11.389644981924794" u="1"/>
        <n v="11.723798328689009" u="1"/>
        <n v="19.676647981677338" u="1"/>
        <n v="20.010801328441556" u="1"/>
        <n v="12.59259703027597" u="1"/>
        <n v="13.327734393157243" u="1"/>
        <n v="13.461395731862931" u="1"/>
        <n v="13.661887739921459" u="1"/>
        <n v="14.798009118919794" u="1"/>
        <n v="14.99850112697832" u="1"/>
        <n v="13.528226401215774" u="1"/>
        <n v="13.86237974797999" u="1"/>
        <n v="14.864839788272636" u="1"/>
        <n v="15.198993135036853" u="1"/>
        <n v="15.86729982856528" u="1"/>
        <n v="16.000961167270969" u="1"/>
        <n v="12.726258368981657" u="1"/>
        <n v="13.06041171574587" u="1"/>
        <n v="13.260903723804402" u="1"/>
        <n v="13.394565062510088" u="1"/>
        <n v="13.595057070568616" u="1"/>
        <n v="12.993581046393029" u="1"/>
        <n v="13.127242385098715" u="1"/>
        <n v="13.728718409274302" u="1"/>
        <n v="14.062871756038517" u="1"/>
        <n v="14.597517110861263" u="1"/>
        <n v="17.404405223680673" u="1"/>
        <n v="23.151842788025181" u="1"/>
        <n v="14.196533094744202" u="1"/>
        <n v="18.80784928009038" u="1"/>
        <n v="18.473695933326162" u="1"/>
        <n v="23.953810820259296" u="1"/>
        <n v="22.951350779966653" u="1"/>
        <n v="22.617197433202435" u="1"/>
        <n v="20.144462667147241" u="1"/>
        <n v="21.013261368734199" u="1"/>
        <n v="22.349874755791063" u="1"/>
        <n v="20.34495467520577" u="1"/>
        <n v="10.801397522376149" u="1"/>
        <n v="12.968720703081184" u="1"/>
        <n v="12.764615247915028" u="1"/>
        <n v="10.212143920173288" u="1"/>
        <n v="12.016228578972454" u="1"/>
        <n v="13.200501474202072" u="1"/>
        <n v="14.261388585800177" u="1"/>
        <n v="10.3833849376432" u="1"/>
        <n v="9.6649798609849213" u="1"/>
        <n v="10.090833785238376" u="1"/>
        <n v="12.695426958028195" u="1"/>
        <n v="13.220450764452776" u="1"/>
        <n v="11.011845237448597" u="1"/>
        <n v="17.872219909150576" u="1"/>
        <n v="18.540526602679009" u="1"/>
        <n v="19.075171957501752" u="1"/>
        <n v="19.877139989735866" u="1"/>
        <n v="20.211293336500084" u="1"/>
        <n v="20.545446683264299" u="1"/>
        <n v="21.080092038087045" u="1"/>
        <n v="15.80046915921244" u="1"/>
        <n v="16.134622505976655" u="1"/>
        <n v="16.468775852740873" u="1"/>
        <n v="17.003421207563616" u="1"/>
        <n v="15.733638489859596" u="1"/>
        <n v="16.401945183388026" u="1"/>
        <n v="16.802929199505087" u="1"/>
        <n v="17.33757455432783" u="1"/>
        <n v="16.26828384468234" u="1"/>
        <n v="17.070251876916458" u="1"/>
        <n v="17.604897231739205" u="1"/>
        <n v="17.671727901092048" u="1"/>
        <n v="18.005881247856266" u="1"/>
        <n v="17.137082546269301" u="1"/>
        <n v="17.471235893033519" u="1"/>
        <n v="18.139542586561948" u="1"/>
        <n v="16.335114514035187" u="1"/>
        <n v="16.669267860799401" u="1"/>
        <n v="9.2510635626338171" u="1"/>
        <n v="18.941510618796062" u="1"/>
        <n v="14.663366461705722" u="1"/>
        <n v="14.395895378549783" u="1"/>
        <n v="13.427055677340485" u="1"/>
        <n v="12.900685551359132" u="1"/>
        <n v="8.1497563124632837" u="1"/>
        <n v="17.203913215622144" u="1"/>
        <n v="10.254233463187779" u="1"/>
        <n v="16.602636391446559" u="1"/>
        <n v="16.067991036623816" u="1"/>
        <n v="19.610016512324496" u="1"/>
        <n v="25.290623407316158" u="1"/>
        <n v="17.270943084974988" u="1"/>
        <n v="17.805588439797731" u="1"/>
        <n v="7.5804960288127399" u="1"/>
        <n v="8.6419560691053849" u="1"/>
        <n v="16.201652375329498" u="1"/>
        <n v="19.543185842971656" u="1"/>
        <n v="11.92448953674754" u="1"/>
        <n v="12.191812214158913" u="1"/>
        <n v="12.926949577040187" u="1"/>
        <n v="13.929409617332832" u="1"/>
        <n v="15.934329697918127" u="1"/>
        <n v="12.860118907687342" u="1"/>
        <n v="12.362724613912276" u="1"/>
        <n v="13.244875309969393" u="1"/>
        <n v="11.100038323477577" u="1"/>
        <n v="12.224348034138609" u="1"/>
        <n v="11.184217409506557" u="1"/>
        <n v="11.88417227552835" u="1"/>
        <n v="12.488993242955743" u="1"/>
        <n v="11.407926213473985" u="1"/>
        <n v="10.847501065390636" u="1"/>
        <n v="10.863644999697565" u="1"/>
        <n v="8.3463443859816362" u="1"/>
        <n v="10.763321979361658" u="1"/>
        <n v="7.9854121404053258" u="1"/>
        <n v="11.352575581564517" u="1"/>
        <n v="18.68768744773357" u="1"/>
        <n v="10.679142893332678" u="1"/>
        <n v="17.413469775651066" u="1"/>
        <n v="133.66709385800178" u="1"/>
        <n v="8.5746657426081843" u="1"/>
        <n v="11.941829183767377" u="1"/>
        <n v="15.089023004389695" u="1"/>
        <n v="14.688038988272638" u="1"/>
        <n v="14.754869657625481" u="1"/>
        <n v="14.821700326978322" u="1"/>
        <n v="14.955361665684007" u="1"/>
        <n v="15.222684343095381" u="1"/>
        <n v="15.423176351153909" u="1"/>
        <n v="15.757329697918127" u="1"/>
        <n v="14.086562964097048" u="1"/>
        <n v="14.220224302802736" u="1"/>
        <n v="14.420716310861264" u="1"/>
        <n v="13.551917609274303" u="1"/>
        <n v="13.685578947979991" u="1"/>
        <n v="13.886070956038518" u="1"/>
        <n v="12.883610915745871" u="1"/>
        <n v="13.017272254451559" u="1"/>
        <n v="13.217764262510089" u="1"/>
        <n v="12.081642883511757" u="1"/>
        <n v="12.215304222217442" u="1"/>
        <n v="12.415796230275971" u="1"/>
        <n v="12.749949577040187" u="1"/>
        <n v="12.282134891570285" u="1"/>
        <n v="12.6162882383345" u="1"/>
        <n v="12.950441585098716" u="1"/>
        <n v="12.683118907687343" u="1"/>
        <n v="12.81678024639303" u="1"/>
        <n v="13.351425601215775" u="1"/>
        <n v="15.022192335036854" u="1"/>
        <n v="15.356345681801068" u="1"/>
        <n v="15.890991036623815" u="1"/>
        <n v="16.091483044682342" u="1"/>
        <n v="16.42563639144656" u="1"/>
        <n v="16.158313714035188" u="1"/>
        <n v="16.736297730152245" u="1"/>
        <n v="16.936789738210773" u="1"/>
        <n v="17.93924977850342" u="1"/>
        <n v="18.072911117209106" u="1"/>
        <n v="18.273403125267635" u="1"/>
        <n v="15.266023004389695" u="1"/>
        <n v="15.39968434309538" u="1"/>
        <n v="15.600176351153909" u="1"/>
        <n v="14.664546980214107" u="1"/>
        <n v="18.206572455914788" u="1"/>
        <n v="18.340233794620477" u="1"/>
        <n v="18.674387141384692" u="1"/>
        <n v="11.323013512571952" u="1"/>
        <n v="11.256182843219108" u="1"/>
        <n v="11.389844181924795" u="1"/>
        <n v="11.72399752868901" u="1"/>
        <n v="19.676847181677338" u="1"/>
        <n v="20.011000528441556" u="1"/>
        <n v="12.592796230275971" u="1"/>
        <n v="13.327933593157244" u="1"/>
        <n v="13.461594931862932" u="1"/>
        <n v="13.66208693992146" u="1"/>
        <n v="14.798208318919794" u="1"/>
        <n v="14.998700326978321" u="1"/>
        <n v="13.528425601215774" u="1"/>
        <n v="13.862578947979991" u="1"/>
        <n v="14.865038988272637" u="1"/>
        <n v="15.199192335036853" u="1"/>
        <n v="15.86749902856528" u="1"/>
        <n v="16.00116036727097" u="1"/>
        <n v="12.726457568981658" u="1"/>
        <n v="13.060610915745871" u="1"/>
        <n v="13.261102923804403" u="1"/>
        <n v="13.394764262510089" u="1"/>
        <n v="13.595256270568617" u="1"/>
        <n v="12.99378024639303" u="1"/>
        <n v="13.127441585098715" u="1"/>
        <n v="13.728917609274303" u="1"/>
        <n v="14.063070956038517" u="1"/>
        <n v="14.597716310861264" u="1"/>
        <n v="17.404604423680674" u="1"/>
        <n v="23.152041988025182" u="1"/>
        <n v="14.196732294744203" u="1"/>
        <n v="18.808048480090381" u="1"/>
        <n v="18.473895133326163" u="1"/>
        <n v="23.954010020259297" u="1"/>
        <n v="22.951549979966654" u="1"/>
        <n v="22.617396633202436" u="1"/>
        <n v="20.144661867147242" u="1"/>
        <n v="21.0134605687342" u="1"/>
        <n v="22.350073955791061" u="1"/>
        <n v="20.345153875205771" u="1"/>
        <n v="10.805411522376149" u="1"/>
        <n v="12.972734703081183" u="1"/>
        <n v="12.768629247915028" u="1"/>
        <n v="10.216157920173288" u="1"/>
        <n v="12.020242578972455" u="1"/>
        <n v="13.204515474202072" u="1"/>
        <n v="14.265402585800176" u="1"/>
        <n v="10.3873989376432" u="1"/>
        <n v="9.6689938609849211" u="1"/>
        <n v="10.094847785238375" u="1"/>
        <n v="12.699440958028195" u="1"/>
        <n v="13.224464764452776" u="1"/>
        <n v="11.015859237448597" u="1"/>
        <n v="17.872419109150577" u="1"/>
        <n v="18.54072580267901" u="1"/>
        <n v="19.075371157501753" u="1"/>
        <n v="19.877339189735867" u="1"/>
        <n v="20.211492536500085" u="1"/>
        <n v="20.545645883264299" u="1"/>
        <n v="21.080291238087046" u="1"/>
        <n v="15.800668359212441" u="1"/>
        <n v="16.134821705976655" u="1"/>
        <n v="16.468975052740873" u="1"/>
        <n v="17.003620407563616" u="1"/>
        <n v="15.733837689859596" u="1"/>
        <n v="16.402144383388027" u="1"/>
        <n v="16.803128399505088" u="1"/>
        <n v="17.337773754327831" u="1"/>
        <n v="16.268483044682341" u="1"/>
        <n v="17.070451076916459" u="1"/>
        <n v="17.605096431739206" u="1"/>
        <n v="17.671927101092049" u="1"/>
        <n v="18.006080447856263" u="1"/>
        <n v="17.137281746269302" u="1"/>
        <n v="17.47143509303352" u="1"/>
        <n v="18.139741786561949" u="1"/>
        <n v="16.335313714035188" u="1"/>
        <n v="16.669467060799402" u="1"/>
        <n v="9.2512627626338162" u="1"/>
        <n v="18.941709818796063" u="1"/>
        <n v="14.670056461705723" u="1"/>
        <n v="14.402585378549784" u="1"/>
        <n v="13.433745677340486" u="1"/>
        <n v="11.067750454863724" u="1"/>
        <n v="8.1537703124632834" u="1"/>
        <n v="17.204112415622145" u="1"/>
        <n v="10.258247463187779" u="1"/>
        <n v="16.602002791446559" u="1"/>
        <n v="16.067357436623816" u="1"/>
        <n v="19.609382912324495" u="1"/>
        <n v="25.289989807316157" u="1"/>
        <n v="17.270309484974987" u="1"/>
        <n v="17.80495483979773" u="1"/>
        <n v="7.5798624288127403" u="1"/>
        <n v="8.6413224691053845" u="1"/>
        <n v="16.201018775329498" u="1"/>
        <n v="19.542552242971656" u="1"/>
        <n v="11.92385593674754" u="1"/>
        <n v="12.191178614158913" u="1"/>
        <n v="12.926315977040186" u="1"/>
        <n v="13.928776017332831" u="1"/>
        <n v="15.933696097918126" u="1"/>
        <n v="12.859485307687342" u="1"/>
        <n v="12.358314613912276" u="1"/>
        <n v="13.240465309969393" u="1"/>
        <n v="11.095628323477577" u="1"/>
        <n v="12.219938034138609" u="1"/>
        <n v="11.179807409506557" u="1"/>
        <n v="11.87976227552835" u="1"/>
        <n v="12.484583242955743" u="1"/>
        <n v="11.403516213473985" u="1"/>
        <n v="10.843091065390636" u="1"/>
        <n v="10.859234999697565" u="1"/>
        <n v="8.3419343859816344" u="1"/>
        <n v="10.758911979361658" u="1"/>
        <n v="7.981002140405324" u="1"/>
        <n v="11.348165581564517" u="1"/>
        <n v="18.68327744773357" u="1"/>
        <n v="10.674732893332678" u="1"/>
        <n v="17.409059775651066" u="1"/>
        <n v="133.66268385800177" u="1"/>
        <n v="8.5702557426081842" u="1"/>
        <n v="11.937419183767377" u="1"/>
        <n v="15.088389404389694" u="1"/>
        <n v="14.687405388272637" u="1"/>
        <n v="14.75423605762548" u="1"/>
        <n v="14.821066726978321" u="1"/>
        <n v="14.954728065684007" u="1"/>
        <n v="15.22205074309538" u="1"/>
        <n v="15.422542751153909" u="1"/>
        <n v="15.756696097918127" u="1"/>
        <n v="14.085929364097048" u="1"/>
        <n v="14.219590702802735" u="1"/>
        <n v="14.420082710861264" u="1"/>
        <n v="13.551284009274303" u="1"/>
        <n v="13.684945347979991" u="1"/>
        <n v="13.885437356038517" u="1"/>
        <n v="12.882977315745871" u="1"/>
        <n v="13.016638654451558" u="1"/>
        <n v="13.217130662510089" u="1"/>
        <n v="12.081009283511756" u="1"/>
        <n v="12.214670622217442" u="1"/>
        <n v="12.415162630275971" u="1"/>
        <n v="12.749315977040187" u="1"/>
        <n v="12.281501291570285" u="1"/>
        <n v="12.615654638334499" u="1"/>
        <n v="12.949807985098715" u="1"/>
        <n v="12.682485307687342" u="1"/>
        <n v="12.81614664639303" u="1"/>
        <n v="13.350792001215774" u="1"/>
        <n v="15.021558735036853" u="1"/>
        <n v="15.355712081801068" u="1"/>
        <n v="15.890357436623814" u="1"/>
        <n v="16.090849444682341" u="1"/>
        <n v="16.425002791446559" u="1"/>
        <n v="16.157680114035188" u="1"/>
        <n v="16.735664130152244" u="1"/>
        <n v="16.936156138210773" u="1"/>
        <n v="17.93861617850342" u="1"/>
        <n v="18.072277517209105" u="1"/>
        <n v="18.272769525267638" u="1"/>
        <n v="15.265389404389694" u="1"/>
        <n v="15.39905074309538" u="1"/>
        <n v="15.599542751153908" u="1"/>
        <n v="14.663913380214106" u="1"/>
        <n v="18.205938855914795" u="1"/>
        <n v="18.339600194620477" u="1"/>
        <n v="18.673753541384691" u="1"/>
        <n v="11.322379912571952" u="1"/>
        <n v="11.255549243219107" u="1"/>
        <n v="11.389210581924795" u="1"/>
        <n v="11.723363928689009" u="1"/>
        <n v="19.676213581677338" u="1"/>
        <n v="20.010366928441556" u="1"/>
        <n v="12.59216263027597" u="1"/>
        <n v="13.327299993157244" u="1"/>
        <n v="13.460961331862931" u="1"/>
        <n v="13.66145333992146" u="1"/>
        <n v="14.797574718919794" u="1"/>
        <n v="14.998066726978321" u="1"/>
        <n v="13.527792001215774" u="1"/>
        <n v="13.86194534797999" u="1"/>
        <n v="14.864405388272637" u="1"/>
        <n v="15.198558735036853" u="1"/>
        <n v="15.86686542856528" u="1"/>
        <n v="16.000526767270969" u="1"/>
        <n v="12.725823968981658" u="1"/>
        <n v="13.05997731574587" u="1"/>
        <n v="13.260469323804402" u="1"/>
        <n v="13.394130662510088" u="1"/>
        <n v="13.594622670568617" u="1"/>
        <n v="12.993146646393029" u="1"/>
        <n v="13.126807985098715" u="1"/>
        <n v="13.728284009274303" u="1"/>
        <n v="14.062437356038517" u="1"/>
        <n v="14.597082710861264" u="1"/>
        <n v="17.403970823680673" u="1"/>
        <n v="23.151408388025182" u="1"/>
        <n v="14.196098694744203" u="1"/>
        <n v="18.807414880090381" u="1"/>
        <n v="18.473261533326163" u="1"/>
        <n v="23.953376420259296" u="1"/>
        <n v="22.950916379966653" u="1"/>
        <n v="22.616763033202435" u="1"/>
        <n v="20.144028267147242" u="1"/>
        <n v="21.012826968734199" u="1"/>
        <n v="22.34944035579106" u="1"/>
        <n v="20.34452027520577" u="1"/>
        <n v="10.801001522376149" u="1"/>
        <n v="12.968324703081183" u="1"/>
        <n v="12.764219247915028" u="1"/>
        <n v="10.211747920173288" u="1"/>
        <n v="12.015832578972455" u="1"/>
        <n v="13.200105474202072" u="1"/>
        <n v="14.260992585800176" u="1"/>
        <n v="10.3829889376432" u="1"/>
        <n v="9.6645838609849211" u="1"/>
        <n v="10.090437785238375" u="1"/>
        <n v="12.695030958028195" u="1"/>
        <n v="13.220054764452776" u="1"/>
        <n v="11.011449237448597" u="1"/>
        <n v="17.871785509150577" u="1"/>
        <n v="18.540092202679009" u="1"/>
        <n v="19.074737557501752" u="1"/>
        <n v="19.876705589735867" u="1"/>
        <n v="20.210858936500085" u="1"/>
        <n v="20.545012283264299" u="1"/>
        <n v="21.079657638087046" u="1"/>
        <n v="15.800034759212441" u="1"/>
        <n v="16.134188105976655" u="1"/>
        <n v="16.468341452740873" u="1"/>
        <n v="17.002986807563616" u="1"/>
        <n v="15.733204089859596" u="1"/>
        <n v="16.401510783388026" u="1"/>
        <n v="16.802494799505087" u="1"/>
        <n v="17.33714015432783" u="1"/>
        <n v="16.267849444682341" u="1"/>
        <n v="17.069817476916459" u="1"/>
        <n v="17.604462831739205" u="1"/>
        <n v="17.671293501092048" u="1"/>
        <n v="18.005446847856263" u="1"/>
        <n v="17.136648146269302" u="1"/>
        <n v="17.47080149303352" u="1"/>
        <n v="18.139108186561948" u="1"/>
        <n v="16.334680114035187" u="1"/>
        <n v="16.668833460799402" u="1"/>
        <n v="9.2506291626338175" u="1"/>
        <n v="18.941076218796063" u="1"/>
        <n v="14.662706461705723" u="1"/>
        <n v="14.395235378549783" u="1"/>
        <n v="13.426395677340485" u="1"/>
        <n v="11.063340454863724" u="1"/>
        <n v="17.203478815622145" u="1"/>
        <n v="10.253837463187779" u="1"/>
        <n v="12.257632613912275" u="1"/>
        <n v="13.139783309969392" u="1"/>
        <n v="10.994946323477576" u="1"/>
        <n v="12.119256034138608" u="1"/>
        <n v="11.079125409506556" u="1"/>
        <n v="11.779080275528349" u="1"/>
        <n v="12.383901242955742" u="1"/>
        <n v="11.302834213473984" u="1"/>
        <n v="10.742409065390635" u="1"/>
        <n v="10.758552999697564" u="1"/>
        <n v="8.2412523859816353" u="1"/>
        <n v="10.658229979361657" u="1"/>
        <n v="7.8803201404053249" u="1"/>
        <n v="11.247483581564516" u="1"/>
        <n v="18.582595447733571" u="1"/>
        <n v="10.574050893332677" u="1"/>
        <n v="17.308377775651064" u="1"/>
        <n v="133.56200185800176" u="1"/>
        <n v="8.4695737426081816" u="1"/>
        <n v="11.836737183767374" u="1"/>
        <n v="10.700319522376148" u="1"/>
        <n v="12.867642703081183" u="1"/>
        <n v="12.663537247915027" u="1"/>
        <n v="10.111065920173287" u="1"/>
        <n v="11.915150578972453" u="1"/>
        <n v="13.099423474202071" u="1"/>
        <n v="14.160310585800175" u="1"/>
        <n v="10.282306937643199" u="1"/>
        <n v="9.5639018609849202" u="1"/>
        <n v="9.9897557852383763" u="1"/>
        <n v="12.594348958028194" u="1"/>
        <n v="13.119372764452775" u="1"/>
        <n v="10.910767237448596" u="1"/>
        <n v="14.550837572816834" u="1"/>
        <n v="14.283366489660894" u="1"/>
        <n v="13.314526788451596" u="1"/>
        <n v="10.962658454863723" u="1"/>
        <n v="10.153155463187778" u="1"/>
        <n v="16.60094679144656" u="1"/>
        <n v="16.066301436623814" u="1"/>
        <n v="19.608326912324497" u="1"/>
        <n v="25.288933807316159" u="1"/>
        <n v="17.269253484974989" u="1"/>
        <n v="17.803898839797732" u="1"/>
        <n v="7.5788064288127401" u="1"/>
        <n v="8.6402664691053843" u="1"/>
        <n v="16.199962775329499" u="1"/>
        <n v="19.541496242971657" u="1"/>
        <n v="11.922799936747539" u="1"/>
        <n v="12.190122614158913" u="1"/>
        <n v="12.925259977040186" u="1"/>
        <n v="13.927720017332829" u="1"/>
        <n v="15.932640097918126" u="1"/>
        <n v="12.858429307687341" u="1"/>
        <n v="12.251856613912276" u="1"/>
        <n v="13.134007309969393" u="1"/>
        <n v="10.989170323477577" u="1"/>
        <n v="12.113480034138609" u="1"/>
        <n v="11.073349409506557" u="1"/>
        <n v="11.77330427552835" u="1"/>
        <n v="12.378125242955743" u="1"/>
        <n v="11.297058213473985" u="1"/>
        <n v="10.736633065390636" u="1"/>
        <n v="10.752776999697565" u="1"/>
        <n v="8.2354763859816362" u="1"/>
        <n v="10.652453979361658" u="1"/>
        <n v="7.8745441404053258" u="1"/>
        <n v="11.241707581564517" u="1"/>
        <n v="18.57681944773357" u="1"/>
        <n v="10.568274893332678" u="1"/>
        <n v="17.302601775651066" u="1"/>
        <n v="133.55622585800174" u="1"/>
        <n v="8.4637977426081843" u="1"/>
        <n v="11.830961183767377" u="1"/>
        <n v="15.087333404389694" u="1"/>
        <n v="14.686349388272637" u="1"/>
        <n v="14.75318005762548" u="1"/>
        <n v="14.820010726978321" u="1"/>
        <n v="14.953672065684007" u="1"/>
        <n v="15.22099474309538" u="1"/>
        <n v="15.421486751153909" u="1"/>
        <n v="15.755640097918127" u="1"/>
        <n v="14.084873364097048" u="1"/>
        <n v="14.218534702802735" u="1"/>
        <n v="14.419026710861264" u="1"/>
        <n v="13.550228009274305" u="1"/>
        <n v="13.68388934797999" u="1"/>
        <n v="13.884381356038517" u="1"/>
        <n v="12.881921315745871" u="1"/>
        <n v="13.015582654451558" u="1"/>
        <n v="13.216074662510088" u="1"/>
        <n v="12.079953283511756" u="1"/>
        <n v="12.213614622217442" u="1"/>
        <n v="12.41410663027597" u="1"/>
        <n v="12.748259977040187" u="1"/>
        <n v="12.280445291570285" u="1"/>
        <n v="12.614598638334501" u="1"/>
        <n v="12.948751985098715" u="1"/>
        <n v="12.681429307687342" u="1"/>
        <n v="12.815090646393029" u="1"/>
        <n v="13.349736001215774" u="1"/>
        <n v="15.020502735036853" u="1"/>
        <n v="15.354656081801068" u="1"/>
        <n v="15.889301436623812" u="1"/>
        <n v="16.089793444682343" u="1"/>
        <n v="16.423946791446561" u="1"/>
        <n v="16.156624114035186" u="1"/>
        <n v="16.734608130152246" u="1"/>
        <n v="16.935100138210771" u="1"/>
        <n v="17.937560178503418" u="1"/>
        <n v="18.071221517209104" u="1"/>
        <n v="18.271713525267636" u="1"/>
        <n v="15.264333404389694" u="1"/>
        <n v="15.39799474309538" u="1"/>
        <n v="15.598486751153908" u="1"/>
        <n v="14.662857380214108" u="1"/>
        <n v="18.204882855914789" u="1"/>
        <n v="18.338544194620479" u="1"/>
        <n v="18.672697541384693" u="1"/>
        <n v="11.321323912571952" u="1"/>
        <n v="11.254493243219107" u="1"/>
        <n v="11.388154581924793" u="1"/>
        <n v="11.722307928689009" u="1"/>
        <n v="19.67515758167734" u="1"/>
        <n v="20.009310928441558" u="1"/>
        <n v="12.59110663027597" u="1"/>
        <n v="13.326243993157243" u="1"/>
        <n v="13.459905331862931" u="1"/>
        <n v="13.66039733992146" u="1"/>
        <n v="14.796518718919794" u="1"/>
        <n v="14.997010726978321" u="1"/>
        <n v="13.526736001215774" u="1"/>
        <n v="13.86088934797999" u="1"/>
        <n v="14.863349388272637" u="1"/>
        <n v="15.197502735036853" u="1"/>
        <n v="15.86580942856528" u="1"/>
        <n v="15.999470767270966" u="1"/>
        <n v="12.724767968981658" u="1"/>
        <n v="13.05892131574587" u="1"/>
        <n v="13.259413323804401" u="1"/>
        <n v="13.393074662510088" u="1"/>
        <n v="13.593566670568617" u="1"/>
        <n v="12.992090646393029" u="1"/>
        <n v="13.125751985098715" u="1"/>
        <n v="13.727228009274304" u="1"/>
        <n v="14.061381356038517" u="1"/>
        <n v="14.596026710861263" u="1"/>
        <n v="17.402914823680675" u="1"/>
        <n v="23.150352388025183" u="1"/>
        <n v="14.195042694744203" u="1"/>
        <n v="18.806358880090382" u="1"/>
        <n v="18.472205533326164" u="1"/>
        <n v="23.952320420259298" u="1"/>
        <n v="22.949860379966655" u="1"/>
        <n v="22.615707033202437" u="1"/>
        <n v="20.142972267147243" u="1"/>
        <n v="21.011770968734201" u="1"/>
        <n v="22.348384355791062" u="1"/>
        <n v="20.343464275205772" u="1"/>
        <n v="10.694543522376149" u="1"/>
        <n v="12.861866703081184" u="1"/>
        <n v="12.657761247915028" u="1"/>
        <n v="10.105289920173288" u="1"/>
        <n v="11.909374578972455" u="1"/>
        <n v="13.093647474202072" u="1"/>
        <n v="14.154534585800176" u="1"/>
        <n v="10.2765309376432" u="1"/>
        <n v="9.5581258609849211" u="1"/>
        <n v="9.9839797852383754" u="1"/>
        <n v="12.588572958028195" u="1"/>
        <n v="13.113596764452776" u="1"/>
        <n v="10.904991237448597" u="1"/>
        <n v="17.870729509150578" u="1"/>
        <n v="18.539036202679011" u="1"/>
        <n v="19.073681557501754" u="1"/>
        <n v="19.875649589735868" u="1"/>
        <n v="20.209802936500086" u="1"/>
        <n v="20.543956283264301" u="1"/>
        <n v="21.078601638087047" u="1"/>
        <n v="15.79897875921244" u="1"/>
        <n v="16.133132105976657" u="1"/>
        <n v="16.467285452740871" u="1"/>
        <n v="17.001930807563614" u="1"/>
        <n v="15.732148089859596" u="1"/>
        <n v="16.400454783388028" u="1"/>
        <n v="16.801438799505089" u="1"/>
        <n v="17.336084154327832" u="1"/>
        <n v="16.266793444682342" u="1"/>
        <n v="17.068761476916457" u="1"/>
        <n v="17.603406831739203" u="1"/>
        <n v="17.670237501092046" u="1"/>
        <n v="18.004390847856264" u="1"/>
        <n v="17.1355921462693" u="1"/>
        <n v="17.469745493033518" u="1"/>
        <n v="18.13805218656195" u="1"/>
        <n v="16.333624114035185" u="1"/>
        <n v="16.6677774607994" u="1"/>
        <n v="9.2495731626338173" u="1"/>
        <n v="18.940020218796064" u="1"/>
        <n v="14.540809795039056" u="1"/>
        <n v="14.273338711883117" u="1"/>
        <n v="13.304499010673819" u="1"/>
        <n v="10.956882454863724" u="1"/>
        <n v="17.202422815622146" u="1"/>
        <n v="10.147379463187779" u="1"/>
        <n v="11.9362469616669" u="1"/>
        <n v="12.974071309969393" u="1"/>
        <n v="10.690857743703912" u="1"/>
        <n v="11.953544034138609" u="1"/>
        <n v="10.773883691568111" u="1"/>
        <n v="11.61336827552835" u="1"/>
        <n v="12.060785883463199" u="1"/>
        <n v="11.137122213473985" u="1"/>
        <n v="10.441779900111314" u="1"/>
        <n v="10.592840999697565" u="1"/>
        <n v="8.0755403859816361" u="1"/>
        <n v="10.358753952247115" u="1"/>
        <n v="7.61889767272854" u="1"/>
        <n v="10.93993558729651" u="1"/>
        <n v="18.416883447733571" u="1"/>
        <n v="10.275728004382914" u="1"/>
        <n v="16.917803833518857" u="1"/>
        <n v="133.39628985800175" u="1"/>
        <n v="8.2000793077779335" u="1"/>
        <n v="11.521117222345904" u="1"/>
        <n v="10.400266926179215" u="1"/>
        <n v="12.701930703081183" u="1"/>
        <n v="12.497825247915028" u="1"/>
        <n v="9.8190852911298183" u="1"/>
        <n v="11.749438578972454" u="1"/>
        <n v="12.766506440308893" u="1"/>
        <n v="13.994598585800176" u="1"/>
        <n v="10.1165949376432" u="1"/>
        <n v="9.2794166300125251" u="1"/>
        <n v="9.8240437852383753" u="1"/>
        <n v="12.268350753123697" u="1"/>
        <n v="12.953660764452776" u="1"/>
        <n v="10.607831795839713" u="1"/>
        <n v="14.001853599138277" u="1"/>
        <n v="13.739731937645455" u="1"/>
        <n v="12.790269030460344" u="1"/>
        <n v="10.796946454863724" u="1"/>
        <n v="9.8605982650619186" u="1"/>
        <n v="6.9773304046371516" u="1"/>
        <n v="16.59980919144656" u="1"/>
        <n v="16.065163836623814" u="1"/>
        <n v="19.607189312324497" u="1"/>
        <n v="25.287796207316159" u="1"/>
        <n v="17.268115884974989" u="1"/>
        <n v="17.802761239797732" u="1"/>
        <n v="7.2435154820485241" u="1"/>
        <n v="8.6391288691053845" u="1"/>
        <n v="16.1988251753295" u="1"/>
        <n v="19.540358642971658" u="1"/>
        <n v="11.92166233674754" u="1"/>
        <n v="12.188985014158913" u="1"/>
        <n v="12.924122377040186" u="1"/>
        <n v="13.926582417332829" u="1"/>
        <n v="15.931502497918126" u="1"/>
        <n v="12.857291707687342" u="1"/>
        <n v="11.922525361666899" u="1"/>
        <n v="12.960349709969393" u="1"/>
        <n v="10.677136143703912" u="1"/>
        <n v="11.939822434138609" u="1"/>
        <n v="10.760162091568111" u="1"/>
        <n v="11.59964667552835" u="1"/>
        <n v="12.047064283463198" u="1"/>
        <n v="11.123400613473985" u="1"/>
        <n v="10.428058300111314" u="1"/>
        <n v="10.579119399697564" u="1"/>
        <n v="8.0618187859816359" u="1"/>
        <n v="10.345032352247115" u="1"/>
        <n v="7.6051760727285398" u="1"/>
        <n v="10.92621398729651" u="1"/>
        <n v="18.403161847733571" u="1"/>
        <n v="10.262006404382914" u="1"/>
        <n v="16.904082233518857" u="1"/>
        <n v="133.38256825800175" u="1"/>
        <n v="8.1863577077779333" u="1"/>
        <n v="11.507395622345904" u="1"/>
        <n v="15.086195804389694" u="1"/>
        <n v="14.685211788272637" u="1"/>
        <n v="14.75204245762548" u="1"/>
        <n v="14.818873126978321" u="1"/>
        <n v="14.952534465684007" u="1"/>
        <n v="15.21985714309538" u="1"/>
        <n v="15.420349151153909" u="1"/>
        <n v="15.754502497918127" u="1"/>
        <n v="14.083735764097048" u="1"/>
        <n v="14.217397102802735" u="1"/>
        <n v="14.417889110861264" u="1"/>
        <n v="13.549090409274305" u="1"/>
        <n v="13.68275174797999" u="1"/>
        <n v="13.883243756038517" u="1"/>
        <n v="12.880783715745871" u="1"/>
        <n v="13.014445054451558" u="1"/>
        <n v="13.214937062510089" u="1"/>
        <n v="12.078815683511756" u="1"/>
        <n v="12.212477022217442" u="1"/>
        <n v="12.412969030275971" u="1"/>
        <n v="12.747122377040187" u="1"/>
        <n v="12.279307691570285" u="1"/>
        <n v="12.613461038334501" u="1"/>
        <n v="12.947614385098715" u="1"/>
        <n v="12.680291707687342" u="1"/>
        <n v="12.81395304639303" u="1"/>
        <n v="13.348598401215774" u="1"/>
        <n v="15.019365135036853" u="1"/>
        <n v="15.353518481801068" u="1"/>
        <n v="15.888163836623812" u="1"/>
        <n v="16.088655844682343" u="1"/>
        <n v="16.422809191446561" u="1"/>
        <n v="16.155486514035186" u="1"/>
        <n v="16.733470530152246" u="1"/>
        <n v="16.933962538210771" u="1"/>
        <n v="17.936422578503418" u="1"/>
        <n v="18.070083917209104" u="1"/>
        <n v="18.270575925267636" u="1"/>
        <n v="15.263195804389694" u="1"/>
        <n v="15.39685714309538" u="1"/>
        <n v="15.597349151153908" u="1"/>
        <n v="14.661719780214108" u="1"/>
        <n v="18.203745255914789" u="1"/>
        <n v="18.337406594620479" u="1"/>
        <n v="18.671559941384693" u="1"/>
        <n v="11.320186312571952" u="1"/>
        <n v="11.253355643219107" u="1"/>
        <n v="11.387016981924793" u="1"/>
        <n v="11.721170328689009" u="1"/>
        <n v="19.67401998167734" u="1"/>
        <n v="20.008173328441558" u="1"/>
        <n v="12.58996903027597" u="1"/>
        <n v="13.325106393157244" u="1"/>
        <n v="13.458767731862931" u="1"/>
        <n v="13.65925973992146" u="1"/>
        <n v="14.795381118919794" u="1"/>
        <n v="14.995873126978321" u="1"/>
        <n v="13.525598401215774" u="1"/>
        <n v="13.85975174797999" u="1"/>
        <n v="14.862211788272637" u="1"/>
        <n v="15.196365135036853" u="1"/>
        <n v="15.86467182856528" u="1"/>
        <n v="15.998333167270966" u="1"/>
        <n v="12.723630368981658" u="1"/>
        <n v="13.05778371574587" u="1"/>
        <n v="13.258275723804401" u="1"/>
        <n v="13.391937062510088" u="1"/>
        <n v="13.592429070568617" u="1"/>
        <n v="12.990953046393029" u="1"/>
        <n v="13.124614385098715" u="1"/>
        <n v="13.726090409274304" u="1"/>
        <n v="14.060243756038517" u="1"/>
        <n v="14.594889110861264" u="1"/>
        <n v="17.401777223680675" u="1"/>
        <n v="23.149214788025184" u="1"/>
        <n v="14.193905094744203" u="1"/>
        <n v="18.805221280090382" u="1"/>
        <n v="18.471067933326164" u="1"/>
        <n v="23.951182820259298" u="1"/>
        <n v="22.948722779966655" u="1"/>
        <n v="22.614569433202437" u="1"/>
        <n v="20.141834667147243" u="1"/>
        <n v="21.010633368734201" u="1"/>
        <n v="22.347246755791062" u="1"/>
        <n v="20.342326675205772" u="1"/>
        <n v="10.386545326179215" u="1"/>
        <n v="12.688209103081183" u="1"/>
        <n v="12.484103647915028" u="1"/>
        <n v="9.8053636911298181" u="1"/>
        <n v="11.735716978972453" u="1"/>
        <n v="12.752784840308893" u="1"/>
        <n v="13.980876985800176" u="1"/>
        <n v="10.102873337643199" u="1"/>
        <n v="9.2656950300125249" u="1"/>
        <n v="9.8103221852383751" u="1"/>
        <n v="12.254629153123696" u="1"/>
        <n v="12.939939164452776" u="1"/>
        <n v="10.594110195839713" u="1"/>
        <n v="17.869591909150579" u="1"/>
        <n v="18.537898602679011" u="1"/>
        <n v="19.072543957501754" u="1"/>
        <n v="19.874511989735868" u="1"/>
        <n v="20.208665336500086" u="1"/>
        <n v="20.542818683264301" u="1"/>
        <n v="21.077464038087047" u="1"/>
        <n v="15.797841159212441" u="1"/>
        <n v="16.131994505976657" u="1"/>
        <n v="16.466147852740871" u="1"/>
        <n v="17.000793207563614" u="1"/>
        <n v="15.731010489859596" u="1"/>
        <n v="16.399317183388028" u="1"/>
        <n v="16.800301199505089" u="1"/>
        <n v="17.334946554327832" u="1"/>
        <n v="16.265655844682342" u="1"/>
        <n v="17.067623876916457" u="1"/>
        <n v="17.602269231739204" u="1"/>
        <n v="17.669099901092046" u="1"/>
        <n v="18.003253247856264" u="1"/>
        <n v="17.1344545462693" u="1"/>
        <n v="17.468607893033518" u="1"/>
        <n v="18.13691458656195" u="1"/>
        <n v="16.332486514035185" u="1"/>
        <n v="16.6666398607994" u="1"/>
        <n v="9.2484355626338175" u="1"/>
        <n v="18.938882618796065" u="1"/>
        <n v="13.978031376916055" u="1"/>
        <n v="13.715909715423233" u="1"/>
        <n v="12.766446808238122" u="1"/>
        <n v="10.783224854863724" u="1"/>
        <n v="17.201285215622146" u="1"/>
        <n v="9.8468766650619184" u="1"/>
        <n v="8.4464675303996994" u="1"/>
        <n v="7.3025154820485243" u="1"/>
        <n v="16.573046052113561" u="1"/>
        <n v="16.039304610411897" u="1"/>
        <n v="19.575341661685439" u="1"/>
        <n v="25.246344479765657" u="1"/>
        <n v="17.240222854240645" u="1"/>
        <n v="17.773964295942314" u="1"/>
        <n v="8.4334890661631334" u="1"/>
        <n v="8.625824676588552" u="1"/>
        <n v="16.172739970837313" u="1"/>
        <n v="19.508623981472731" u="1"/>
        <n v="11.902808437223971" u="1"/>
        <n v="12.169679158074805" u="1"/>
        <n v="12.903573640414596" u="1"/>
        <n v="13.904338843605224" u="1"/>
        <n v="15.905869249986477" u="1"/>
        <n v="12.836855960201889" u="1"/>
        <n v="12.204612320217878" u="1"/>
        <n v="12.968606714220758" u="1"/>
        <n v="10.931098062415892" u="1"/>
        <n v="11.949804821369026" u="1"/>
        <n v="11.015999012936023" u="1"/>
        <n v="11.610204190418452" u="1"/>
        <n v="12.331963745998078" u="1"/>
        <n v="11.134763307087644" u="1"/>
        <n v="10.676395210855494" u="1"/>
        <n v="10.591402297566722" u="1"/>
        <n v="8.078357628532455" u="1"/>
        <n v="10.591494260335361" u="1"/>
        <n v="7.7897628931709919" u="1"/>
        <n v="11.185800913976289" u="1"/>
        <n v="18.402216809429987" u="1"/>
        <n v="10.506593309815228" u="1"/>
        <n v="17.298669351425826" u="1"/>
        <n v="133.18723007072489" u="1"/>
        <n v="8.3840695468119169" u="1"/>
        <n v="11.780107567617216" u="1"/>
        <n v="15.061991697859392" u="1"/>
        <n v="14.66168561658314" u="1"/>
        <n v="14.72840329679585" u="1"/>
        <n v="14.795120977008558" u="1"/>
        <n v="14.928556337433976" u="1"/>
        <n v="15.195427058284809" u="1"/>
        <n v="15.395580098922931" u="1"/>
        <n v="15.729168499986477" u="1"/>
        <n v="14.061226494668766" u="1"/>
        <n v="14.194661855094184" u="1"/>
        <n v="14.394814895732306" u="1"/>
        <n v="13.527485052967098" u="1"/>
        <n v="13.660920413392516" u="1"/>
        <n v="13.86107345403064" u="1"/>
        <n v="12.860308250840013" u="1"/>
        <n v="12.99374361126543" u="1"/>
        <n v="13.193896651903556" u="1"/>
        <n v="12.059696088287513" u="1"/>
        <n v="12.193131448712931" u="1"/>
        <n v="12.393284489351057" u="1"/>
        <n v="12.726872890414596" u="1"/>
        <n v="12.259849128925637" u="1"/>
        <n v="12.593437529989179" u="1"/>
        <n v="12.927025931052722" u="1"/>
        <n v="12.660155210201889" u="1"/>
        <n v="12.793590570627305" u="1"/>
        <n v="13.327332012328972" u="1"/>
        <n v="14.995274017646684" u="1"/>
        <n v="15.328862418710226" u="1"/>
        <n v="15.862603860411895" u="1"/>
        <n v="16.062756901050015" u="1"/>
        <n v="16.396345302113563" u="1"/>
        <n v="16.12947458126273" u="1"/>
        <n v="16.706481412538977" u="1"/>
        <n v="16.906634453177105" u="1"/>
        <n v="17.90739965636773" u="1"/>
        <n v="18.040835016793146" u="1"/>
        <n v="18.240988057431274" u="1"/>
        <n v="15.238692447859393" u="1"/>
        <n v="15.372127808284809" u="1"/>
        <n v="15.572280848922931" u="1"/>
        <n v="14.638233325945018" u="1"/>
        <n v="18.174270377218566" u="1"/>
        <n v="18.307705737643978" u="1"/>
        <n v="18.641294138707519" u="1"/>
        <n v="11.302349315309595" u="1"/>
        <n v="11.235631635096885" u="1"/>
        <n v="11.369066995522305" u="1"/>
        <n v="11.702655396585845" u="1"/>
        <n v="19.64205934189815" u="1"/>
        <n v="19.975647742961691" u="1"/>
        <n v="12.569985239351057" u="1"/>
        <n v="13.303879721690848" u="1"/>
        <n v="13.437315082116266" u="1"/>
        <n v="13.637468122754388" u="1"/>
        <n v="14.771668686370434" u="1"/>
        <n v="14.971821727008559" u="1"/>
        <n v="13.504032762328972" u="1"/>
        <n v="13.837621163392516" u="1"/>
        <n v="14.838386366583141" u="1"/>
        <n v="15.171974767646685" u="1"/>
        <n v="15.839151569773767" u="1"/>
        <n v="15.972586930199183" u="1"/>
        <n v="12.703420599776473" u="1"/>
        <n v="13.037009000840014" u="1"/>
        <n v="13.23716204147814" u="1"/>
        <n v="13.370597401903556" u="1"/>
        <n v="13.570750442541682" u="1"/>
        <n v="12.970291320627306" u="1"/>
        <n v="13.103726681052722" u="1"/>
        <n v="13.704185802967098" u="1"/>
        <n v="14.03777420403064" u="1"/>
        <n v="14.571515645732307" u="1"/>
        <n v="17.373658214666062" u="1"/>
        <n v="23.111378712958988" u="1"/>
        <n v="14.171209564456056" u="1"/>
        <n v="18.774729499132938" u="1"/>
        <n v="18.441141098069398" u="1"/>
        <n v="23.911990875511485" u="1"/>
        <n v="22.91122567232086" u="1"/>
        <n v="22.57763727125732" u="1"/>
        <n v="20.10908310338711" u="1"/>
        <n v="20.976412946152315" u="1"/>
        <n v="22.310766550406488" u="1"/>
        <n v="20.309236144025231" u="1"/>
        <n v="10.633944735595428" u="1"/>
        <n v="12.696926209460297" u="1"/>
        <n v="12.493165830889952" u="1"/>
        <n v="10.0396380819545" u="1"/>
        <n v="11.746044442798683" u="1"/>
        <n v="13.053621825419201" u="1"/>
        <n v="13.987408607072489" u="1"/>
        <n v="10.115961414235914" u="1"/>
        <n v="9.4877819035736408" u="1"/>
        <n v="9.823904871618419" u="1"/>
        <n v="12.544216122298407" u="1"/>
        <n v="12.948230676363723" u="1"/>
        <n v="10.846197111895759" u="1"/>
        <n v="17.840681976155022" u="1"/>
        <n v="18.507858778282106" u="1"/>
        <n v="19.041600219983771" u="1"/>
        <n v="19.842212382536275" u="1"/>
        <n v="20.175800783599819" u="1"/>
        <n v="20.509389184663359" u="1"/>
        <n v="21.043130626365027" u="1"/>
        <n v="15.772433889561059" u="1"/>
        <n v="16.106022290624601" u="1"/>
        <n v="16.439610691688145" u="1"/>
        <n v="16.973352133389813" u="1"/>
        <n v="15.705716209348351" u="1"/>
        <n v="16.372893011475433" u="1"/>
        <n v="16.773199092751685" u="1"/>
        <n v="17.306940534453354" u="1"/>
        <n v="16.239457651050017" u="1"/>
        <n v="17.040069813602521" u="1"/>
        <n v="17.573811255304186" u="1"/>
        <n v="17.640528935516894" u="1"/>
        <n v="17.974117336580438" u="1"/>
        <n v="17.106787493815229" u="1"/>
        <n v="17.44037589487877" u="1"/>
        <n v="18.107552697005858" u="1"/>
        <n v="16.306175331262729" u="1"/>
        <n v="16.639763732326269" u="1"/>
        <n v="9.2341012287156357" u="1"/>
        <n v="18.908164859558358" u="1"/>
        <n v="13.872907285692568" u="1"/>
        <n v="13.603667373110147" u="1"/>
        <n v="12.628420578644926" u="1"/>
        <n v="10.795162676137068" u="1"/>
        <n v="17.173505174027937" u="1"/>
        <n v="10.082088557214567" u="1"/>
        <n v="15.660900249999999" u="1"/>
        <n v="17.006196642830147" u="1"/>
        <n v="16.458447945921407" u="1"/>
        <n v="20.087283062941804" u="1"/>
        <n v="25.907112967597161" u="1"/>
        <n v="17.69088251396607" u="1"/>
        <n v="18.238631210874807" u="1"/>
        <n v="8.6530290149718674" u="1"/>
        <n v="8.8504121891990533" u="1"/>
        <n v="16.595385120148592" u="1"/>
        <n v="20.018814475828215" u="1"/>
        <n v="12.213395544878674" u="1"/>
        <n v="12.487269893333044" u="1"/>
        <n v="13.240424351582559" u="1"/>
        <n v="14.267453158286447" u="1"/>
        <n v="16.321510771694221" u="1"/>
        <n v="13.171955764468969" u="1"/>
        <n v="12.584997977440187" u="1"/>
        <n v="13.314701711498472" u="1"/>
        <n v="11.272024379946833" u="1"/>
        <n v="12.269162868873599" u="1"/>
        <n v="11.359555953113057" u="1"/>
        <n v="11.920649921331975" u="1"/>
        <n v="12.716295337189523" u="1"/>
        <n v="11.432731794773701" u="1"/>
        <n v="11.009429660448161" u="1"/>
        <n v="10.8751110787071" u="1"/>
        <n v="8.2961152668990827" u="1"/>
        <n v="10.921898087281939" u="1"/>
        <n v="8.0333561727965606" u="1"/>
        <n v="11.534619099445504" u="1"/>
        <n v="18.890908872164463" u="1"/>
        <n v="10.834366514115715" u="1"/>
        <n v="17.836892367413604" u="1"/>
        <n v="136.68828514123345" u="1"/>
        <n v="8.6460771849601255" u="1"/>
        <n v="12.147340111609068" u="1"/>
        <n v="15.455486900558297" u="1"/>
        <n v="15.044675377876741" u="1"/>
        <n v="15.113143964990334" u="1"/>
        <n v="15.181612552103926" u="1"/>
        <n v="15.31854972633111" u="1"/>
        <n v="15.59242407478548" u="1"/>
        <n v="15.797829836126256" u="1"/>
        <n v="16.140172771694221" u="1"/>
        <n v="14.428458093854411" u="1"/>
        <n v="14.565395268081595" u="1"/>
        <n v="14.770801029422371" u="1"/>
        <n v="13.880709396945669" u="1"/>
        <n v="14.017646571172856" u="1"/>
        <n v="14.223052332513632" u="1"/>
        <n v="13.196023525809746" u="1"/>
        <n v="13.33296070003693" u="1"/>
        <n v="13.538366461377707" u="1"/>
        <n v="12.374400480446637" u="1"/>
        <n v="12.511337654673822" u="1"/>
        <n v="12.7167434160146" u="1"/>
        <n v="13.059086351582559" u="1"/>
        <n v="12.579806241787415" u="1"/>
        <n v="12.922149177355374" u="1"/>
        <n v="13.264492112923337" u="1"/>
        <n v="12.990617764468968" u="1"/>
        <n v="13.127554938696152" u="1"/>
        <n v="13.675303635604893" u="1"/>
        <n v="15.387018313444704" u="1"/>
        <n v="15.729361249012666" u="1"/>
        <n v="16.277109945921406" u="1"/>
        <n v="16.482515707262184" u="1"/>
        <n v="16.824858642830147" u="1"/>
        <n v="16.550984294375777" u="1"/>
        <n v="17.143133817057333" u="1"/>
        <n v="17.348539578398107" u="1"/>
        <n v="18.375568385101996" u="1"/>
        <n v="18.512505559329178" u="1"/>
        <n v="18.717911320669959" u="1"/>
        <n v="15.636824900558297" u="1"/>
        <n v="15.773762074785481" u="1"/>
        <n v="15.979167836126257" u="1"/>
        <n v="15.020607616535964" u="1"/>
        <n v="18.649442733556363" u="1"/>
        <n v="18.786379907783552" u="1"/>
        <n v="19.128722843351511" u="1"/>
        <n v="11.597178260856341" u="1"/>
        <n v="11.52870967374275" u="1"/>
        <n v="11.665646847969935" u="1"/>
        <n v="12.007989783537896" u="1"/>
        <n v="20.155751650055397" u="1"/>
        <n v="20.498094585623356" u="1"/>
        <n v="12.8980814160146" u="1"/>
        <n v="13.651235874264115" u="1"/>
        <n v="13.7881730484913" u="1"/>
        <n v="13.993578809832076" u="1"/>
        <n v="15.157544790763151" u="1"/>
        <n v="15.362950552103927" u="1"/>
        <n v="13.856641635604893" u="1"/>
        <n v="14.198984571172856" u="1"/>
        <n v="15.226013377876741" u="1"/>
        <n v="15.568356313444704" u="1"/>
        <n v="16.253042184580629" u="1"/>
        <n v="16.389979358807814" u="1"/>
        <n v="13.035018590241783" u="1"/>
        <n v="13.377361525809746" u="1"/>
        <n v="13.582767287150523" u="1"/>
        <n v="13.719704461377708" u="1"/>
        <n v="13.925110222718486" u="1"/>
        <n v="13.308892938696152" u="1"/>
        <n v="13.445830112923337" u="1"/>
        <n v="14.062047396945669" u="1"/>
        <n v="14.404390332513632" u="1"/>
        <n v="14.952139029422371" u="1"/>
        <n v="17.827819688193255" u="1"/>
        <n v="23.716118179962201" u="1"/>
        <n v="14.541327506740815" u="1"/>
        <n v="19.265660017578696" u="1"/>
        <n v="18.923317082010733" u="1"/>
        <n v="24.537741225325313" u="1"/>
        <n v="23.510712418621424" u="1"/>
        <n v="23.168369483053464" u="1"/>
        <n v="20.635031759850545" u="1"/>
        <n v="21.525123392327245" u="1"/>
        <n v="22.894495134599097" u="1"/>
        <n v="20.840437521191323" u="1"/>
        <n v="10.965663873865049" u="1"/>
        <n v="13.035891353465173" u="1"/>
        <n v="12.826783584940197" u="1"/>
        <n v="10.352942861701484" u="1"/>
        <n v="12.060055100348626" u="1"/>
        <n v="13.460313709102424" u="1"/>
        <n v="14.360240554123344" u="1"/>
        <n v="10.387192952148828" u="1"/>
        <n v="9.7839876361210312" u="1"/>
        <n v="10.08747181726303" u="1"/>
        <n v="12.935124270105081" u="1"/>
        <n v="13.293790934645974" u="1"/>
        <n v="11.184492806780609" u="1"/>
        <n v="18.3070997979884" u="1"/>
        <n v="18.991785669124329" u="1"/>
        <n v="19.539534366033067" u="1"/>
        <n v="20.361157411396174" u="1"/>
        <n v="20.703500346964141" u="1"/>
        <n v="21.0458432825321" u="1"/>
        <n v="21.593591979440841" u="1"/>
        <n v="16.184573597467036" u="1"/>
        <n v="16.526916533034999" u="1"/>
        <n v="16.869259468602962" u="1"/>
        <n v="17.4170081655117" u="1"/>
        <n v="16.116105010353444" u="1"/>
        <n v="16.80079088148937" u="1"/>
        <n v="17.211602404170922" u="1"/>
        <n v="17.759351101079663" u="1"/>
        <n v="16.663853707262184" u="1"/>
        <n v="17.485476752625296" u="1"/>
        <n v="18.033225449534033" u="1"/>
        <n v="18.101694036647626" u="1"/>
        <n v="18.444036972215585" u="1"/>
        <n v="17.553945339738885" u="1"/>
        <n v="17.896288275306848" u="1"/>
        <n v="18.580974146442774" u="1"/>
        <n v="16.732322294375777" u="1"/>
        <n v="17.07466522994374" u="1"/>
        <n v="9.4746520603349786" u="1"/>
        <n v="19.402597191805878" u="1"/>
        <n v="14.416049296426545" u="1"/>
        <n v="14.136189995544292" u="1"/>
        <n v="13.122477416793018" u="1"/>
        <n v="11.084218847232075" u="1"/>
        <n v="17.622413926852477" u="1"/>
        <n v="12.829612828901006" u="1"/>
        <n v="22.620620786144723" u="1"/>
        <n v="14.472858919627225" u="1"/>
        <n v="15.49988772633111" u="1"/>
        <n v="19.813408714487434" u="1"/>
        <n v="19.471065778919474" u="1"/>
        <n v="86.502420695239564" u="1"/>
        <n v="16.958387343451584" u="1"/>
        <n v="16.412199766522551" u="1"/>
        <n v="20.030692463677379" u="1"/>
        <n v="25.83393546854834" u="1"/>
        <n v="17.64112181461287" u="1"/>
        <n v="18.187309391541902" u="1"/>
        <n v="8.6290267952838544" u="1"/>
        <n v="8.8260196895161123" u="1"/>
        <n v="16.548746660754809" u="1"/>
        <n v="19.962419016561256" u="1"/>
        <n v="12.179246045322557" u="1"/>
        <n v="12.452339833787073" u="1"/>
        <n v="13.20334775206449" u="1"/>
        <n v="14.227449458806424" u="1"/>
        <n v="16.275652872290294" u="1"/>
        <n v="13.135074304948361" u="1"/>
        <n v="12.549326868540424" u="1"/>
        <n v="13.276827855303745" u="1"/>
        <n v="11.240316727591489" u="1"/>
        <n v="12.234445167361764" u="1"/>
        <n v="11.327584070321418" u="1"/>
        <n v="11.886984271381106" u="1"/>
        <n v="12.68022788263532" u="1"/>
        <n v="11.400539017008184" u="1"/>
        <n v="10.9785146994017" u="1"/>
        <n v="10.844601583439125" u="1"/>
        <n v="8.2733909531822469" u="1"/>
        <n v="10.891247356671773" u="1"/>
        <n v="8.0114250465841135" u="1"/>
        <n v="11.502118755781277" u="1"/>
        <n v="18.836202190994303" u="1"/>
        <n v="10.803980013941844" u="1"/>
        <n v="17.785367432336169" u="1"/>
        <n v="136.27798503245722" u="1"/>
        <n v="8.6222964456936175" u="1"/>
        <n v="12.112990154890779" u="1"/>
        <n v="15.411580401129003" u="1"/>
        <n v="15.001939718432229" u="1"/>
        <n v="15.070213165548358" u="1"/>
        <n v="15.138486612664487" u="1"/>
        <n v="15.275033506896744" u="1"/>
        <n v="15.54812729536126" u="1"/>
        <n v="15.752947636709646" u="1"/>
        <n v="16.094314872290294" u="1"/>
        <n v="14.38747869438707" u="1"/>
        <n v="14.524025588619327" u="1"/>
        <n v="14.728845929967713" u="1"/>
        <n v="13.841291117458036" u="1"/>
        <n v="13.977838011690297" u="1"/>
        <n v="14.182658353038681" u="1"/>
        <n v="13.158556646296748" u="1"/>
        <n v="13.295103540529006" u="1"/>
        <n v="13.499923881877393" u="1"/>
        <n v="12.339275280903204" u="1"/>
        <n v="12.475822175135461" u="1"/>
        <n v="12.680642516483847" u="1"/>
        <n v="13.02200975206449" u="1"/>
        <n v="12.544095622251589" u="1"/>
        <n v="12.885462857832232" u="1"/>
        <n v="13.226830093412877" u="1"/>
        <n v="12.953736304948361" u="1"/>
        <n v="13.09028319918062" u="1"/>
        <n v="13.63647077610965" u="1"/>
        <n v="15.343306954012876" u="1"/>
        <n v="15.684674189593517" u="1"/>
        <n v="16.230861766522551" u="1"/>
        <n v="16.435682107870939" u="1"/>
        <n v="16.777049343451583" u="1"/>
        <n v="16.503955554987066" u="1"/>
        <n v="17.094934237683841" u="1"/>
        <n v="17.299754579032225" u="1"/>
        <n v="18.323856285774163" u="1"/>
        <n v="18.460403180006416" u="1"/>
        <n v="18.665223521354807" u="1"/>
        <n v="15.592918401129003" u="1"/>
        <n v="15.72946529536126" u="1"/>
        <n v="15.934285636709646" u="1"/>
        <n v="14.978457377083842" u="1"/>
        <n v="18.596950074238677" u="1"/>
        <n v="18.733496968470934" u="1"/>
        <n v="19.074864204051579" u="1"/>
        <n v="11.564785021277396" u="1"/>
        <n v="11.496511574161268" u="1"/>
        <n v="11.633058468393525" u="1"/>
        <n v="11.97442570397417" u="1"/>
        <n v="20.098965910793513" u="1"/>
        <n v="20.440333146374154" u="1"/>
        <n v="12.861980516483847" u="1"/>
        <n v="13.612988434761263" u="1"/>
        <n v="13.749535328993522" u="1"/>
        <n v="13.954355670341908" u="1"/>
        <n v="15.115004271316101" u="1"/>
        <n v="15.319824612664487" u="1"/>
        <n v="13.817808776109651" u="1"/>
        <n v="14.159176011690297" u="1"/>
        <n v="15.18327771843223" u="1"/>
        <n v="15.524644954012876" u="1"/>
        <n v="16.207379425174164" u="1"/>
        <n v="16.343926319406421" u="1"/>
        <n v="12.998527410716104" u="1"/>
        <n v="13.339894646296749" u="1"/>
        <n v="13.544714987645136" u="1"/>
        <n v="13.681261881877393" u="1"/>
        <n v="13.886082223225779" u="1"/>
        <n v="13.27162119918062" u="1"/>
        <n v="13.408168093412877" u="1"/>
        <n v="14.022629117458036" u="1"/>
        <n v="14.363996353038681" u="1"/>
        <n v="12.793707069367718" u="1"/>
        <n v="16.685293554987066" u="1"/>
        <n v="22.55681000697415" u="1"/>
        <n v="14.432269800154812" u="1"/>
        <n v="15.456371506896744" u="1"/>
        <n v="18.39212973289029" u="1"/>
        <n v="18.050762497309645" u="1"/>
        <n v="24.468466526225761" u="1"/>
        <n v="23.444364819483827" u="1"/>
        <n v="23.102997583903186" u="1"/>
        <n v="19.757598675212865" u="1"/>
        <n v="21.464434853116089" u="1"/>
        <n v="19.416231439632224" u="1"/>
        <n v="18.938317309819322" u="1"/>
        <n v="10.934881028036736" u="1"/>
        <n v="12.998859138519217" u="1"/>
        <n v="12.790382600930821" u="1"/>
        <n v="10.324009628927232" u="1"/>
        <n v="12.025968629773372" u="1"/>
        <n v="13.422000295839716" u="1"/>
        <n v="14.319210543245722" u="1"/>
        <n v="10.358156329066203" u="1"/>
        <n v="9.7567719011826952" u="1"/>
        <n v="10.059339958522836" u="1"/>
        <n v="12.898396239460142" u="1"/>
        <n v="13.255980201544904" u="1"/>
        <n v="11.153049384861561" u="1"/>
        <n v="18.255582838658029" u="1"/>
        <n v="19.484504886748351" u="1"/>
        <n v="20.303786252141897" u="1"/>
        <n v="20.645153487722546" u="1"/>
        <n v="20.986520723303187" u="1"/>
        <n v="21.532708300232219" u="1"/>
        <n v="16.139105978058037" u="1"/>
        <n v="16.480473213638678" u="1"/>
        <n v="16.821840449219323" u="1"/>
        <n v="17.368028026148355" u="1"/>
        <n v="16.070832530941903" u="1"/>
        <n v="16.753567002103196" u="1"/>
        <n v="17.163207684799968" u="1"/>
        <n v="17.709395261729" u="1"/>
        <n v="16.617020107870939" u="1"/>
        <n v="17.436301473264486" u="1"/>
        <n v="17.982489050193518" u="1"/>
        <n v="17.504574920380612" u="1"/>
        <n v="17.845942155961257" u="1"/>
        <n v="18.528676627122547" u="1"/>
        <n v="17.026660790567711" u="1"/>
        <n v="20.781700381954799" u="1"/>
        <n v="9.4483081606774029" u="1"/>
        <n v="19.347957992516093" u="1"/>
        <n v="11.053078121027522" u="1"/>
        <n v="86.243616011242253" u="1"/>
        <n v="17.572848367496743" u="1"/>
        <n v="16.957345743451583" u="1"/>
        <n v="16.411158166522551" u="1"/>
        <n v="20.029650863677379" u="1"/>
        <n v="25.832893868548339" u="1"/>
        <n v="17.640080214612869" u="1"/>
        <n v="18.186267791541901" u="1"/>
        <n v="8.6279851952838538" u="1"/>
        <n v="8.8249780895161116" u="1"/>
        <n v="16.547705060754808" u="1"/>
        <n v="19.961377416561255" u="1"/>
        <n v="12.178204445322557" u="1"/>
        <n v="12.451298233787073" u="1"/>
        <n v="13.202306152064489" u="1"/>
        <n v="14.226407858806423" u="1"/>
        <n v="16.274611272290294" u="1"/>
        <n v="13.134032704948361" u="1"/>
        <n v="12.547478868540425" u="1"/>
        <n v="13.274979855303746" u="1"/>
        <n v="11.23846872759149" u="1"/>
        <n v="12.232597167361766" u="1"/>
        <n v="11.325736070321419" u="1"/>
        <n v="11.885136271381107" u="1"/>
        <n v="12.678379882635321" u="1"/>
        <n v="11.398691017008185" u="1"/>
        <n v="10.976666699401701" u="1"/>
        <n v="10.842753583439126" u="1"/>
        <n v="8.2715429531822462" u="1"/>
        <n v="8.0095770465841145" u="1"/>
        <n v="11.500270755781278" u="1"/>
        <n v="18.834354190994301" u="1"/>
        <n v="10.802132013941845" u="1"/>
        <n v="17.78351943233617" u="1"/>
        <n v="136.27613703245723" u="1"/>
        <n v="8.6204484456936168" u="1"/>
        <n v="15.410538801129002" u="1"/>
        <n v="15.000898118432229" u="1"/>
        <n v="15.069171565548357" u="1"/>
        <n v="15.137445012664486" u="1"/>
        <n v="15.273991906896743" u="1"/>
        <n v="15.547085695361259" u="1"/>
        <n v="15.751906036709645" u="1"/>
        <n v="16.093273272290293" u="1"/>
        <n v="14.38643709438707" u="1"/>
        <n v="14.522983988619327" u="1"/>
        <n v="14.727804329967713" u="1"/>
        <n v="13.840249517458036" u="1"/>
        <n v="13.976796411690296" u="1"/>
        <n v="14.18161675303868" u="1"/>
        <n v="13.157515046296748" u="1"/>
        <n v="13.294061940529005" u="1"/>
        <n v="13.498882281877393" u="1"/>
        <n v="12.338233680903203" u="1"/>
        <n v="12.47478057513546" u="1"/>
        <n v="12.679600916483846" u="1"/>
        <n v="13.020968152064489" u="1"/>
        <n v="12.543054022251589" u="1"/>
        <n v="12.884421257832232" u="1"/>
        <n v="13.225788493412876" u="1"/>
        <n v="12.95269470494836" u="1"/>
        <n v="13.089241599180619" u="1"/>
        <n v="13.63542917610965" u="1"/>
        <n v="15.342265354012875" u="1"/>
        <n v="15.683632589593516" u="1"/>
        <n v="16.229820166522551" u="1"/>
        <n v="16.434640507870938" u="1"/>
        <n v="16.776007743451583" u="1"/>
        <n v="16.502913954987065" u="1"/>
        <n v="17.09389263768384" u="1"/>
        <n v="17.298712979032224" u="1"/>
        <n v="18.322814685774162" u="1"/>
        <n v="18.459361580006416" u="1"/>
        <n v="18.664181921354807" u="1"/>
        <n v="15.591876801129002" u="1"/>
        <n v="15.72842369536126" u="1"/>
        <n v="15.933244036709645" u="1"/>
        <n v="14.977415777083841" u="1"/>
        <n v="18.595908474238676" u="1"/>
        <n v="18.732455368470934" u="1"/>
        <n v="19.073822604051578" u="1"/>
        <n v="11.563743421277396" u="1"/>
        <n v="11.495469974161267" u="1"/>
        <n v="11.632016868393524" u="1"/>
        <n v="11.973384103974169" u="1"/>
        <n v="20.097924310793513" u="1"/>
        <n v="20.439291546374154" u="1"/>
        <n v="12.860938916483846" u="1"/>
        <n v="13.611946834761262" u="1"/>
        <n v="13.748493728993521" u="1"/>
        <n v="13.953314070341907" u="1"/>
        <n v="15.1139626713161" u="1"/>
        <n v="15.318783012664486" u="1"/>
        <n v="13.81676717610965" u="1"/>
        <n v="14.158134411690297" u="1"/>
        <n v="15.182236118432229" u="1"/>
        <n v="15.523603354012875" u="1"/>
        <n v="16.206337825174163" u="1"/>
        <n v="16.34288471940642" u="1"/>
        <n v="12.997485810716103" u="1"/>
        <n v="13.338853046296748" u="1"/>
        <n v="13.543673387645136" u="1"/>
        <n v="13.680220281877393" u="1"/>
        <n v="13.885040623225779" u="1"/>
        <n v="13.270579599180619" u="1"/>
        <n v="13.407126493412877" u="1"/>
        <n v="14.021587517458036" u="1"/>
        <n v="14.362954753038681" u="1"/>
        <n v="12.792665469367718" u="1"/>
        <n v="16.684251954987065" u="1"/>
        <n v="22.555768406974149" u="1"/>
        <n v="14.431228200154811" u="1"/>
        <n v="15.455329906896743" u="1"/>
        <n v="18.391088132890289" u="1"/>
        <n v="18.049720897309644" u="1"/>
        <n v="24.46742492622576" u="1"/>
        <n v="23.443323219483826" u="1"/>
        <n v="23.101955983903185" u="1"/>
        <n v="19.756557075212864" u="1"/>
        <n v="21.463393253116088" u="1"/>
        <n v="19.415189839632223" u="1"/>
        <n v="18.937275709819321" u="1"/>
        <n v="10.933033028036737" u="1"/>
        <n v="12.997011138519218" u="1"/>
        <n v="12.788534600930822" u="1"/>
        <n v="10.322161628927233" u="1"/>
        <n v="12.024120629773373" u="1"/>
        <n v="13.420152295839717" u="1"/>
        <n v="14.317362543245723" u="1"/>
        <n v="10.889399356671774" u="1"/>
        <n v="10.356308329066204" u="1"/>
        <n v="9.7549239011826963" u="1"/>
        <n v="10.057491958522837" u="1"/>
        <n v="12.896548239460143" u="1"/>
        <n v="13.254132201544905" u="1"/>
        <n v="11.151201384861562" u="1"/>
        <n v="12.11114215489078" u="1"/>
        <n v="18.254541238658028" u="1"/>
        <n v="19.48346328674835" u="1"/>
        <n v="20.302744652141897" u="1"/>
        <n v="20.644111887722545" u="1"/>
        <n v="20.985479123303186" u="1"/>
        <n v="21.531666700232218" u="1"/>
        <n v="16.138064378058036" u="1"/>
        <n v="16.479431613638678" u="1"/>
        <n v="16.820798849219322" u="1"/>
        <n v="17.366986426148355" u="1"/>
        <n v="16.069790930941902" u="1"/>
        <n v="16.752525402103196" u="1"/>
        <n v="17.162166084799967" u="1"/>
        <n v="17.708353661728999" u="1"/>
        <n v="16.615978507870938" u="1"/>
        <n v="17.435259873264485" u="1"/>
        <n v="17.981447450193517" u="1"/>
        <n v="17.503533320380612" u="1"/>
        <n v="17.844900555961257" u="1"/>
        <n v="18.527635027122546" u="1"/>
        <n v="17.02561919056771" u="1"/>
        <n v="20.780658781954799" u="1"/>
        <n v="9.4472665606774022" u="1"/>
        <n v="19.346916392516093" u="1"/>
        <n v="14.414260407537656" u="1"/>
        <n v="14.134401106655403" u="1"/>
        <n v="13.120688527904129" u="1"/>
        <n v="11.051230121027523" u="1"/>
        <n v="86.241768011242243" u="1"/>
        <n v="17.571806767496742" u="1"/>
        <n v="16.959740943451585" u="1"/>
        <n v="16.413553366522549" u="1"/>
        <n v="20.032046063677377" u="1"/>
        <n v="25.835289068548338" u="1"/>
        <n v="17.642475414612871" u="1"/>
        <n v="18.1886629915419" u="1"/>
        <n v="8.6303803952838543" u="1"/>
        <n v="8.8273732895161121" u="1"/>
        <n v="16.55010026075481" u="1"/>
        <n v="19.963772616561254" u="1"/>
        <n v="12.180599645322557" u="1"/>
        <n v="12.453693433787073" u="1"/>
        <n v="13.20470135206449" u="1"/>
        <n v="14.228803058806424" u="1"/>
        <n v="16.277006472290292" u="1"/>
        <n v="13.136427904948361" u="1"/>
        <n v="12.564374868540424" u="1"/>
        <n v="13.291875855303745" u="1"/>
        <n v="11.255364727591489" u="1"/>
        <n v="12.249493167361765" u="1"/>
        <n v="11.342632070321418" u="1"/>
        <n v="11.902032271381106" u="1"/>
        <n v="12.69527588263532" u="1"/>
        <n v="11.415587017008184" u="1"/>
        <n v="10.9935626994017" u="1"/>
        <n v="10.859649583439126" u="1"/>
        <n v="8.2884389531822453" u="1"/>
        <n v="8.0264730465841136" u="1"/>
        <n v="11.517166755781277" u="1"/>
        <n v="18.851250190994303" u="1"/>
        <n v="10.819028013941844" u="1"/>
        <n v="17.80041543233617" u="1"/>
        <n v="136.29303303245723" u="1"/>
        <n v="8.6373444456936159" u="1"/>
        <n v="15.412934001129003" u="1"/>
        <n v="15.003293318432229" u="1"/>
        <n v="15.07156676554836" u="1"/>
        <n v="15.139840212664486" u="1"/>
        <n v="15.276387106896744" u="1"/>
        <n v="15.54948089536126" u="1"/>
        <n v="15.754301236709646" u="1"/>
        <n v="16.095668472290292" u="1"/>
        <n v="14.38883229438707" u="1"/>
        <n v="14.525379188619327" u="1"/>
        <n v="14.730199529967713" u="1"/>
        <n v="13.842644717458038" u="1"/>
        <n v="13.979191611690297" u="1"/>
        <n v="14.184011953038681" u="1"/>
        <n v="13.159910246296748" u="1"/>
        <n v="13.296457140529006" u="1"/>
        <n v="13.501277481877393" u="1"/>
        <n v="12.340628880903202" u="1"/>
        <n v="12.477175775135461" u="1"/>
        <n v="12.681996116483846" u="1"/>
        <n v="13.023363352064489" u="1"/>
        <n v="12.545449222251589" u="1"/>
        <n v="12.886816457832232" u="1"/>
        <n v="13.228183693412875" u="1"/>
        <n v="12.955089904948361" u="1"/>
        <n v="13.091636799180618" u="1"/>
        <n v="13.63782437610965" u="1"/>
        <n v="15.344660554012876" u="1"/>
        <n v="15.686027789593517" u="1"/>
        <n v="16.232215366522549" u="1"/>
        <n v="16.437035707870937" u="1"/>
        <n v="16.778402943451585" u="1"/>
        <n v="16.505309154987067" u="1"/>
        <n v="17.096287837683843" u="1"/>
        <n v="17.301108179032227" u="1"/>
        <n v="18.325209885774157" u="1"/>
        <n v="18.461756780006414" u="1"/>
        <n v="18.666577121354806" u="1"/>
        <n v="15.594272001129003" u="1"/>
        <n v="15.73081889536126" u="1"/>
        <n v="15.935639236709646" u="1"/>
        <n v="14.979810977083842" u="1"/>
        <n v="18.598303674238675" u="1"/>
        <n v="18.734850568470932" u="1"/>
        <n v="19.076217804051574" u="1"/>
        <n v="11.566138621277396" u="1"/>
        <n v="11.497865174161268" u="1"/>
        <n v="11.634412068393525" u="1"/>
        <n v="11.97577930397417" u="1"/>
        <n v="20.100319510793511" u="1"/>
        <n v="20.441686746374153" u="1"/>
        <n v="12.863334116483847" u="1"/>
        <n v="13.614342034761263" u="1"/>
        <n v="13.750888928993522" u="1"/>
        <n v="13.955709270341908" u="1"/>
        <n v="15.116357871316101" u="1"/>
        <n v="15.321178212664487" u="1"/>
        <n v="13.81916237610965" u="1"/>
        <n v="14.160529611690297" u="1"/>
        <n v="15.184631318432229" u="1"/>
        <n v="15.525998554012876" u="1"/>
        <n v="16.208733025174162" u="1"/>
        <n v="16.345279919406423" u="1"/>
        <n v="12.999881010716104" u="1"/>
        <n v="13.341248246296749" u="1"/>
        <n v="13.546068587645136" u="1"/>
        <n v="13.682615481877393" u="1"/>
        <n v="13.887435823225779" u="1"/>
        <n v="13.272974799180618" u="1"/>
        <n v="13.409521693412875" u="1"/>
        <n v="14.023982717458038" u="1"/>
        <n v="14.365349953038681" u="1"/>
        <n v="12.795060669367718" u="1"/>
        <n v="16.686647154987067" u="1"/>
        <n v="22.558163606974148" u="1"/>
        <n v="14.433623400154811" u="1"/>
        <n v="15.457725106896744" u="1"/>
        <n v="18.393483332890288" u="1"/>
        <n v="18.052116097309643" u="1"/>
        <n v="24.469820126225759" u="1"/>
        <n v="23.445718419483825" u="1"/>
        <n v="23.104351183903184" u="1"/>
        <n v="19.758952275212863" u="1"/>
        <n v="21.465788453116087" u="1"/>
        <n v="19.417585039632222" u="1"/>
        <n v="18.93967090981932" u="1"/>
        <n v="10.949929028036737" u="1"/>
        <n v="13.013907138519217" u="1"/>
        <n v="12.805430600930821" u="1"/>
        <n v="10.339057628927232" u="1"/>
        <n v="12.041016629773372" u="1"/>
        <n v="13.437048295839716" u="1"/>
        <n v="14.334258543245722" u="1"/>
        <n v="10.906295356671773" u="1"/>
        <n v="10.373204329066203" u="1"/>
        <n v="9.7718199011826954" u="1"/>
        <n v="10.074387958522836" u="1"/>
        <n v="12.913444239460143" u="1"/>
        <n v="13.271028201544905" u="1"/>
        <n v="11.168097384861561" u="1"/>
        <n v="12.128038154890779" u="1"/>
        <n v="18.25693643865803" u="1"/>
        <n v="19.485858486748349" u="1"/>
        <n v="20.305139852141899" u="1"/>
        <n v="20.646507087722544" u="1"/>
        <n v="20.987874323303185" u="1"/>
        <n v="21.534061900232217" u="1"/>
        <n v="16.140459578058035" u="1"/>
        <n v="16.48182681363868" u="1"/>
        <n v="16.823194049219325" u="1"/>
        <n v="17.369381626148353" u="1"/>
        <n v="16.072186130941905" u="1"/>
        <n v="16.754920602103194" u="1"/>
        <n v="17.164561284799969" u="1"/>
        <n v="17.710748861729002" u="1"/>
        <n v="16.618373707870937" u="1"/>
        <n v="17.437655073264487" u="1"/>
        <n v="17.983842650193516" u="1"/>
        <n v="17.505928520380611" u="1"/>
        <n v="17.847295755961259" u="1"/>
        <n v="18.530030227122545" u="1"/>
        <n v="17.028014390567712" u="1"/>
        <n v="20.783053981954797" u="1"/>
        <n v="9.4496617606774027" u="1"/>
        <n v="19.349311592516088" u="1"/>
        <n v="14.430615963093212" u="1"/>
        <n v="14.150756662210959" u="1"/>
        <n v="13.137044083459685" u="1"/>
        <n v="11.068126121027522" u="1"/>
        <n v="86.258664011242246" u="1"/>
        <n v="17.574201967496741" u="1"/>
        <n v="24.816600000000001" u="1"/>
        <n v="19.401600000000002" u="1"/>
        <n v="18.316600000000001" u="1"/>
        <n v="16.802600000000002" u="1"/>
        <n v="17.303599999999999" u="1"/>
        <n v="21.555600000000002" u="1"/>
        <n v="18.1266" u="1"/>
        <n v="23.624600000000001" u="1"/>
        <n v="20.881600000000002" u="1"/>
        <n v="23.686600000000002" u="1"/>
        <n v="10.656600000000001" u="1"/>
        <n v="13.819600000000001" u="1"/>
        <n v="17.243723564493173" u="1"/>
        <n v="16.688263085652576" u="1"/>
        <n v="20.368188757971506" u="1"/>
        <n v="26.269956345652808" u="1"/>
        <n v="17.93804916304391" u="1"/>
        <n v="18.493509641884504" u="1"/>
        <n v="8.7729512621741215" u="1"/>
        <n v="8.9732886041064912" u="1"/>
        <n v="16.827128205362726" u="1"/>
        <n v="20.298756198116433" u="1"/>
        <n v="12.383444374637977" u="1"/>
        <n v="12.661174614058275" u="1"/>
        <n v="13.424932772464089" u="1"/>
        <n v="14.466421170290202" u="1"/>
        <n v="16.549397965942429" u="1"/>
        <n v="13.355500212609016" u="1"/>
        <n v="12.467795825050571" u="1"/>
        <n v="13.504240533547291" u="1"/>
        <n v="11.169516688933841" u="1"/>
        <n v="12.444160789085018" u="1"/>
        <n v="11.256068631341622" u="1"/>
        <n v="12.090800874264261" u="1"/>
        <n v="12.597623738662243" u="1"/>
        <n v="11.596096993515198" u="1"/>
        <n v="10.909860861710493" u="1"/>
        <n v="11.030721129801984" u="1"/>
        <n v="8.4158577601283753" u="1"/>
        <n v="7.9670948198459071" u="1"/>
        <n v="11.429172516157188" u="1"/>
        <n v="19.157999170679428" u="1"/>
        <n v="10.736756976894931" u="1"/>
        <n v="17.660912369517494" u="1"/>
        <n v="138.59365038009568" u="1"/>
        <n v="8.5729584167003807" u="1"/>
        <n v="15.045762662029352" u="1"/>
        <n v="14.629167302898907" u="1"/>
        <n v="14.69859986275398" u="1"/>
        <n v="14.768032422609055" u="1"/>
        <n v="14.906897542319204" u="1"/>
        <n v="15.184627781739499" u="1"/>
        <n v="15.392925461304721" u="1"/>
        <n v="15.740088260580091" u="1"/>
        <n v="14.073706824058313" u="1"/>
        <n v="14.212571943768461" u="1"/>
        <n v="14.420869623333681" u="1"/>
        <n v="12.754488186811903" u="1"/>
        <n v="12.893353306522052" u="1"/>
        <n v="13.101650986087273" u="1"/>
        <n v="13.448813785362645" u="1"/>
        <n v="11.990730028406087" u="1"/>
        <n v="12.129595148116236" u="1"/>
        <n v="12.337892827681459" u="1"/>
        <n v="12.68505562695683" u="1"/>
        <n v="12.199027707971309" u="1"/>
        <n v="12.546190507246681" u="1"/>
        <n v="12.615623067101756" u="1"/>
        <n v="12.962785866377127" u="1"/>
        <n v="13.309948665652497" u="1"/>
        <n v="14.837464982464128" u="1"/>
        <n v="15.809520820435168" u="1"/>
        <n v="15.948385940145316" u="1"/>
        <n v="16.156683619710538" u="1"/>
        <n v="16.503846418985908" u="1"/>
        <n v="16.781576658406209" u="1"/>
        <n v="17.452021244058393" u="1"/>
        <n v="17.59088636376854" u="1"/>
        <n v="18.840672441159878" u="1"/>
        <n v="18.979537560870021" u="1"/>
        <n v="19.326700360145391" u="1"/>
        <n v="16.063370046956909" u="1"/>
        <n v="16.202235166667059" u="1"/>
        <n v="15.230179328696019" u="1"/>
        <n v="15.021881649130796" u="1"/>
        <n v="15.160746768840944" u="1"/>
        <n v="15.507909568116315" u="1"/>
        <n v="11.758551335942309" u="1"/>
        <n v="13.077769973188719" u="1"/>
        <n v="13.216635092898867" u="1"/>
        <n v="13.563797892174238" u="1"/>
        <n v="16.410532846232282" u="1"/>
        <n v="17.799184043333764" u="1"/>
        <n v="21.270812036087467" u="1"/>
        <n v="14.049825811159756" u="1"/>
        <n v="14.188690930869905" u="1"/>
        <n v="14.535853730145275" u="1"/>
        <n v="15.438477008261239" u="1"/>
        <n v="15.577342127971388" u="1"/>
        <n v="15.924504927246758" u="1"/>
        <n v="14.25812349072498" u="1"/>
        <n v="14.396988610435129" u="1"/>
        <n v="14.744151409710497" u="1"/>
        <n v="15.646774687826465" u="1"/>
        <n v="15.785639807536613" u="1"/>
        <n v="16.132802606811985" u="1"/>
        <n v="16.896560765217799" u="1"/>
        <n v="13.147202533043794" u="1"/>
        <n v="13.286067652753941" u="1"/>
        <n v="13.633230452029313" u="1"/>
        <n v="13.702663011884388" u="1"/>
        <n v="13.841528131594535" u="1"/>
        <n v="13.910960691449608" u="1"/>
        <n v="14.327556050580053" u="1"/>
        <n v="14.674718849855426" u="1"/>
        <n v="13.008337413333647" u="1"/>
        <n v="16.965993325072876" u="1"/>
        <n v="22.937193472609248" u="1"/>
        <n v="15.716207247681536" u="1"/>
        <n v="18.701807321449728" u="1"/>
        <n v="18.354644522174354" u="1"/>
        <n v="20.437621317826583" u="1"/>
        <n v="24.881305148551327" u="1"/>
        <n v="23.839816750725216" u="1"/>
        <n v="23.492653951449846" u="1"/>
        <n v="20.090458518551209" u="1"/>
        <n v="21.826272514928064" u="1"/>
        <n v="19.396132920000465" u="1"/>
        <n v="19.743295719275839" u="1"/>
        <n v="19.257267800290318" u="1"/>
        <n v="10.866584890506603" u="1"/>
        <n v="13.221552601690686" u="1"/>
        <n v="13.00953665279823" u="1"/>
        <n v="10.260721293652129" u="1"/>
        <n v="12.232144840192564" u="1"/>
        <n v="13.333315249128391" u="1"/>
        <n v="14.564320278009566" u="1"/>
        <n v="10.823308919302713" u="1"/>
        <n v="10.536017249052923" u="1"/>
        <n v="9.698133668001546" u="1"/>
        <n v="10.232127722307071" u="1"/>
        <n v="12.814003594681699" u="1"/>
        <n v="13.483038938658046" u="1"/>
        <n v="11.082964746526059" u="1"/>
        <n v="12.035036113011662" u="1"/>
        <n v="18.562942201739578" u="1"/>
        <n v="18.910105001014951" u="1"/>
        <n v="19.812728279130912" u="1"/>
        <n v="20.645918997391803" u="1"/>
        <n v="20.993081796667173" u="1"/>
        <n v="21.340244595942544" u="1"/>
        <n v="21.895705074783137" u="1"/>
        <n v="16.757695645507649" u="1"/>
        <n v="17.104858444783023" u="1"/>
        <n v="17.660318923623613" u="1"/>
        <n v="16.341100286377205" u="1"/>
        <n v="17.035425884927946" u="1"/>
        <n v="18.007481722898987" u="1"/>
        <n v="17.38258868420332" u="1"/>
        <n v="17.72975148347869" u="1"/>
        <n v="18.285211962319284" u="1"/>
        <n v="18.146346842609134" u="1"/>
        <n v="19.048970120725095" u="1"/>
        <n v="17.313156124348247" u="1"/>
        <n v="21.13194691637732" u="1"/>
        <n v="9.6061419804350106" u="1"/>
        <n v="19.673863159420762" u="1"/>
        <n v="14.349704296982241" u="1"/>
        <n v="14.071501513377054" u="1"/>
        <n v="13.063789208318267" u="1"/>
        <n v="11.242737078694439" u="1"/>
        <n v="87.709822645906485" u="1"/>
        <n v="18.076914282754061" u="1"/>
        <n v="17.868616603188837" u="1"/>
        <n v="18.215779402464207" u="1"/>
        <n v="19.118402680580175" u="1"/>
        <n v="19.951593398841059" u="1"/>
        <n v="21.201379476232397" u="1"/>
        <n v="15.993937487101835" u="1"/>
        <n v="16.271667726522132" u="1"/>
        <n v="12.938864669834079" u="1"/>
        <n v="17.243831564493171" u="1"/>
        <n v="16.688371085652577" u="1"/>
        <n v="20.368296757971507" u="1"/>
        <n v="26.270064345652809" u="1"/>
        <n v="17.938157163043911" u="1"/>
        <n v="18.493617641884505" u="1"/>
        <n v="8.7730592621741206" u="1"/>
        <n v="8.9733966041064921" u="1"/>
        <n v="16.827236205362723" u="1"/>
        <n v="20.298864198116433" u="1"/>
        <n v="12.383552374637976" u="1"/>
        <n v="12.661282614058274" u="1"/>
        <n v="13.425040772464088" u="1"/>
        <n v="14.466529170290199" u="1"/>
        <n v="16.54950596594243" u="1"/>
        <n v="13.355608212609015" u="1"/>
        <n v="12.464693825050571" u="1"/>
        <n v="13.501138533547291" u="1"/>
        <n v="11.166414688933841" u="1"/>
        <n v="12.441058789085018" u="1"/>
        <n v="11.252966631341621" u="1"/>
        <n v="12.087698874264261" u="1"/>
        <n v="12.594521738662243" u="1"/>
        <n v="11.592994993515198" u="1"/>
        <n v="10.906758861710493" u="1"/>
        <n v="11.027619129801984" u="1"/>
        <n v="8.4127557601283751" u="1"/>
        <n v="7.9639928198459078" u="1"/>
        <n v="11.426070516157187" u="1"/>
        <n v="19.154897170679426" u="1"/>
        <n v="10.733654976894931" u="1"/>
        <n v="17.657810369517495" u="1"/>
        <n v="138.59054838009567" u="1"/>
        <n v="8.5698564167003806" u="1"/>
        <n v="15.045870662029351" u="1"/>
        <n v="14.629275302898906" u="1"/>
        <n v="14.698707862753979" u="1"/>
        <n v="14.768140422609054" u="1"/>
        <n v="14.907005542319203" u="1"/>
        <n v="15.1847357817395" u="1"/>
        <n v="15.39303346130472" u="1"/>
        <n v="15.74019626058009" u="1"/>
        <n v="14.073814824058312" u="1"/>
        <n v="14.21267994376846" u="1"/>
        <n v="14.42097762333368" u="1"/>
        <n v="12.754596186811904" u="1"/>
        <n v="12.893461306522051" u="1"/>
        <n v="13.101758986087273" u="1"/>
        <n v="13.448921785362645" u="1"/>
        <n v="11.990838028406086" u="1"/>
        <n v="12.129703148116235" u="1"/>
        <n v="12.338000827681459" u="1"/>
        <n v="12.685163626956827" u="1"/>
        <n v="12.199135707971308" u="1"/>
        <n v="12.54629850724668" u="1"/>
        <n v="12.615731067101756" u="1"/>
        <n v="12.962893866377126" u="1"/>
        <n v="13.310056665652496" u="1"/>
        <n v="14.837572982464128" u="1"/>
        <n v="15.809628820435167" u="1"/>
        <n v="15.948493940145314" u="1"/>
        <n v="16.156791619710539" u="1"/>
        <n v="16.503954418985909" u="1"/>
        <n v="16.781684658406206" u="1"/>
        <n v="17.452129244058391" u="1"/>
        <n v="17.590994363768541" u="1"/>
        <n v="18.840780441159879" u="1"/>
        <n v="18.979645560870026" u="1"/>
        <n v="19.326808360145392" u="1"/>
        <n v="16.063478046956906" u="1"/>
        <n v="16.202343166667056" u="1"/>
        <n v="15.230287328696019" u="1"/>
        <n v="15.021989649130795" u="1"/>
        <n v="15.160854768840943" u="1"/>
        <n v="15.508017568116314" u="1"/>
        <n v="11.758659335942308" u="1"/>
        <n v="13.077877973188718" u="1"/>
        <n v="13.216743092898867" u="1"/>
        <n v="13.563905892174237" u="1"/>
        <n v="16.41064084623228" u="1"/>
        <n v="17.799292043333761" u="1"/>
        <n v="21.270920036087468" u="1"/>
        <n v="14.049933811159756" u="1"/>
        <n v="14.188798930869904" u="1"/>
        <n v="14.535961730145276" u="1"/>
        <n v="15.438585008261239" u="1"/>
        <n v="15.577450127971387" u="1"/>
        <n v="15.924612927246757" u="1"/>
        <n v="14.258231490724979" u="1"/>
        <n v="14.397096610435128" u="1"/>
        <n v="14.744259409710496" u="1"/>
        <n v="15.646882687826464" u="1"/>
        <n v="15.785747807536612" u="1"/>
        <n v="16.132910606811983" u="1"/>
        <n v="16.896668765217797" u="1"/>
        <n v="13.147310533043793" u="1"/>
        <n v="13.28617565275394" u="1"/>
        <n v="13.633338452029312" u="1"/>
        <n v="13.702771011884387" u="1"/>
        <n v="13.841636131594534" u="1"/>
        <n v="13.911068691449607" u="1"/>
        <n v="14.327664050580053" u="1"/>
        <n v="14.674826849855426" u="1"/>
        <n v="13.008445413333645" u="1"/>
        <n v="16.966101325072874" u="1"/>
        <n v="22.937301472609249" u="1"/>
        <n v="15.716315247681536" u="1"/>
        <n v="18.701915321449729" u="1"/>
        <n v="18.354752522174355" u="1"/>
        <n v="20.437729317826584" u="1"/>
        <n v="24.881413148551328" u="1"/>
        <n v="23.839924750725217" u="1"/>
        <n v="23.492761951449847" u="1"/>
        <n v="20.09056651855121" u="1"/>
        <n v="21.826380514928065" u="1"/>
        <n v="19.396240920000466" u="1"/>
        <n v="19.74340371927584" u="1"/>
        <n v="19.257375800290319" u="1"/>
        <n v="10.863482890506603" u="1"/>
        <n v="13.218450601690686" u="1"/>
        <n v="13.006434652798228" u="1"/>
        <n v="10.257619293652128" u="1"/>
        <n v="12.229042840192564" u="1"/>
        <n v="13.330213249128391" u="1"/>
        <n v="12.935762669834078" u="1"/>
        <n v="10.820206919302713" u="1"/>
        <n v="10.532915249052921" u="1"/>
        <n v="9.6950316680015458" u="1"/>
        <n v="10.229025722307071" u="1"/>
        <n v="12.810901594681699" u="1"/>
        <n v="13.479936938658046" u="1"/>
        <n v="11.079862746526059" u="1"/>
        <n v="12.03193411301166" u="1"/>
        <n v="17.868724603188838" u="1"/>
        <n v="18.215887402464208" u="1"/>
        <n v="18.563050201739578" u="1"/>
        <n v="19.118510680580172" u="1"/>
        <n v="19.95170139884106" u="1"/>
        <n v="20.6460269973918" u="1"/>
        <n v="21.201487476232398" u="1"/>
        <n v="15.994045487101834" u="1"/>
        <n v="16.341208286377206" u="1"/>
        <n v="17.035533884927947" u="1"/>
        <n v="16.75780364550765" u="1"/>
        <n v="17.313264124348244" u="1"/>
        <n v="17.660426923623614" u="1"/>
        <n v="18.007589722898985" u="1"/>
        <n v="17.104966444783024" u="1"/>
        <n v="18.146454842609135" u="1"/>
        <n v="16.271775726522133" u="1"/>
        <n v="21.132054916377321" u="1"/>
        <n v="9.6062499804350114" u="1"/>
        <n v="19.673971159420763" u="1"/>
        <n v="14.346701519204462" u="1"/>
        <n v="14.068498735599276" u="1"/>
        <n v="13.060786430540487" u="1"/>
        <n v="11.239635078694439" u="1"/>
        <n v="87.706720645906486" u="1"/>
        <n v="12.003239425050571" u="1"/>
        <n v="13.039684133547292" u="1"/>
        <n v="10.704960288933842" u="1"/>
        <n v="11.979604389085019" u="1"/>
        <n v="10.791512231341622" u="1"/>
        <n v="11.626244474264261" u="1"/>
        <n v="12.133067338662244" u="1"/>
        <n v="11.131540593515199" u="1"/>
        <n v="10.445304461710494" u="1"/>
        <n v="10.566164729801985" u="1"/>
        <n v="7.951301360128376" u="1"/>
        <n v="7.5025384198459069" u="1"/>
        <n v="10.964616116157188" u="1"/>
        <n v="18.693442770679425" u="1"/>
        <n v="10.272200576894932" u="1"/>
        <n v="17.196355969517494" u="1"/>
        <n v="138.12909398009569" u="1"/>
        <n v="8.1084020167003796" u="1"/>
        <n v="10.402028490506604" u="1"/>
        <n v="12.756996201690686" u="1"/>
        <n v="12.544980252798231" u="1"/>
        <n v="9.7961648936521293" u="1"/>
        <n v="11.767588440192565" u="1"/>
        <n v="12.868758849128392" u="1"/>
        <n v="12.474308269834079" u="1"/>
        <n v="10.358752519302714" u="1"/>
        <n v="10.071460849052924" u="1"/>
        <n v="9.2335772680015467" u="1"/>
        <n v="9.7675713223070719" u="1"/>
        <n v="12.3494471946817" u="1"/>
        <n v="13.018482538658047" u="1"/>
        <n v="10.61840834652606" u="1"/>
        <n v="11.570479713011663" u="1"/>
        <n v="10.77818067869444" u="1"/>
        <n v="17.244035564493171" u="1"/>
        <n v="16.688575085652577" u="1"/>
        <n v="20.368500757971507" u="1"/>
        <n v="26.270268345652809" u="1"/>
        <n v="17.938361163043911" u="1"/>
        <n v="18.493821641884505" u="1"/>
        <n v="8.7732632621741207" u="1"/>
        <n v="8.9736006041064922" u="1"/>
        <n v="16.827440205362723" u="1"/>
        <n v="20.299068198116434" u="1"/>
        <n v="12.383756374637976" u="1"/>
        <n v="12.661486614058274" u="1"/>
        <n v="13.425244772464088" u="1"/>
        <n v="14.466733170290199" u="1"/>
        <n v="16.54970996594243" u="1"/>
        <n v="13.355812212609015" u="1"/>
        <n v="12.000045025050571" u="1"/>
        <n v="13.036489733547292" u="1"/>
        <n v="10.701765888933842" u="1"/>
        <n v="11.976409989085019" u="1"/>
        <n v="10.788317831341622" u="1"/>
        <n v="11.623050074264262" u="1"/>
        <n v="12.129872938662244" u="1"/>
        <n v="11.128346193515199" u="1"/>
        <n v="10.442110061710494" u="1"/>
        <n v="10.562970329801985" u="1"/>
        <n v="7.948106960128376" u="1"/>
        <n v="7.4993440198459069" u="1"/>
        <n v="10.961421716157188" u="1"/>
        <n v="18.690248370679427" u="1"/>
        <n v="10.269006176894932" u="1"/>
        <n v="17.193161569517496" u="1"/>
        <n v="138.12589958009568" u="1"/>
        <n v="8.1052076167003815" u="1"/>
        <n v="15.046074662029351" u="1"/>
        <n v="14.629479302898906" u="1"/>
        <n v="14.698911862753979" u="1"/>
        <n v="14.768344422609054" u="1"/>
        <n v="14.907209542319203" u="1"/>
        <n v="15.1849397817395" u="1"/>
        <n v="15.39323746130472" u="1"/>
        <n v="15.74040026058009" u="1"/>
        <n v="14.074018824058312" u="1"/>
        <n v="14.21288394376846" u="1"/>
        <n v="14.42118162333368" u="1"/>
        <n v="12.754800186811904" u="1"/>
        <n v="12.893665306522051" u="1"/>
        <n v="13.101962986087273" u="1"/>
        <n v="13.449125785362645" u="1"/>
        <n v="11.991042028406087" u="1"/>
        <n v="12.129907148116235" u="1"/>
        <n v="12.338204827681459" u="1"/>
        <n v="12.685367626956827" u="1"/>
        <n v="12.199339707971308" u="1"/>
        <n v="12.54650250724668" u="1"/>
        <n v="12.615935067101756" u="1"/>
        <n v="12.963097866377126" u="1"/>
        <n v="13.310260665652496" u="1"/>
        <n v="14.837776982464128" u="1"/>
        <n v="15.809832820435167" u="1"/>
        <n v="15.948697940145314" u="1"/>
        <n v="16.156995619710539" u="1"/>
        <n v="16.504158418985909" u="1"/>
        <n v="16.781888658406206" u="1"/>
        <n v="17.452333244058394" u="1"/>
        <n v="17.591198363768541" u="1"/>
        <n v="18.840984441159879" u="1"/>
        <n v="18.979849560870022" u="1"/>
        <n v="19.327012360145392" u="1"/>
        <n v="16.063682046956906" u="1"/>
        <n v="16.202547166667056" u="1"/>
        <n v="15.230491328696019" u="1"/>
        <n v="15.022193649130795" u="1"/>
        <n v="15.161058768840944" u="1"/>
        <n v="15.508221568116314" u="1"/>
        <n v="11.758863335942308" u="1"/>
        <n v="13.078081973188718" u="1"/>
        <n v="13.216947092898867" u="1"/>
        <n v="13.564109892174237" u="1"/>
        <n v="14.050137811159756" u="1"/>
        <n v="14.189002930869904" u="1"/>
        <n v="14.536165730145276" u="1"/>
        <n v="15.438789008261239" u="1"/>
        <n v="15.577654127971387" u="1"/>
        <n v="15.924816927246757" u="1"/>
        <n v="14.258435490724979" u="1"/>
        <n v="14.397300610435128" u="1"/>
        <n v="14.744463409710496" u="1"/>
        <n v="15.647086687826464" u="1"/>
        <n v="15.785951807536613" u="1"/>
        <n v="16.133114606811983" u="1"/>
        <n v="16.41084484623228" u="1"/>
        <n v="16.896872765217797" u="1"/>
        <n v="13.147514533043793" u="1"/>
        <n v="13.28637965275394" u="1"/>
        <n v="13.633542452029312" u="1"/>
        <n v="13.702975011884387" u="1"/>
        <n v="13.841840131594534" u="1"/>
        <n v="13.911272691449607" u="1"/>
        <n v="14.327868050580053" u="1"/>
        <n v="14.675030849855426" u="1"/>
        <n v="13.008649413333645" u="1"/>
        <n v="16.966305325072874" u="1"/>
        <n v="22.937505472609249" u="1"/>
        <n v="15.716519247681536" u="1"/>
        <n v="18.702119321449729" u="1"/>
        <n v="18.354956522174355" u="1"/>
        <n v="20.437933317826584" u="1"/>
        <n v="24.881617148551328" u="1"/>
        <n v="23.840128750725217" u="1"/>
        <n v="23.492965951449847" u="1"/>
        <n v="20.09077051855121" u="1"/>
        <n v="21.826584514928065" u="1"/>
        <n v="19.396444920000466" u="1"/>
        <n v="19.74360771927584" u="1"/>
        <n v="19.257579800290319" u="1"/>
        <n v="10.398834090506604" u="1"/>
        <n v="12.753801801690686" u="1"/>
        <n v="12.541785852798229" u="1"/>
        <n v="9.7929704936521293" u="1"/>
        <n v="11.764394040192565" u="1"/>
        <n v="12.865564449128392" u="1"/>
        <n v="12.471113869834079" u="1"/>
        <n v="10.355558119302714" u="1"/>
        <n v="10.068266449052922" u="1"/>
        <n v="9.2303828680015467" u="1"/>
        <n v="9.764376922307072" u="1"/>
        <n v="12.3462527946817" u="1"/>
        <n v="13.015288138658047" u="1"/>
        <n v="10.61521394652606" u="1"/>
        <n v="11.567285313011661" u="1"/>
        <n v="17.868928603188838" u="1"/>
        <n v="18.216091402464208" u="1"/>
        <n v="18.563254201739579" u="1"/>
        <n v="19.118714680580176" u="1"/>
        <n v="19.95190539884106" u="1"/>
        <n v="20.646230997391804" u="1"/>
        <n v="21.201691476232398" u="1"/>
        <n v="15.994249487101834" u="1"/>
        <n v="16.341412286377206" u="1"/>
        <n v="17.035737884927947" u="1"/>
        <n v="16.75800764550765" u="1"/>
        <n v="17.313468124348244" u="1"/>
        <n v="17.660630923623614" u="1"/>
        <n v="18.007793722898985" u="1"/>
        <n v="17.105170444783024" u="1"/>
        <n v="17.799496043333761" u="1"/>
        <n v="18.146658842609135" u="1"/>
        <n v="16.271979726522133" u="1"/>
        <n v="21.132258916377321" u="1"/>
        <n v="9.6064539804350115" u="1"/>
        <n v="19.674175159420763" u="1"/>
        <n v="14.337424852537795" u="1"/>
        <n v="14.059222068932609" u="1"/>
        <n v="13.051509763873822" u="1"/>
        <n v="10.77498627869444" u="1"/>
        <n v="17.337120123495044" u="1"/>
        <n v="16.778620148850308" u="1"/>
        <n v="20.478682480871683" u="1"/>
        <n v="26.412744711472008" u="1"/>
        <n v="18.035245091800963" u="1"/>
        <n v="18.593745066445699" u="1"/>
        <n v="8.8199955101628156" u="1"/>
        <n v="9.0214291038240013" u="1"/>
        <n v="16.918245142511491" u="1"/>
        <n v="20.408869984041093" u="1"/>
        <n v="12.450245345353601" u="1"/>
        <n v="12.72949533267597" u="1"/>
        <n v="13.497432797812481" u="1"/>
        <n v="14.544620250271361" u="1"/>
        <n v="16.638995155189125" u="1"/>
        <n v="13.427620300981888" u="1"/>
        <n v="13.106099177777969" u="1"/>
        <n v="12.04021864629647" u="1"/>
        <n v="11.684925135802638" u="1"/>
        <n v="11.187514221111272" u="1"/>
        <n v="10.619044604321141" u="1"/>
        <n v="7.9898726266667817" u="1"/>
        <n v="18.790795345679289" u="1"/>
        <n v="138.88000189259466" u="1"/>
        <n v="15.127131915407874" u="1"/>
        <n v="14.708256934424321" u="1"/>
        <n v="14.778069431254911" u="1"/>
        <n v="14.847881928085505" u="1"/>
        <n v="14.987506921746691" u="1"/>
        <n v="15.266756909069059" u="1"/>
        <n v="15.476194399560832" u="1"/>
        <n v="15.82525688371379" u="1"/>
        <n v="14.149756959779586" u="1"/>
        <n v="14.289381953440769" u="1"/>
        <n v="14.498819443932543" u="1"/>
        <n v="12.823319519998337" u="1"/>
        <n v="12.962944513659522" u="1"/>
        <n v="13.172382004151297" u="1"/>
        <n v="13.521444488304256" u="1"/>
        <n v="12.055382054861825" u="1"/>
        <n v="12.195007048523008" u="1"/>
        <n v="12.404444539014783" u="1"/>
        <n v="12.753507023167744" u="1"/>
        <n v="12.2648195453536" u="1"/>
        <n v="12.613882029506561" u="1"/>
        <n v="12.683694526337154" u="1"/>
        <n v="13.032757010490112" u="1"/>
        <n v="13.381819494643072" u="1"/>
        <n v="14.917694424916096" u="1"/>
        <n v="15.895069380544387" u="1"/>
        <n v="16.034694374205571" u="1"/>
        <n v="16.244131864697348" u="1"/>
        <n v="16.593194348850307" u="1"/>
        <n v="16.872444336172677" u="1"/>
        <n v="17.54655761398682" u="1"/>
        <n v="17.686182607648004" u="1"/>
        <n v="18.942807550598662" u="1"/>
        <n v="19.082432544259845" u="1"/>
        <n v="19.431495028412801" u="1"/>
        <n v="16.150307677374975" u="1"/>
        <n v="16.289932671036162" u="1"/>
        <n v="15.312557715407875" u="1"/>
        <n v="15.103120224916097" u="1"/>
        <n v="15.24274521857728" u="1"/>
        <n v="15.591807702730243" u="1"/>
        <n v="11.821932873878273" u="1"/>
        <n v="13.148370313659523" u="1"/>
        <n v="13.287995307320706" u="1"/>
        <n v="13.637057791473666" u="1"/>
        <n v="14.125745269287808" u="1"/>
        <n v="14.265370262948993" u="1"/>
        <n v="14.614432747101953" u="1"/>
        <n v="15.521995205899648" u="1"/>
        <n v="15.661620199560833" u="1"/>
        <n v="16.010682683713792" u="1"/>
        <n v="14.335182759779586" u="1"/>
        <n v="14.47480775344077" u="1"/>
        <n v="14.823870237593729" u="1"/>
        <n v="15.731432696391428" u="1"/>
        <n v="15.871057690052611" u="1"/>
        <n v="16.220120174205572" u="1"/>
        <n v="16.499370161527942" u="1"/>
        <n v="16.988057639342085" u="1"/>
        <n v="13.218182810490113" u="1"/>
        <n v="13.357807804151298" u="1"/>
        <n v="13.706870288304257" u="1"/>
        <n v="13.776682785134849" u="1"/>
        <n v="13.916307778796034" u="1"/>
        <n v="13.986120275626625" u="1"/>
        <n v="14.404995256610176" u="1"/>
        <n v="14.754057740763137" u="1"/>
        <n v="13.07855781682893" u="1"/>
        <n v="17.057870136172678" u="1"/>
        <n v="23.06174486360359" u="1"/>
        <n v="15.801245193222018" u="1"/>
        <n v="18.803182556937475" u="1"/>
        <n v="18.454120072784516" u="1"/>
        <n v="20.54849497770228" u="1"/>
        <n v="25.016494774860163" u="1"/>
        <n v="23.969307322401285" u="1"/>
        <n v="23.620244838248325" u="1"/>
        <n v="20.199432493549317" u="1"/>
        <n v="21.944744914314114" u="1"/>
        <n v="19.501307525243394" u="1"/>
        <n v="19.850370009396357" u="1"/>
        <n v="19.361682531582215" u="1"/>
        <n v="12.821864369382903" u="1"/>
        <n v="12.608688263086602" u="1"/>
        <n v="11.827042540000171" u="1"/>
        <n v="12.537629560987837" u="1"/>
        <n v="10.121633689629775" u="1"/>
        <n v="9.8160812706050802" u="1"/>
        <n v="13.084781567148339" u="1"/>
        <n v="17.965432594970373" u="1"/>
        <n v="18.314495079123329" u="1"/>
        <n v="18.663557563276292" u="1"/>
        <n v="19.222057537921028" u="1"/>
        <n v="20.05980749988813" u="1"/>
        <n v="20.757932468194053" u="1"/>
        <n v="21.316432442838789" u="1"/>
        <n v="16.080495180544389" u="1"/>
        <n v="16.429557664697349" u="1"/>
        <n v="17.127682633003268" u="1"/>
        <n v="16.848432645680898" u="1"/>
        <n v="17.406932620325634" u="1"/>
        <n v="17.755995104478593" u="1"/>
        <n v="18.105057588631556" u="1"/>
        <n v="17.197495129833861" u="1"/>
        <n v="17.89562009813978" u="1"/>
        <n v="18.244682582292743" u="1"/>
        <n v="16.359745167866755" u="1"/>
        <n v="21.246619946008195" u="1"/>
        <n v="9.6577454721299194" u="1"/>
        <n v="19.78055751256576" u="1"/>
        <n v="14.384552244804423" u="1"/>
        <n v="14.105384614678766" u="1"/>
        <n v="13.094177421112489" u="1"/>
        <n v="10.83222071061744" u="1"/>
        <n v="17.338406523495046" u="1"/>
        <n v="16.77990654885031" u="1"/>
        <n v="20.479968880871684" u="1"/>
        <n v="26.414031111472006" u="1"/>
        <n v="18.036531491800961" u="1"/>
        <n v="18.5950314664457" u="1"/>
        <n v="8.8212819101628153" u="1"/>
        <n v="9.022715503824001" u="1"/>
        <n v="16.919531542511493" u="1"/>
        <n v="20.410156384041095" u="1"/>
        <n v="12.4515317453536" u="1"/>
        <n v="12.73078173267597" u="1"/>
        <n v="13.498719197812481" u="1"/>
        <n v="14.545906650271361" u="1"/>
        <n v="16.640281555189123" u="1"/>
        <n v="13.428906700981889" u="1"/>
        <n v="12.00026942505057" u="1"/>
        <n v="13.106323577777967" u="1"/>
        <n v="10.701990288933841" u="1"/>
        <n v="12.040443046296469" u="1"/>
        <n v="10.788542231341621" u="1"/>
        <n v="11.685149535802637" u="1"/>
        <n v="12.130097338662242" u="1"/>
        <n v="11.18773862111127" u="1"/>
        <n v="10.442334461710493" u="1"/>
        <n v="10.619269004321138" u="1"/>
        <n v="7.9900970266667821" u="1"/>
        <n v="7.4995684198459074" u="1"/>
        <n v="10.961646116157187" u="1"/>
        <n v="18.791019745679289" u="1"/>
        <n v="10.26923057689493" u="1"/>
        <n v="17.193385969517493" u="1"/>
        <n v="138.88022629259464" u="1"/>
        <n v="8.1054320167003819" u="1"/>
        <n v="15.128418315407874" u="1"/>
        <n v="14.709543334424319" u="1"/>
        <n v="14.779355831254911" u="1"/>
        <n v="14.849168328085504" u="1"/>
        <n v="14.988793321746691" u="1"/>
        <n v="15.268043309069059" u="1"/>
        <n v="15.477480799560832" u="1"/>
        <n v="15.826543283713791" u="1"/>
        <n v="14.151043359779583" u="1"/>
        <n v="14.290668353440768" u="1"/>
        <n v="14.500105843932543" u="1"/>
        <n v="12.824605919998337" u="1"/>
        <n v="12.964230913659522" u="1"/>
        <n v="13.173668404151297" u="1"/>
        <n v="13.522730888304254" u="1"/>
        <n v="12.056668454861825" u="1"/>
        <n v="12.196293448523008" u="1"/>
        <n v="12.405730939014783" u="1"/>
        <n v="12.754793423167744" u="1"/>
        <n v="12.266105945353599" u="1"/>
        <n v="12.615168429506561" u="1"/>
        <n v="12.684980926337154" u="1"/>
        <n v="13.034043410490112" u="1"/>
        <n v="13.383105894643071" u="1"/>
        <n v="14.918980824916096" u="1"/>
        <n v="15.896355780544384" u="1"/>
        <n v="16.035980774205573" u="1"/>
        <n v="16.245418264697346" u="1"/>
        <n v="16.594480748850309" u="1"/>
        <n v="16.873730736172675" u="1"/>
        <n v="17.547844013986818" u="1"/>
        <n v="17.687469007648001" u="1"/>
        <n v="18.944093950598663" u="1"/>
        <n v="19.083718944259843" u="1"/>
        <n v="19.432781428412802" u="1"/>
        <n v="16.151594077374977" u="1"/>
        <n v="16.291219071036164" u="1"/>
        <n v="15.313844115407875" u="1"/>
        <n v="15.104406624916097" u="1"/>
        <n v="15.24403161857728" u="1"/>
        <n v="15.593094102730243" u="1"/>
        <n v="11.823219273878273" u="1"/>
        <n v="13.149656713659523" u="1"/>
        <n v="13.289281707320706" u="1"/>
        <n v="13.638344191473665" u="1"/>
        <n v="14.127031669287808" u="1"/>
        <n v="14.266656662948993" u="1"/>
        <n v="14.615719147101954" u="1"/>
        <n v="15.523281605899648" u="1"/>
        <n v="15.662906599560833" u="1"/>
        <n v="16.011969083713794" u="1"/>
        <n v="14.336469159779584" u="1"/>
        <n v="14.476094153440769" u="1"/>
        <n v="14.825156637593729" u="1"/>
        <n v="15.732719096391428" u="1"/>
        <n v="15.872344090052611" u="1"/>
        <n v="16.221406574205574" u="1"/>
        <n v="16.50065656152794" u="1"/>
        <n v="16.989344039342082" u="1"/>
        <n v="13.219469210490113" u="1"/>
        <n v="13.359094204151297" u="1"/>
        <n v="13.708156688304255" u="1"/>
        <n v="13.777969185134848" u="1"/>
        <n v="13.917594178796033" u="1"/>
        <n v="13.987406675626625" u="1"/>
        <n v="14.406281656610176" u="1"/>
        <n v="14.755344140763137" u="1"/>
        <n v="13.07984421682893" u="1"/>
        <n v="17.059156536172676" u="1"/>
        <n v="23.063031263603591" u="1"/>
        <n v="15.802531593222019" u="1"/>
        <n v="18.804468956937477" u="1"/>
        <n v="18.455406472784517" u="1"/>
        <n v="20.549781377702281" u="1"/>
        <n v="25.017781174860165" u="1"/>
        <n v="23.970593722401286" u="1"/>
        <n v="23.621531238248327" u="1"/>
        <n v="20.200718893549318" u="1"/>
        <n v="21.946031314314116" u="1"/>
        <n v="19.502593925243396" u="1"/>
        <n v="19.851656409396359" u="1"/>
        <n v="19.362968931582216" u="1"/>
        <n v="10.399058490506603" u="1"/>
        <n v="12.822088769382901" u="1"/>
        <n v="12.608912663086601" u="1"/>
        <n v="9.793194893652128" u="1"/>
        <n v="11.82726694000017" u="1"/>
        <n v="12.865788849128391" u="1"/>
        <n v="12.537853960987835" u="1"/>
        <n v="10.355782519302712" u="1"/>
        <n v="10.121858089629773" u="1"/>
        <n v="9.2306072680015472" u="1"/>
        <n v="9.8163056706050789" u="1"/>
        <n v="12.346477194681698" u="1"/>
        <n v="13.085005967148337" u="1"/>
        <n v="10.615438346526059" u="1"/>
        <n v="11.567509713011662" u="1"/>
        <n v="17.966718994970371" u="1"/>
        <n v="18.315781479123331" u="1"/>
        <n v="18.664843963276294" u="1"/>
        <n v="19.22334393792103" u="1"/>
        <n v="20.061093899888132" u="1"/>
        <n v="20.759218868194054" u="1"/>
        <n v="21.31771884283879" u="1"/>
        <n v="16.081781580544387" u="1"/>
        <n v="16.430844064697347" u="1"/>
        <n v="17.128969033003266" u="1"/>
        <n v="16.849719045680899" u="1"/>
        <n v="17.408219020325635" u="1"/>
        <n v="17.757281504478595" u="1"/>
        <n v="18.106343988631554" u="1"/>
        <n v="17.198781529833859" u="1"/>
        <n v="17.896906498139778" u="1"/>
        <n v="18.245968982292741" u="1"/>
        <n v="16.361031567866757" u="1"/>
        <n v="21.247906346008197" u="1"/>
        <n v="9.6590318721299209" u="1"/>
        <n v="19.781843912565762" u="1"/>
        <n v="14.385203911471089" u="1"/>
        <n v="14.106036281345432" u="1"/>
        <n v="13.094829087779155" u="1"/>
        <n v="10.83244511061744" u="1"/>
        <n v="17.572219115751555" u="1"/>
        <n v="17.00608444421681" u="1"/>
        <n v="20.756726643134495" u="1"/>
        <n v="26.771907528191157" u="1"/>
        <n v="18.279887455169984" u="1"/>
        <n v="18.846022126704732" u="1"/>
        <n v="8.9386653748466962" u="1"/>
        <n v="9.1428525665399061" u="1"/>
        <n v="17.147618112100499" u="1"/>
        <n v="20.685959809192653" u="1"/>
        <n v="12.618540739822537" u="1"/>
        <n v="12.901608075589911" u="1"/>
        <n v="13.680043248950183" u="1"/>
        <n v="14.741545758077828" u="1"/>
        <n v="16.864550776333122" u="1"/>
        <n v="13.609276415008338" u="1"/>
        <n v="12.204288413195632" u="1"/>
        <n v="13.281170671384347" u="1"/>
        <n v="10.883340500618342" u="1"/>
        <n v="12.200719548768985" u="1"/>
        <n v="10.971403694790158" u="1"/>
        <n v="11.840569174563864" u="1"/>
        <n v="12.336383204453364" u="1"/>
        <n v="11.336358650676695" u="1"/>
        <n v="10.619150918102882" u="1"/>
        <n v="10.760118051948501" u="1"/>
        <n v="8.0950052828306074" u="1"/>
        <n v="7.6250023162610203" u="1"/>
        <n v="11.1475300831338" u="1"/>
        <n v="19.043576658666282" u="1"/>
        <n v="10.443024529759244" u="1"/>
        <n v="17.488080063504807" u="1"/>
        <n v="140.77440313999708" u="1"/>
        <n v="8.2414446754637556" u="1"/>
        <n v="15.332020360009533" u="1"/>
        <n v="14.907419356358474" u="1"/>
        <n v="14.978186190300317" u="1"/>
        <n v="15.048953024242161" u="1"/>
        <n v="15.190486692125846" u="1"/>
        <n v="15.473554027893218" u="1"/>
        <n v="15.685854529718748" u="1"/>
        <n v="16.039688699427963" u="1"/>
        <n v="14.34128468482373" u="1"/>
        <n v="14.482818352707415" u="1"/>
        <n v="14.695118854532945" u="1"/>
        <n v="12.996714839928712" u="1"/>
        <n v="13.138248507812397" u="1"/>
        <n v="13.350549009637927" u="1"/>
        <n v="13.704383179347142" u="1"/>
        <n v="12.218279666568437" u="1"/>
        <n v="12.359813334452124" u="1"/>
        <n v="12.572113836277653" u="1"/>
        <n v="12.925948005986868" u="1"/>
        <n v="12.430580168393966" u="1"/>
        <n v="12.784414338103181" u="1"/>
        <n v="12.855181172045025" u="1"/>
        <n v="13.20901534175424" u="1"/>
        <n v="13.562849511463455" u="1"/>
        <n v="15.119719858184002" u="1"/>
        <n v="16.110455533369805" u="1"/>
        <n v="16.251989201253494" u="1"/>
        <n v="16.464289703079022" u="1"/>
        <n v="16.818123872788238" u="1"/>
        <n v="17.101191208555612" u="1"/>
        <n v="17.784519617577082" u="1"/>
        <n v="17.926053285460767" u="1"/>
        <n v="19.199856296413948" u="1"/>
        <n v="19.341389964297633" u="1"/>
        <n v="19.695224134006846" u="1"/>
        <n v="16.36918293874022" u="1"/>
        <n v="16.510716606623905" u="1"/>
        <n v="15.519980931438104" u="1"/>
        <n v="15.307680429612573" u="1"/>
        <n v="15.44921409749626" u="1"/>
        <n v="15.803048267205476" u="1"/>
        <n v="11.981639234345948" u="1"/>
        <n v="13.326209079240968" u="1"/>
        <n v="13.467742747124655" u="1"/>
        <n v="13.82157691683387" u="1"/>
        <n v="14.316944754426769" u="1"/>
        <n v="14.458478422310456" u="1"/>
        <n v="14.812312592019673" u="1"/>
        <n v="15.732281433263632" u="1"/>
        <n v="15.873815101147319" u="1"/>
        <n v="16.227649270856535" u="1"/>
        <n v="14.529245256252301" u="1"/>
        <n v="14.670778924135986" u="1"/>
        <n v="15.0246130938452" u="1"/>
        <n v="15.944581935089163" u="1"/>
        <n v="16.08611560297285" u="1"/>
        <n v="16.439949772682066" u="1"/>
        <n v="16.723017108449437" u="1"/>
        <n v="17.218384946042338" u="1"/>
        <n v="13.396975913182811" u="1"/>
        <n v="13.538509581066497" u="1"/>
        <n v="13.892343750775712" u="1"/>
        <n v="13.963110584717555" u="1"/>
        <n v="14.104644252601242" u="1"/>
        <n v="14.175411086543084" u="1"/>
        <n v="14.600012090194143" u="1"/>
        <n v="14.95384625990336" u="1"/>
        <n v="13.255442245299124" u="1"/>
        <n v="17.289151779984184" u="1"/>
        <n v="23.375099498982689" u="1"/>
        <n v="16.015348769031004" u="1"/>
        <n v="19.058322628530259" u="1"/>
        <n v="18.704488458821046" u="1"/>
        <n v="20.827493477076342" u="1"/>
        <n v="25.356570849354295" u="1"/>
        <n v="24.295068340226646" u="1"/>
        <n v="23.941234170517433" u="1"/>
        <n v="20.473659307367122" u="1"/>
        <n v="22.242830155913197" u="1"/>
        <n v="19.765990967948689" u="1"/>
        <n v="20.119825137657909" u="1"/>
        <n v="19.624457300065011" u="1"/>
        <n v="10.575119321016972" u="1"/>
        <n v="12.993050372020249" u="1"/>
        <n v="12.776960147497178" u="1"/>
        <n v="9.9586769618142341" u="1"/>
        <n v="11.984629324245914" u="1"/>
        <n v="13.084920354913828" u="1"/>
        <n v="12.704930072656152" u="1"/>
        <n v="10.531087723931062" u="1"/>
        <n v="10.25590752806133" u="1"/>
        <n v="9.3862661996974097" u="1"/>
        <n v="9.9461782062449284" u="1"/>
        <n v="12.556541189882912" u="1"/>
        <n v="13.259561648932038" u="1"/>
        <n v="10.795277306446522" u="1"/>
        <n v="11.763972442336536" u="1"/>
        <n v="18.209120621228145" u="1"/>
        <n v="18.562954790937358" u="1"/>
        <n v="18.916788960646574" u="1"/>
        <n v="19.482923632181322" u="1"/>
        <n v="20.332125639483433" u="1"/>
        <n v="21.039793978901866" u="1"/>
        <n v="21.60592865043661" u="1"/>
        <n v="16.298416104798378" u="1"/>
        <n v="16.652250274507594" u="1"/>
        <n v="17.359918613926023" u="1"/>
        <n v="17.076851278158653" u="1"/>
        <n v="17.642985949693397" u="1"/>
        <n v="17.99682011940261" u="1"/>
        <n v="18.35065428911183" u="1"/>
        <n v="17.430685447867869" u="1"/>
        <n v="18.138353787286299" u="1"/>
        <n v="18.492187956995515" u="1"/>
        <n v="16.581483440565751" u="1"/>
        <n v="21.535161816494764" u="1"/>
        <n v="9.7878673821488142" u="1"/>
        <n v="20.049058303716063" u="1"/>
        <n v="14.697102216659612" u="1"/>
        <n v="14.411549043434094" u="1"/>
        <n v="13.377211993750562" u="1"/>
        <n v="10.976208276471572" u="1"/>
        <n v="17.573913515751556" u="1"/>
        <n v="17.007778844216812" u="1"/>
        <n v="20.758421043134494" u="1"/>
        <n v="26.773601928191155" u="1"/>
        <n v="18.281581855169982" u="1"/>
        <n v="18.84771652670473" u="1"/>
        <n v="8.9403597748466979" u="1"/>
        <n v="9.144546966539906" u="1"/>
        <n v="17.149312512100497" u="1"/>
        <n v="20.687654209192651" u="1"/>
        <n v="12.620235139822537" u="1"/>
        <n v="12.903302475589911" u="1"/>
        <n v="13.681737648950183" u="1"/>
        <n v="14.743240158077828" u="1"/>
        <n v="16.866245176333123" u="1"/>
        <n v="13.610970815008338" u="1"/>
        <n v="12.206888813195633" u="1"/>
        <n v="13.283771071384347" u="1"/>
        <n v="10.885940900618342" u="1"/>
        <n v="12.203319948768986" u="1"/>
        <n v="10.974004094790159" u="1"/>
        <n v="11.843169574563865" u="1"/>
        <n v="12.338983604453365" u="1"/>
        <n v="11.338959050676694" u="1"/>
        <n v="10.621751318102882" u="1"/>
        <n v="10.762718451948501" u="1"/>
        <n v="8.0976056828306078" u="1"/>
        <n v="7.6276027162610198" u="1"/>
        <n v="11.1501304831338" u="1"/>
        <n v="19.046177058666284" u="1"/>
        <n v="10.445624929759243" u="1"/>
        <n v="17.490680463504805" u="1"/>
        <n v="140.77700353999708" u="1"/>
        <n v="8.2440450754637542" u="1"/>
        <n v="15.333714760009533" u="1"/>
        <n v="14.909113756358474" u="1"/>
        <n v="14.979880590300317" u="1"/>
        <n v="15.050647424242161" u="1"/>
        <n v="15.192181092125846" u="1"/>
        <n v="15.475248427893218" u="1"/>
        <n v="15.687548929718748" u="1"/>
        <n v="16.041383099427961" u="1"/>
        <n v="14.34297908482373" u="1"/>
        <n v="14.484512752707415" u="1"/>
        <n v="14.696813254532945" u="1"/>
        <n v="12.998409239928712" u="1"/>
        <n v="13.139942907812397" u="1"/>
        <n v="13.352243409637927" u="1"/>
        <n v="13.706077579347141" u="1"/>
        <n v="12.219974066568437" u="1"/>
        <n v="12.361507734452124" u="1"/>
        <n v="12.573808236277653" u="1"/>
        <n v="12.927642405986868" u="1"/>
        <n v="12.432274568393966" u="1"/>
        <n v="12.786108738103181" u="1"/>
        <n v="12.856875572045025" u="1"/>
        <n v="13.21070974175424" u="1"/>
        <n v="13.564543911463455" u="1"/>
        <n v="15.121414258184002" u="1"/>
        <n v="16.112149933369807" u="1"/>
        <n v="16.253683601253492" u="1"/>
        <n v="16.46598410307902" u="1"/>
        <n v="16.81981827278824" u="1"/>
        <n v="17.10288560855561" u="1"/>
        <n v="17.78621401757708" u="1"/>
        <n v="17.927747685460769" u="1"/>
        <n v="19.201550696413946" u="1"/>
        <n v="19.343084364297631" u="1"/>
        <n v="19.696918534006844" u="1"/>
        <n v="16.370877338740222" u="1"/>
        <n v="16.512411006623907" u="1"/>
        <n v="15.521675331438104" u="1"/>
        <n v="15.309374829612572" u="1"/>
        <n v="15.450908497496259" u="1"/>
        <n v="15.804742667205476" u="1"/>
        <n v="11.983333634345948" u="1"/>
        <n v="13.327903479240968" u="1"/>
        <n v="13.469437147124655" u="1"/>
        <n v="13.823271316833869" u="1"/>
        <n v="14.318639154426769" u="1"/>
        <n v="14.460172822310456" u="1"/>
        <n v="14.814006992019673" u="1"/>
        <n v="15.733975833263631" u="1"/>
        <n v="15.875509501147318" u="1"/>
        <n v="16.229343670856533" u="1"/>
        <n v="14.530939656252301" u="1"/>
        <n v="14.672473324135986" u="1"/>
        <n v="15.0263074938452" u="1"/>
        <n v="15.946276335089163" u="1"/>
        <n v="16.087810002972851" u="1"/>
        <n v="16.441644172682064" u="1"/>
        <n v="16.724711508449438" u="1"/>
        <n v="17.220079346042336" u="1"/>
        <n v="13.39867031318281" u="1"/>
        <n v="13.540203981066497" u="1"/>
        <n v="13.894038150775712" u="1"/>
        <n v="13.964804984717555" u="1"/>
        <n v="14.106338652601242" u="1"/>
        <n v="14.177105486543084" u="1"/>
        <n v="14.601706490194141" u="1"/>
        <n v="14.955540659903358" u="1"/>
        <n v="13.257136645299125" u="1"/>
        <n v="17.290846179984182" u="1"/>
        <n v="23.376793898982687" u="1"/>
        <n v="16.017043169031005" u="1"/>
        <n v="19.060017028530257" u="1"/>
        <n v="18.706182858821045" u="1"/>
        <n v="20.82918787707634" u="1"/>
        <n v="25.358265249354293" u="1"/>
        <n v="24.296762740226644" u="1"/>
        <n v="23.942928570517431" u="1"/>
        <n v="20.47535370736712" u="1"/>
        <n v="22.244524555913195" u="1"/>
        <n v="19.767685367948687" u="1"/>
        <n v="20.121519537657907" u="1"/>
        <n v="19.626151700065009" u="1"/>
        <n v="10.577719721016972" u="1"/>
        <n v="12.99565077202025" u="1"/>
        <n v="12.779560547497178" u="1"/>
        <n v="9.9612773618142345" u="1"/>
        <n v="11.987229724245914" u="1"/>
        <n v="13.087520754913829" u="1"/>
        <n v="12.707530472656153" u="1"/>
        <n v="10.533688123931062" u="1"/>
        <n v="10.258507928061331" u="1"/>
        <n v="9.3888665996974101" u="1"/>
        <n v="9.9487786062449288" u="1"/>
        <n v="12.559141589882913" u="1"/>
        <n v="13.262162048932039" u="1"/>
        <n v="10.797877706446522" u="1"/>
        <n v="11.766572842336537" u="1"/>
        <n v="18.210815021228143" u="1"/>
        <n v="18.564649190937356" u="1"/>
        <n v="18.918483360646572" u="1"/>
        <n v="19.48461803218132" u="1"/>
        <n v="20.333820039483431" u="1"/>
        <n v="21.041488378901864" u="1"/>
        <n v="21.607623050436608" u="1"/>
        <n v="16.300110504798379" u="1"/>
        <n v="16.653944674507592" u="1"/>
        <n v="17.361613013926025" u="1"/>
        <n v="17.078545678158651" u="1"/>
        <n v="17.644680349693395" u="1"/>
        <n v="17.998514519402612" u="1"/>
        <n v="18.352348689111828" u="1"/>
        <n v="17.432379847867871" u="1"/>
        <n v="18.140048187286297" u="1"/>
        <n v="18.493882356995513" u="1"/>
        <n v="16.58317784056575" u="1"/>
        <n v="21.536856216494762" u="1"/>
        <n v="9.7895617821488141" u="1"/>
        <n v="20.050752703716061" u="1"/>
        <n v="14.70465388332628" u="1"/>
        <n v="14.419100710100762" u="1"/>
        <n v="13.38476366041723" u="1"/>
        <n v="17.794645689324177" u="1"/>
        <n v="17.14737791646624" u="1"/>
        <n v="20.508581229032597" u="1"/>
        <n v="25.874697303503716" u="1"/>
        <n v="18.421180927419414" u="1"/>
        <n v="17.648606106942431" u="1"/>
        <n v="18.816936086175453" u="1"/>
        <n v="10.386201778399526" u="1"/>
        <n v="9.7359574875155133" u="1"/>
        <n v="16.815805677991708" u="1"/>
        <n v="18.079278208229184" u="1"/>
        <n v="20.580938714885974" u="1"/>
        <n v="12.80598015418218" u="1"/>
        <n v="13.944145636800609" u="1"/>
        <n v="14.320425576575344" u="1"/>
        <n v="14.685585868467893" u="1"/>
        <n v="17.452742970133944" u="1"/>
        <n v="12.674088407593935" u="1"/>
        <n v="14.257772052765821" u="1"/>
        <n v="16.565191582753609" u="1"/>
        <n v="12.175883381388772" u="1"/>
        <n v="13.255812888247162" u="1"/>
        <n v="11.120656034560918" u="1"/>
        <n v="12.154025993611484" u="1"/>
        <n v="12.923366447740586" u="1"/>
        <n v="10.801853299489906" u="1"/>
        <n v="11.909049733242806" u="1"/>
        <n v="11.246720983485258" u="1"/>
        <n v="11.953276986941869" u="1"/>
        <n v="11.952539447316459" u="1"/>
        <n v="12.847225558625881" u="1"/>
        <n v="11.195668442812922" u="1"/>
        <n v="11.983563590597729" u="1"/>
        <n v="10.763161161814237" u="1"/>
        <n v="12.316010031104305" u="1"/>
        <n v="11.495385723216245" u="1"/>
        <n v="11.586901763217755" u="1"/>
        <n v="10.642267458827474" u="1"/>
        <n v="13.09382885075434" u="1"/>
        <n v="10.998166404241299" u="1"/>
        <n v="10.65597925705233" u="1"/>
        <n v="9.46417093342966" u="1"/>
        <n v="9.1022335933490659" u="1"/>
        <n v="12.059898253268473" u="1"/>
        <n v="11.322557591451305" u="1"/>
        <n v="18.734339674626771" u="1"/>
        <n v="11.68324909645094" u="1"/>
        <n v="11.730131851608441" u="1"/>
        <n v="11.422146640812825" u="1"/>
        <n v="16.518687932109692" u="1"/>
        <n v="16.84261094062024" u="1"/>
        <n v="124.0800752263345" u="1"/>
        <n v="9.3355147058538819" u="1"/>
        <n v="9.7276465049754925" u="1"/>
        <n v="15.489540452523599" u="1"/>
        <n v="15.154185860328052" u="1"/>
        <n v="14.778720636992334" u="1"/>
        <n v="14.857600781066498" u="1"/>
        <n v="15.023474379347142" u="1"/>
        <n v="15.282201784717556" u="1"/>
        <n v="15.486388976410765" u="1"/>
        <n v="15.84022314611998" u="1"/>
        <n v="14.247292163235898" u="1"/>
        <n v="14.388825831119584" u="1"/>
        <n v="14.617352953209751" u="1"/>
        <n v="14.963073812786648" u="1"/>
        <n v="14.352765194956049" u="1"/>
        <n v="14.518638793236693" u="1"/>
        <n v="14.471313370828005" u="1"/>
        <n v="14.82514754053722" u="1"/>
        <n v="14.320311954426771" u="1"/>
        <n v="14.283352799399434" u="1"/>
        <n v="14.511879921489601" u="1"/>
        <n v="14.946847192522009" u="1"/>
        <n v="13.47065402760323" u="1"/>
        <n v="14.293705746601734" u="1"/>
        <n v="13.516182412284312" u="1"/>
        <n v="13.707750379347141" u="1"/>
        <n v="12.635425683316718" u="1"/>
        <n v="13.109605066625495" u="1"/>
        <n v="13.256999087392472" u="1"/>
        <n v="13.813666010409667" u="1"/>
        <n v="13.172258590435019" u="1"/>
        <n v="13.68835896279062" u="1"/>
        <n v="14.520878430306674" u="1"/>
        <n v="14.148564683083789" u="1"/>
        <n v="14.23330518004124" u="1"/>
        <n v="14.023713554986166" u="1"/>
        <n v="14.539813927341767" u="1"/>
        <n v="15.427785447577875" u="1"/>
        <n v="15.512525944535327" u="1"/>
        <n v="15.741053066625495" u="1"/>
        <n v="16.013754135011517" u="1"/>
        <n v="16.795340784484626" u="1"/>
        <n v="16.636681977472495" u="1"/>
        <n v="16.865209099562666" u="1"/>
        <n v="17.121683547684054" u="1"/>
        <n v="18.338838892808528" u="1"/>
        <n v="17.637624153473617" u="1"/>
        <n v="16.071286058235522" u="1"/>
        <n v="15.554862977764643" u="1"/>
        <n v="15.42146126328182" u="1"/>
        <n v="15.484114787091345" u="1"/>
        <n v="15.674298766272127" u="1"/>
        <n v="16.056091168240833" u="1"/>
        <n v="16.244051739669406" u="1"/>
        <n v="16.557319358717024" u="1"/>
        <n v="15.053634787288452" u="1"/>
        <n v="15.047763528176887" u="1"/>
        <n v="15.36690240633607" u="1"/>
        <n v="17.917699779694189" u="1"/>
        <n v="18.107913308371792" u="1"/>
        <n v="18.518540649007242" u="1"/>
        <n v="19.373603009192653" u="1"/>
        <n v="19.539476607473294" u="1"/>
        <n v="19.917650707579465" u="1"/>
        <n v="17.585054064269102" u="1"/>
        <n v="17.750927662549746" u="1"/>
        <n v="18.104761832258962" u="1"/>
        <n v="16.478023170460371" u="1"/>
        <n v="16.067851749346346" u="1"/>
        <n v="16.770558254745293" u="1"/>
        <n v="16.37255013874022" u="1"/>
        <n v="16.538423737020864" u="1"/>
        <n v="16.916597837127039" u="1"/>
        <n v="15.190702416013012" u="1"/>
        <n v="15.392180730935765" u="1"/>
        <n v="15.558054329216409" u="1"/>
        <n v="15.911888498925626" u="1"/>
        <n v="15.538220313317513" u="1"/>
        <n v="15.128048892203488" u="1"/>
        <n v="15.822642087470115" u="1"/>
        <n v="12.479918352417423" u="1"/>
        <n v="13.710901855459973" u="1"/>
        <n v="13.901115384137576" u="1"/>
        <n v="14.068343420803448" u="1"/>
        <n v="14.173816452523598" u="1"/>
        <n v="12.561051453740616" u="1"/>
        <n v="13.792034956783166" u="1"/>
        <n v="13.982248485460769" u="1"/>
        <n v="13.751468406121569" u="1"/>
        <n v="14.669184290116497" u="1"/>
        <n v="14.8593978187941" u="1"/>
        <n v="14.994172614930696" u="1"/>
        <n v="14.596164498925624" u="1"/>
        <n v="14.762038097206268" u="1"/>
        <n v="15.140212197312442" u="1"/>
        <n v="15.808668424454504" u="1"/>
        <n v="15.974542022735148" u="1"/>
        <n v="16.328376192444367" u="1"/>
        <n v="14.889598102074347" u="1"/>
        <n v="14.868865567311648" u="1"/>
        <n v="15.222699737020863" u="1"/>
        <n v="16.077762097206271" u="1"/>
        <n v="16.267975625883874" u="1"/>
        <n v="16.467656903079021" u="1"/>
        <n v="16.758837548978715" u="1"/>
        <n v="16.924711147259359" u="1"/>
        <n v="17.302885247365531" u="1"/>
        <n v="13.887141721121965" u="1"/>
        <n v="14.05301531940261" u="1"/>
        <n v="14.406849489111826" u="1"/>
        <n v="14.534409493979904" u="1"/>
        <n v="14.489337028820247" u="1"/>
        <n v="14.843171198529461" u="1"/>
        <n v="14.194548987286296" u="1"/>
        <n v="14.384762515963898" u="1"/>
        <n v="14.592557103291366" u="1"/>
        <n v="14.883737749191058" u="1"/>
        <n v="15.049611347471702" u="1"/>
        <n v="12.969881756648464" u="1"/>
        <n v="13.323715926357679" u="1"/>
        <n v="14.052572720060233" u="1"/>
        <n v="12.953655136383825" u="1"/>
        <n v="13.283149375696082" u="1"/>
        <n v="14.263518783500535" u="1"/>
        <n v="16.838173612574305" u="1"/>
        <n v="22.33996300204582" u="1"/>
        <n v="14.900420288977124" u="1"/>
        <n v="14.001183982495862" u="1"/>
        <n v="15.823996525855341" u="1"/>
        <n v="18.534324669929507" u="1"/>
        <n v="18.261623601543484" u="1"/>
        <n v="20.246702347549352" u="1"/>
        <n v="18.696590872575893" u="1"/>
        <n v="18.423889804189869" u="1"/>
        <n v="20.125002695564564" u="1"/>
        <n v="24.17539477003568" u="1"/>
        <n v="23.341064944612974" u="1"/>
        <n v="23.044023945829995" u="1"/>
        <n v="20.014567829824923" u="1"/>
        <n v="21.613359165592296" u="1"/>
        <n v="18.810177214428361" u="1"/>
        <n v="18.537476146042341" u="1"/>
        <n v="18.41262501794472" u="1"/>
        <n v="18.115584019161737" u="1"/>
        <n v="21.288826760299525" u="1"/>
        <n v="19.10406673709851" u="1"/>
        <n v="19.433560976410767" u="1"/>
        <n v="19.035552860405701" u="1"/>
        <n v="11.726644639557863" u="1"/>
        <n v="13.829820306224528" u="1"/>
        <n v="12.437965317836243" u="1"/>
        <n v="14.027966440884864" u="1"/>
        <n v="12.747606067543369" u="1"/>
        <n v="14.44027203075588" u="1"/>
        <n v="12.756884814030485" u="1"/>
        <n v="14.934702009897938" u="1"/>
        <n v="10.806851479722196" u="1"/>
        <n v="13.195432303004582" u="1"/>
        <n v="11.280217207766487" u="1"/>
        <n v="14.073321446446824" u="1"/>
        <n v="10.116455500622076" u="1"/>
        <n v="11.878678500622076" u="1"/>
        <n v="12.854831315366647" u="1"/>
        <n v="12.418982770805435" u="1"/>
        <n v="11.772464172509505" u="1"/>
        <n v="10.537008759112211" u="1"/>
        <n v="10.612405667258345" u="1"/>
        <n v="10.039111854350306" u="1"/>
        <n v="10.851764143448824" u="1"/>
        <n v="12.758394949588402" u="1"/>
        <n v="12.742625476782155" u="1"/>
        <n v="9.5412149495884027" u="1"/>
        <n v="10.342995514877394" u="1"/>
        <n v="12.929098282921734" u="1"/>
        <n v="10.823634490354323" u="1"/>
        <n v="13.045020680830513" u="1"/>
        <n v="12.29879780673126" u="1"/>
        <n v="13.196927957020987" u="1"/>
        <n v="10.766807330540784" u="1"/>
        <n v="11.053433061782895" u="1"/>
        <n v="11.595782114195188" u="1"/>
        <n v="12.346102273199673" u="1"/>
        <n v="10.757058933041433" u="1"/>
        <n v="16.975004435442816" u="1"/>
        <n v="17.665203388674808" u="1"/>
        <n v="17.998309498995294" u="1"/>
        <n v="19.388931110593489" u="1"/>
        <n v="17.342016523990761" u="1"/>
        <n v="17.655284143038379" u="1"/>
        <n v="17.918955533903844" u="1"/>
        <n v="19.21372337529451" u="1"/>
        <n v="18.085959946723079" u="1"/>
        <n v="32.285929424689236" u="1"/>
        <n v="17.670974392993074" u="1"/>
        <n v="18.172202583469264" u="1"/>
        <n v="19.670201408633254" u="1"/>
        <n v="19.999695647945515" u="1"/>
        <n v="20.337303197390089" u="1"/>
        <n v="20.879097938527877" u="1"/>
        <n v="15.8483364562523" u="1"/>
        <n v="16.177830695564559" u="1"/>
        <n v="16.515438245009136" u="1"/>
        <n v="17.057232986146925" u="1"/>
        <n v="12.840967313395158" u="1"/>
        <n v="15.864563076516937" u="1"/>
        <n v="16.202170625961514" u="1"/>
        <n v="16.556004795670731" u="1"/>
        <n v="16.821946992309666" u="1"/>
        <n v="12.703041041145729" u="1"/>
        <n v="15.73475011439983" u="1"/>
        <n v="16.088584284109047" u="1"/>
        <n v="16.231472390377959" u="1"/>
        <n v="16.748927201118793" u="1"/>
        <n v="12.638134560087176" u="1"/>
        <n v="15.623416729796391" u="1"/>
        <n v="15.879891177917774" u="1"/>
        <n v="16.209385417230031" u="1"/>
        <n v="16.734953538103181" u="1"/>
        <n v="15.647756660193348" u="1"/>
        <n v="15.92857103871169" u="1"/>
        <n v="16.258065278023949" u="1"/>
        <n v="16.783633398897098" u="1"/>
        <n v="16.510932330511075" u="1"/>
        <n v="16.79850558077651" u="1"/>
        <n v="17.127999820088764" u="1"/>
        <n v="17.653567940961914" u="1"/>
        <n v="16.754331634480653" u="1"/>
        <n v="16.928318542893617" u="1"/>
        <n v="17.257812782205875" u="1"/>
        <n v="17.783380903079021" u="1"/>
        <n v="16.445569929931093" u="1"/>
        <n v="16.79129078950799" u="1"/>
        <n v="17.104558408555608" u="1"/>
        <n v="17.402953845723818" u="1"/>
        <n v="16.226510556358473" u="1"/>
        <n v="16.547891485538411" u="1"/>
        <n v="16.869272414718349" u="1"/>
        <n v="17.386727225459179" u="1"/>
        <n v="16.291417037417027" u="1"/>
        <n v="16.629024586861604" u="1"/>
        <n v="16.98285875657082" u="1"/>
        <n v="17.289367503871347" u="1"/>
        <n v="16.428444790802654" u="1"/>
        <n v="16.766052340247231" u="1"/>
        <n v="17.119886509956444" u="1"/>
        <n v="17.913193865196128" u="1"/>
        <n v="17.678806390222672" u="1"/>
        <n v="18.032640559931888" u="1"/>
        <n v="18.451381210699662" u="1"/>
        <n v="18.968836021440492" u="1"/>
        <n v="17.693678572102087" u="1"/>
        <n v="17.787886817577082" u="1"/>
        <n v="18.117381056889339" u="1"/>
        <n v="18.659175798027128" u="1"/>
        <n v="17.625620614930696" u="1"/>
        <n v="17.955114854242954" u="1"/>
        <n v="18.30894902395217" u="1"/>
        <n v="18.753384043502127" u="1"/>
        <n v="18.894917711385816" u="1"/>
        <n v="18.93548426204741" u="1"/>
        <n v="16.46315098858096" u="1"/>
        <n v="16.56411810580305" u="1"/>
        <n v="16.893612345115308" u="1"/>
        <n v="17.435407086253093" u="1"/>
        <n v="14.621858867707811" u="1"/>
        <n v="15.828502440353402" u="1"/>
        <n v="15.743761943395951" u="1"/>
        <n v="20.443232148631665" u="1"/>
        <n v="15.961024279240966" u="1"/>
        <n v="16.290518518553228" u="1"/>
        <n v="16.644352688262444" u="1"/>
        <n v="16.934634815298335" u="1"/>
        <n v="10.196900088764776" u="1"/>
        <n v="19.419587313395159" u="1"/>
        <n v="15.392252055093275" u="1"/>
        <n v="14.631675074518451" u="1"/>
        <n v="13.587343598451191" u="1"/>
        <n v="13.542001304164996" u="1"/>
        <n v="18.140178964793289" u="1"/>
        <n v="17.480172489516193" u="1"/>
        <n v="20.907526737699222" u="1"/>
        <n v="26.379251894973166" u="1"/>
        <n v="18.779044873884196" u="1"/>
        <n v="17.991265216788921" u="1"/>
        <n v="19.182588783153768" u="1"/>
        <n v="10.585931467891232" u="1"/>
        <n v="9.8913239420609678" u="1"/>
        <n v="17.110508714788242" u="1"/>
        <n v="18.38137964762312" u="1"/>
        <n v="20.937295106660866" u="1"/>
        <n v="13.021766896606422" u="1"/>
        <n v="14.164864647623119" u="1"/>
        <n v="14.554708325493094" u="1"/>
        <n v="14.938364623879147" u="1"/>
        <n v="17.74251373853221" u="1"/>
        <n v="12.894807418416445" u="1"/>
        <n v="14.490821734584001" u="1"/>
        <n v="16.85496235115188" u="1"/>
        <n v="12.316972266702678" u="1"/>
        <n v="13.495638587280382" u="1"/>
        <n v="11.251235423457613" u="1"/>
        <n v="12.387008044442599" u="1"/>
        <n v="13.159617422551579" u="1"/>
        <n v="10.92615841776356" u="1"/>
        <n v="12.126003470269103" u="1"/>
        <n v="11.364257223644019" u="1"/>
        <n v="12.182308150730341" u="1"/>
        <n v="12.077665199804811" u="1"/>
        <n v="13.09385028308621" u="1"/>
        <n v="11.327724130679742" u="1"/>
        <n v="12.201318558915215" u="1"/>
        <n v="10.875497788450923" u="1"/>
        <n v="12.537339723644019" u="1"/>
        <n v="11.701179012446211" u="1"/>
        <n v="11.808722395068004" u="1"/>
        <n v="10.753304141786847" u="1"/>
        <n v="13.345306908078962" u="1"/>
        <n v="11.113029991104042" u="1"/>
        <n v="10.848271652087286" u="1"/>
        <n v="9.6442146724844449" u="1"/>
        <n v="9.2183923872255491" u="1"/>
        <n v="12.208278738330289" u="1"/>
        <n v="11.42386752651624" u="1"/>
        <n v="19.096827103791576" u="1"/>
        <n v="11.824900727623588" u="1"/>
        <n v="11.87270616963742" u="1"/>
        <n v="11.56207896776864" u="1"/>
        <n v="16.704213788918899" u="1"/>
        <n v="17.037494921665658" u="1"/>
        <n v="126.51882673984746" u="1"/>
        <n v="9.4096439266331018" u="1"/>
        <n v="9.8017757257547125" u="1"/>
        <n v="15.789707573693399" u="1"/>
        <n v="15.447752958240066" u="1"/>
        <n v="15.064898305136049" u="1"/>
        <n v="15.145330868045626" u="1"/>
        <n v="15.314468979865023" u="1"/>
        <n v="15.578288329501628" u="1"/>
        <n v="15.786494074229386" u="1"/>
        <n v="16.147291958776052" u="1"/>
        <n v="14.523010930955202" u="1"/>
        <n v="14.667330084773871" u="1"/>
        <n v="14.900354787502355" u="1"/>
        <n v="15.252879686048782" u="1"/>
        <n v="14.630559748958358" u="1"/>
        <n v="14.799697860777755" u="1"/>
        <n v="14.751441039497985" u="1"/>
        <n v="15.112238924044657" u="1"/>
        <n v="14.597467804957386" u="1"/>
        <n v="14.559781266770715" u="1"/>
        <n v="14.792805969499199" u="1"/>
        <n v="15.236333714048296" u="1"/>
        <n v="13.731087989694855" u="1"/>
        <n v="14.570337967533908" u="1"/>
        <n v="13.777512406232297" u="1"/>
        <n v="13.972850570774114" u="1"/>
        <n v="12.879421741690484" u="1"/>
        <n v="13.362933321519103" u="1"/>
        <n v="13.513228164245163" u="1"/>
        <n v="14.080850698797899" u="1"/>
        <n v="13.426819912428195" u="1"/>
        <n v="13.953077516979715" u="1"/>
        <n v="14.801981575540704" u="1"/>
        <n v="14.422340421900699" u="1"/>
        <n v="14.508748673717669" u="1"/>
        <n v="14.295032132433047" u="1"/>
        <n v="14.821289736984568" u="1"/>
        <n v="15.726737185155466" u="1"/>
        <n v="15.813145436972434" u="1"/>
        <n v="16.046170139700923" u="1"/>
        <n v="16.324238164245163" u="1"/>
        <n v="17.121207009711842" u="1"/>
        <n v="16.95942568152153" u="1"/>
        <n v="17.192450384250016" u="1"/>
        <n v="17.453972436793773" u="1"/>
        <n v="18.632308862505496" u="1"/>
        <n v="17.931094123170585" u="1"/>
        <n v="16.333929350443313" u="1"/>
        <n v="15.810107867375033" u="1"/>
        <n v="15.677939219991776" u="1"/>
        <n v="15.741825810900869" u="1"/>
        <n v="15.934475924280783" u="1"/>
        <n v="16.32120059464776" u="1"/>
        <n v="16.512860367375033" u="1"/>
        <n v="16.832293321920485" u="1"/>
        <n v="15.299015140102304" u="1"/>
        <n v="15.295610015189876" u="1"/>
        <n v="15.618448094647757" u="1"/>
        <n v="18.265654849518619" u="1"/>
        <n v="18.459611919338741" u="1"/>
        <n v="18.878320705887109" u="1"/>
        <n v="19.750211317706508" u="1"/>
        <n v="19.919349429525901" u="1"/>
        <n v="20.304966272073298" u="1"/>
        <n v="17.926462423508667" u="1"/>
        <n v="18.095600535328064" u="1"/>
        <n v="18.456398419874731" u="1"/>
        <n v="16.797644353331215" u="1"/>
        <n v="16.379400459133382" u="1"/>
        <n v="17.095936741690487" u="1"/>
        <n v="16.690095535328062" u="1"/>
        <n v="16.859233647147459" u="1"/>
        <n v="17.244850489694855" u="1"/>
        <n v="15.484988186406108" u="1"/>
        <n v="15.690431741690482" u="1"/>
        <n v="15.859569853509878" u="1"/>
        <n v="16.220367738056549" u="1"/>
        <n v="15.839345489694852" u="1"/>
        <n v="15.421101595497015" u="1"/>
        <n v="16.129364892053879" u="1"/>
        <n v="12.720853912964182" u="1"/>
        <n v="13.976064070238122" u="1"/>
        <n v="14.170021140058248" u="1"/>
        <n v="14.340540346599333" u="1"/>
        <n v="14.448089164602488" u="1"/>
        <n v="12.80358377296661" u="1"/>
        <n v="14.058793930240549" u="1"/>
        <n v="14.252751000060675" u="1"/>
        <n v="14.017429000239337" u="1"/>
        <n v="14.953206202967822" u="1"/>
        <n v="15.147163272787944" u="1"/>
        <n v="15.284590535328061" u="1"/>
        <n v="14.878749328965638" u="1"/>
        <n v="15.047887440785031" u="1"/>
        <n v="15.433504283332431" u="1"/>
        <n v="16.115116217146245" u="1"/>
        <n v="16.284254328965641" u="1"/>
        <n v="16.645052213512308" u="1"/>
        <n v="15.177957919696066" u="1"/>
        <n v="15.156817353509879" u="1"/>
        <n v="15.517615238056548" u="1"/>
        <n v="16.389505849875945" u="1"/>
        <n v="16.583462919696068" u="1"/>
        <n v="16.787074070238123" u="1"/>
        <n v="17.083985363875701" u="1"/>
        <n v="17.253123475695098" u="1"/>
        <n v="17.63874031824249" u="1"/>
        <n v="14.155772465150612" u="1"/>
        <n v="14.324910576970007" u="1"/>
        <n v="14.685708461516676" u="1"/>
        <n v="14.815778940427707" u="1"/>
        <n v="14.769819416240791" u="1"/>
        <n v="15.130617300787458" u="1"/>
        <n v="14.469229730788673" u="1"/>
        <n v="14.663186800608798" u="1"/>
        <n v="14.875070937151095" u="1"/>
        <n v="15.171982230788672" u="1"/>
        <n v="15.341120342608068" u="1"/>
        <n v="13.220460154772656" u="1"/>
        <n v="13.581258039319325" u="1"/>
        <n v="14.324459266949377" u="1"/>
        <n v="13.20391418277217" u="1"/>
        <n v="13.539893109318111" u="1"/>
        <n v="14.539556902955688" u="1"/>
        <n v="17.164882819135808" u="1"/>
        <n v="22.774951441321026" u="1"/>
        <n v="15.18899309513969" u="1"/>
        <n v="14.27205916150454" u="1"/>
        <n v="16.130745986775569" u="1"/>
        <n v="18.894415367866966" u="1"/>
        <n v="18.616347343322726" u="1"/>
        <n v="20.640493888598609" u="1"/>
        <n v="19.05987508787182" u="1"/>
        <n v="18.78180706332758" u="1"/>
        <n v="20.516399098594967" u="1"/>
        <n v="24.646505846777998" u="1"/>
        <n v="23.795755801144789" u="1"/>
        <n v="23.49286881859982" u="1"/>
        <n v="20.403790794055581" u="1"/>
        <n v="22.034047510783822" u="1"/>
        <n v="19.175696891875219" u="1"/>
        <n v="18.897628867330976" u="1"/>
        <n v="18.770320577863327" u="1"/>
        <n v="18.467433595318358" u="1"/>
        <n v="21.703128070774113" u="1"/>
        <n v="19.475370374956174" u="1"/>
        <n v="19.811349301502116" u="1"/>
        <n v="19.405508095139695" u="1"/>
        <n v="11.822600797566521" u="1"/>
        <n v="14.046840115748338" u="1"/>
        <n v="12.533921475844901" u="1"/>
        <n v="14.244986250408674" u="1"/>
        <n v="12.843562225552027" u="1"/>
        <n v="14.65729184027969" u="1"/>
        <n v="12.852840972039143" u="1"/>
        <n v="15.151721819421747" u="1"/>
        <n v="10.902807637730854" u="1"/>
        <n v="13.408752911229689" u="1"/>
        <n v="11.376173365775145" u="1"/>
        <n v="14.286642054671931" u="1"/>
        <n v="10.206646052570127" u="1"/>
        <n v="12.078435370751945" u="1"/>
        <n v="12.974261726622059" u="1"/>
        <n v="12.631070311930976" u="1"/>
        <n v="11.96975490844024" u="1"/>
        <n v="10.646913618181699" u="1"/>
        <n v="10.815047504341404" u="1"/>
        <n v="10.143662936363517" u="1"/>
        <n v="10.97978704979595" u="1"/>
        <n v="12.892185890908973" u="1"/>
        <n v="12.987191595250495" u="1"/>
        <n v="9.6404122545453355" u="1"/>
        <n v="10.540335163432314" u="1"/>
        <n v="13.165410890908971" u="1"/>
        <n v="10.951103784587652" u="1"/>
        <n v="13.196376057314925" u="1"/>
        <n v="12.427646799999881" u="1"/>
        <n v="13.450435080042196" u="1"/>
        <n v="10.879183163636245" u="1"/>
        <n v="11.183373330042198" u="1"/>
        <n v="11.806570515723651" u="1"/>
        <n v="12.493960573374977" u="1"/>
        <n v="10.887663169296717" u="1"/>
        <n v="17.297056216364421" u="1"/>
        <n v="17.997473565696652" u="1"/>
        <n v="18.336958330494046" u="1"/>
        <n v="19.765841087335829" u="1"/>
        <n v="17.668014706025232" u="1"/>
        <n v="17.987447660570684" u="1"/>
        <n v="18.256751089486301" u="1"/>
        <n v="19.569916226836455" u="1"/>
        <n v="18.419957590472819" u="1"/>
        <n v="32.916661745927819" u="1"/>
        <n v="18.006103461337105" u="1"/>
        <n v="18.51719618860983" u="1"/>
        <n v="20.052646990230844" u="1"/>
        <n v="20.388625916776785" u="1"/>
        <n v="20.732877829322966" u="1"/>
        <n v="21.285335486596907" u="1"/>
        <n v="16.155564944776298" u="1"/>
        <n v="16.491543871322236" u="1"/>
        <n v="16.83579578386842" u="1"/>
        <n v="17.388253441142361" u="1"/>
        <n v="13.089008581139934" u="1"/>
        <n v="16.172110916776784" u="1"/>
        <n v="16.516362829322965" u="1"/>
        <n v="16.877160713869635" u="1"/>
        <n v="17.148336847135322" u="1"/>
        <n v="12.948367819135807" u="1"/>
        <n v="16.039743140772899" u="1"/>
        <n v="16.400541025319566" u="1"/>
        <n v="16.546241273859927" u="1"/>
        <n v="17.073879973133138" u="1"/>
        <n v="12.882183931133866" u="1"/>
        <n v="15.926218633862353" u="1"/>
        <n v="16.187740686406109" u="1"/>
        <n v="16.523719612952046" u="1"/>
        <n v="17.059631298225504" u="1"/>
        <n v="15.951037591863081" u="1"/>
        <n v="16.237378602407567" u="1"/>
        <n v="16.573357528953505" u="1"/>
        <n v="17.109269214226959" u="1"/>
        <n v="16.831201189682719" u="1"/>
        <n v="17.124434091505755" u="1"/>
        <n v="17.460413018051696" u="1"/>
        <n v="17.996324703325151" u="1"/>
        <n v="17.079390769690001" u="1"/>
        <n v="17.25680186750964" u="1"/>
        <n v="17.592780794055578" u="1"/>
        <n v="18.128692479329032" u="1"/>
        <n v="16.764552409330246" u="1"/>
        <n v="17.117077307876674" u="1"/>
        <n v="17.436510262422125" u="1"/>
        <n v="17.740778339688788" u="1"/>
        <n v="16.541181787323694" u="1"/>
        <n v="16.868887727869392" u="1"/>
        <n v="17.196593668415087" u="1"/>
        <n v="17.724232367688302" u="1"/>
        <n v="16.607365675325635" u="1"/>
        <n v="16.951617587871819" u="1"/>
        <n v="17.312415472418486" u="1"/>
        <n v="17.624956535685389" u="1"/>
        <n v="16.747090234958602" u="1"/>
        <n v="17.091342147504786" u="1"/>
        <n v="17.452140032051453" u="1"/>
        <n v="18.261060255332918" u="1"/>
        <n v="18.022059863697038" u="1"/>
        <n v="18.382857748243708" u="1"/>
        <n v="18.80983952079232" u="1"/>
        <n v="19.337478220065535" u="1"/>
        <n v="18.037224740975837" u="1"/>
        <n v="18.133287073514737" u="1"/>
        <n v="18.469266000060678" u="1"/>
        <n v="19.021723657334618" u="1"/>
        <n v="17.967827353509882" u="1"/>
        <n v="18.303806280055824" u="1"/>
        <n v="18.66460416460249" u="1"/>
        <n v="19.117785989873521" u="1"/>
        <n v="19.262105143692189" u="1"/>
        <n v="19.303470073693401" u="1"/>
        <n v="16.782479476052423" u="1"/>
        <n v="16.885433699869878" u="1"/>
        <n v="17.221412626415816" u="1"/>
        <n v="17.773870283689757" u="1"/>
        <n v="14.904949381688056" u="1"/>
        <n v="16.135340580961273" u="1"/>
        <n v="16.0489323291443" u="1"/>
        <n v="20.840891539676651" u="1"/>
        <n v="16.270470546408536" u="1"/>
        <n v="16.606449472954473" u="1"/>
        <n v="16.967247357501144" u="1"/>
        <n v="17.263242448767564" u="1"/>
        <n v="10.39290418277217" u="1"/>
        <n v="19.797100626594478" u="1"/>
        <n v="15.702439143083858" u="1"/>
        <n v="14.926442711062831" u="1"/>
        <n v="13.864081130189893" u="1"/>
        <n v="13.817761384389676" u="1"/>
        <n v="18.141138964793289" u="1"/>
        <n v="17.481132489516195" u="1"/>
        <n v="20.908486737699221" u="1"/>
        <n v="26.380211894973165" u="1"/>
        <n v="18.780004873884195" u="1"/>
        <n v="17.992225216788921" u="1"/>
        <n v="19.183548783153768" u="1"/>
        <n v="10.586891467891233" u="1"/>
        <n v="9.892283942060967" u="1"/>
        <n v="17.111468714788245" u="1"/>
        <n v="18.382339647623123" u="1"/>
        <n v="20.938255106660865" u="1"/>
        <n v="13.022726896606423" u="1"/>
        <n v="14.16582464762312" u="1"/>
        <n v="14.555668325493093" u="1"/>
        <n v="14.939324623879148" u="1"/>
        <n v="17.743473738532213" u="1"/>
        <n v="12.895767418416446" u="1"/>
        <n v="14.491781734584004" u="1"/>
        <n v="16.855922351151879" u="1"/>
        <n v="12.325385066702678" u="1"/>
        <n v="13.504051387280382" u="1"/>
        <n v="11.259648223457614" u="1"/>
        <n v="12.395420844442599" u="1"/>
        <n v="13.168030222551579" u="1"/>
        <n v="10.93457121776356" u="1"/>
        <n v="12.134416270269105" u="1"/>
        <n v="11.372670023644019" u="1"/>
        <n v="12.190720950730341" u="1"/>
        <n v="12.086077999804811" u="1"/>
        <n v="13.102263083086211" u="1"/>
        <n v="11.336136930679743" u="1"/>
        <n v="12.209731358915215" u="1"/>
        <n v="10.883910588450922" u="1"/>
        <n v="12.545752523644019" u="1"/>
        <n v="11.709591812446211" u="1"/>
        <n v="11.817135195068005" u="1"/>
        <n v="10.761716941786847" u="1"/>
        <n v="13.353719708078962" u="1"/>
        <n v="11.121442791104043" u="1"/>
        <n v="10.856684452087284" u="1"/>
        <n v="9.6526274724844452" u="1"/>
        <n v="9.2268051872255494" u="1"/>
        <n v="12.21669153833029" u="1"/>
        <n v="11.43228032651624" u="1"/>
        <n v="19.105239903791574" u="1"/>
        <n v="11.833313527623588" u="1"/>
        <n v="11.88111896963742" u="1"/>
        <n v="11.57049176776864" u="1"/>
        <n v="16.712626588918901" u="1"/>
        <n v="17.04590772166566" u="1"/>
        <n v="126.52723953984746" u="1"/>
        <n v="9.4180567266331003" u="1"/>
        <n v="9.810188525754711" u="1"/>
        <n v="15.790667573693399" u="1"/>
        <n v="15.448712958240067" u="1"/>
        <n v="15.06585830513605" u="1"/>
        <n v="15.146290868045629" u="1"/>
        <n v="15.315428979865024" u="1"/>
        <n v="15.579248329501629" u="1"/>
        <n v="15.787454074229387" u="1"/>
        <n v="16.148251958776054" u="1"/>
        <n v="14.523970930955203" u="1"/>
        <n v="14.668290084773872" u="1"/>
        <n v="14.901314787502356" u="1"/>
        <n v="15.253839686048783" u="1"/>
        <n v="14.631519748958357" u="1"/>
        <n v="14.800657860777754" u="1"/>
        <n v="14.752401039497986" u="1"/>
        <n v="15.113198924044656" u="1"/>
        <n v="14.598427804957387" u="1"/>
        <n v="14.560741266770716" u="1"/>
        <n v="14.793765969499201" u="1"/>
        <n v="15.237293714048297" u="1"/>
        <n v="13.732047989694856" u="1"/>
        <n v="14.571297967533908" u="1"/>
        <n v="13.7784724062323" u="1"/>
        <n v="13.973810570774114" u="1"/>
        <n v="12.880381741690485" u="1"/>
        <n v="13.363893321519104" u="1"/>
        <n v="13.514188164245164" u="1"/>
        <n v="14.081810698797899" u="1"/>
        <n v="13.427779912428196" u="1"/>
        <n v="13.954037516979717" u="1"/>
        <n v="14.802941575540704" u="1"/>
        <n v="14.423300421900702" u="1"/>
        <n v="14.509708673717668" u="1"/>
        <n v="14.295992132433049" u="1"/>
        <n v="14.82224973698457" u="1"/>
        <n v="15.727697185155467" u="1"/>
        <n v="15.814105436972435" u="1"/>
        <n v="16.047130139700922" u="1"/>
        <n v="16.325198164245162" u="1"/>
        <n v="17.122167009711845" u="1"/>
        <n v="16.960385681521529" u="1"/>
        <n v="17.193410384250015" u="1"/>
        <n v="17.454932436793776" u="1"/>
        <n v="18.633268862505499" u="1"/>
        <n v="17.932054123170587" u="1"/>
        <n v="16.334889350443316" u="1"/>
        <n v="15.811067867375034" u="1"/>
        <n v="15.678899219991777" u="1"/>
        <n v="15.74278581090087" u="1"/>
        <n v="15.935435924280785" u="1"/>
        <n v="16.322160594647762" u="1"/>
        <n v="16.513820367375033" u="1"/>
        <n v="16.833253321920488" u="1"/>
        <n v="15.299975140102305" u="1"/>
        <n v="15.296570015189875" u="1"/>
        <n v="15.619408094647758" u="1"/>
        <n v="18.266614849518621" u="1"/>
        <n v="18.46057191933874" u="1"/>
        <n v="18.879280705887108" u="1"/>
        <n v="19.751171317706508" u="1"/>
        <n v="19.920309429525901" u="1"/>
        <n v="20.305926272073297" u="1"/>
        <n v="17.92742242350867" u="1"/>
        <n v="18.096560535328063" u="1"/>
        <n v="18.45735841987473" u="1"/>
        <n v="16.798604353331218" u="1"/>
        <n v="16.380360459133382" u="1"/>
        <n v="17.096896741690486" u="1"/>
        <n v="16.691055535328061" u="1"/>
        <n v="16.860193647147458" u="1"/>
        <n v="17.245810489694854" u="1"/>
        <n v="15.485948186406109" u="1"/>
        <n v="15.691391741690483" u="1"/>
        <n v="15.860529853509879" u="1"/>
        <n v="16.221327738056551" u="1"/>
        <n v="15.840305489694853" u="1"/>
        <n v="15.422061595497016" u="1"/>
        <n v="16.130324892053881" u="1"/>
        <n v="12.721813912964183" u="1"/>
        <n v="13.977024070238125" u="1"/>
        <n v="14.170981140058249" u="1"/>
        <n v="14.341500346599334" u="1"/>
        <n v="14.449049164602489" u="1"/>
        <n v="12.804543772966611" u="1"/>
        <n v="14.059753930240552" u="1"/>
        <n v="14.253711000060676" u="1"/>
        <n v="14.018389000239338" u="1"/>
        <n v="14.954166202967825" u="1"/>
        <n v="15.148123272787945" u="1"/>
        <n v="15.285550535328062" u="1"/>
        <n v="14.879709328965641" u="1"/>
        <n v="15.048847440785032" u="1"/>
        <n v="15.434464283332431" u="1"/>
        <n v="16.116076217146244" u="1"/>
        <n v="16.28521432896564" u="1"/>
        <n v="16.646012213512307" u="1"/>
        <n v="15.178917919696067" u="1"/>
        <n v="15.15777735350988" u="1"/>
        <n v="15.518575238056547" u="1"/>
        <n v="16.390465849875948" u="1"/>
        <n v="16.58442291969607" u="1"/>
        <n v="16.788034070238126" u="1"/>
        <n v="17.084945363875704" u="1"/>
        <n v="17.254083475695097" u="1"/>
        <n v="17.639700318242493" u="1"/>
        <n v="14.156732465150613" u="1"/>
        <n v="14.325870576970008" u="1"/>
        <n v="14.686668461516676" u="1"/>
        <n v="14.816738940427708" u="1"/>
        <n v="14.770779416240794" u="1"/>
        <n v="15.131577300787461" u="1"/>
        <n v="14.470189730788674" u="1"/>
        <n v="14.664146800608799" u="1"/>
        <n v="14.876030937151098" u="1"/>
        <n v="15.172942230788673" u="1"/>
        <n v="15.342080342608069" u="1"/>
        <n v="13.221420154772657" u="1"/>
        <n v="13.582218039319326" u="1"/>
        <n v="14.325419266949378" u="1"/>
        <n v="13.204874182772171" u="1"/>
        <n v="13.540853109318112" u="1"/>
        <n v="14.540516902955689" u="1"/>
        <n v="17.165842819135811" u="1"/>
        <n v="22.775911441321025" u="1"/>
        <n v="15.189953095139691" u="1"/>
        <n v="14.273019161504541" u="1"/>
        <n v="16.131705986775572" u="1"/>
        <n v="18.895375367866965" u="1"/>
        <n v="18.617307343322725" u="1"/>
        <n v="20.641453888598608" u="1"/>
        <n v="19.060835087871819" u="1"/>
        <n v="18.782767063327579" u="1"/>
        <n v="20.517359098594966" u="1"/>
        <n v="24.647465846777997" u="1"/>
        <n v="23.796715801144789" u="1"/>
        <n v="23.49382881859982" u="1"/>
        <n v="20.40475079405558" u="1"/>
        <n v="22.035007510783821" u="1"/>
        <n v="19.176656891875218" u="1"/>
        <n v="18.898588867330975" u="1"/>
        <n v="18.771280577863326" u="1"/>
        <n v="18.468393595318357" u="1"/>
        <n v="21.704088070774112" u="1"/>
        <n v="19.476330374956174" u="1"/>
        <n v="19.812309301502115" u="1"/>
        <n v="19.406468095139694" u="1"/>
        <n v="11.831013597566521" u="1"/>
        <n v="14.055252915748339" u="1"/>
        <n v="12.542334275844903" u="1"/>
        <n v="14.253399050408674" u="1"/>
        <n v="12.851975025552028" u="1"/>
        <n v="14.66570464027969" u="1"/>
        <n v="12.861253772039143" u="1"/>
        <n v="15.160134619421749" u="1"/>
        <n v="10.911220437730853" u="1"/>
        <n v="13.417165711229689" u="1"/>
        <n v="11.384586165775145" u="1"/>
        <n v="14.295054854671932" u="1"/>
        <n v="10.215058852570127" u="1"/>
        <n v="12.086848170751946" u="1"/>
        <n v="12.982674526622059" u="1"/>
        <n v="12.639483111930977" u="1"/>
        <n v="11.978167708440241" u="1"/>
        <n v="10.6553264181817" u="1"/>
        <n v="10.823460304341404" u="1"/>
        <n v="10.152075736363518" u="1"/>
        <n v="10.988199849795951" u="1"/>
        <n v="12.900598690908973" u="1"/>
        <n v="12.995604395250496" u="1"/>
        <n v="9.6488250545453358" u="1"/>
        <n v="10.548747963432314" u="1"/>
        <n v="13.173823690908971" u="1"/>
        <n v="10.959516584587652" u="1"/>
        <n v="13.204788857314925" u="1"/>
        <n v="12.436059599999881" u="1"/>
        <n v="13.458847880042196" u="1"/>
        <n v="10.887595963636246" u="1"/>
        <n v="11.191786130042198" u="1"/>
        <n v="11.81498331572365" u="1"/>
        <n v="12.502373373374978" u="1"/>
        <n v="10.896075969296717" u="1"/>
        <n v="17.29801621636442" u="1"/>
        <n v="17.998433565696651" u="1"/>
        <n v="18.337918330494045" u="1"/>
        <n v="19.766801087335828" u="1"/>
        <n v="17.668974706025232" u="1"/>
        <n v="17.988407660570683" u="1"/>
        <n v="18.2577110894863" u="1"/>
        <n v="19.570876226836454" u="1"/>
        <n v="18.420917590472818" u="1"/>
        <n v="32.917621745927811" u="1"/>
        <n v="18.007063461337104" u="1"/>
        <n v="18.518156188609829" u="1"/>
        <n v="20.053606990230843" u="1"/>
        <n v="20.389585916776785" u="1"/>
        <n v="20.733837829322965" u="1"/>
        <n v="21.286295486596906" u="1"/>
        <n v="16.156524944776297" u="1"/>
        <n v="16.492503871322238" u="1"/>
        <n v="16.836755783868423" u="1"/>
        <n v="17.389213441142363" u="1"/>
        <n v="13.089968581139935" u="1"/>
        <n v="16.173070916776783" u="1"/>
        <n v="16.517322829322964" u="1"/>
        <n v="16.878120713869635" u="1"/>
        <n v="17.149296847135325" u="1"/>
        <n v="12.949327819135808" u="1"/>
        <n v="16.040703140772901" u="1"/>
        <n v="16.401501025319568" u="1"/>
        <n v="16.547201273859926" u="1"/>
        <n v="17.074839973133141" u="1"/>
        <n v="12.883143931133867" u="1"/>
        <n v="15.927178633862354" u="1"/>
        <n v="16.188700686406111" u="1"/>
        <n v="16.524679612952049" u="1"/>
        <n v="17.060591298225503" u="1"/>
        <n v="15.951997591863082" u="1"/>
        <n v="16.238338602407566" u="1"/>
        <n v="16.574317528953504" u="1"/>
        <n v="17.110229214226962" u="1"/>
        <n v="16.832161189682719" u="1"/>
        <n v="17.125394091505758" u="1"/>
        <n v="17.461373018051695" u="1"/>
        <n v="17.99728470332515" u="1"/>
        <n v="17.08035076969" u="1"/>
        <n v="17.25776186750964" u="1"/>
        <n v="17.593740794055581" u="1"/>
        <n v="18.129652479329032" u="1"/>
        <n v="16.765512409330245" u="1"/>
        <n v="17.118037307876673" u="1"/>
        <n v="17.437470262422128" u="1"/>
        <n v="17.741738339688787" u="1"/>
        <n v="16.542141787323693" u="1"/>
        <n v="16.869847727869391" u="1"/>
        <n v="17.19755366841509" u="1"/>
        <n v="17.725192367688301" u="1"/>
        <n v="16.608325675325634" u="1"/>
        <n v="16.952577587871819" u="1"/>
        <n v="17.313375472418485" u="1"/>
        <n v="17.625916535685388" u="1"/>
        <n v="16.748050234958601" u="1"/>
        <n v="17.092302147504785" u="1"/>
        <n v="17.453100032051452" u="1"/>
        <n v="18.262020255332917" u="1"/>
        <n v="18.023019863697037" u="1"/>
        <n v="18.383817748243708" u="1"/>
        <n v="18.810799520792319" u="1"/>
        <n v="19.338438220065534" u="1"/>
        <n v="18.038184740975836" u="1"/>
        <n v="18.134247073514736" u="1"/>
        <n v="18.470226000060677" u="1"/>
        <n v="19.022683657334618" u="1"/>
        <n v="17.968787353509882" u="1"/>
        <n v="18.304766280055823" u="1"/>
        <n v="18.66556416460249" u="1"/>
        <n v="19.118745989873521" u="1"/>
        <n v="19.263065143692188" u="1"/>
        <n v="19.3044300736934" u="1"/>
        <n v="16.783439476052425" u="1"/>
        <n v="16.886393699869878" u="1"/>
        <n v="17.222372626415819" u="1"/>
        <n v="17.774830283689759" u="1"/>
        <n v="14.905909381688057" u="1"/>
        <n v="16.136300580961272" u="1"/>
        <n v="16.049892329144303" u="1"/>
        <n v="20.84185153967665" u="1"/>
        <n v="16.271430546408538" u="1"/>
        <n v="16.607409472954476" u="1"/>
        <n v="16.968207357501147" u="1"/>
        <n v="17.264202448767563" u="1"/>
        <n v="10.393864182772171" u="1"/>
        <n v="19.798060626594477" u="1"/>
        <n v="15.726870254194969" u="1"/>
        <n v="14.950873822173943" u="1"/>
        <n v="13.888512241301006" u="1"/>
        <n v="13.842192495500788" u="1"/>
        <n v="9.9818387116421015" u="1"/>
        <n v="17.201023484369379" u="1"/>
        <n v="18.521450810296791" u="1"/>
        <n v="21.063124423160563" u="1"/>
        <n v="13.112281666187558" u="1"/>
        <n v="14.30493581029679" u="1"/>
        <n v="14.677308039850777" u="1"/>
        <n v="15.028879393460283" u="1"/>
        <n v="17.882584901205881" u="1"/>
        <n v="14.613421448941686" u="1"/>
        <n v="16.945477120733013" u="1"/>
        <n v="9.5367423702074046" u="1"/>
        <n v="9.9507675213225664" u="1"/>
        <n v="15.181850000000001" u="1"/>
        <n v="13.262999999999998" u="1"/>
        <n v="18.419740000000001" u="1"/>
        <n v="20.499640000000003" u="1"/>
        <n v="17.948340000000002" u="1"/>
        <n v="9.8593067776068537" u="1"/>
        <n v="17.078491550334128" u="1"/>
        <n v="18.331114065612763" u="1"/>
        <n v="20.89227406702226" u="1"/>
        <n v="12.98974973215231" u="1"/>
        <n v="14.11459906561276" u="1"/>
        <n v="14.43078346960859" u="1"/>
        <n v="14.906347459425035" u="1"/>
        <n v="17.692248156521853" u="1"/>
        <n v="14.366896878699499" u="1"/>
        <n v="16.822945186697766" u="1"/>
        <n v="9.3743538306787872" u="1"/>
        <n v="9.6658591207196451" u="1"/>
        <n v="14.096779999999999" u="1"/>
        <n v="12.316770000000002" u="1"/>
        <n v="17.100380000000001" u="1"/>
        <n v="19.029800000000002" u="1"/>
        <n v="16.044599999999999" u="1"/>
        <n v="12.518769866702677" u="1"/>
        <n v="13.697436187280381" u="1"/>
        <n v="11.453033023457612" u="1"/>
        <n v="12.588805644442598" u="1"/>
        <n v="13.361415022551578" u="1"/>
        <n v="11.127956017763559" u="1"/>
        <n v="12.327801070269102" u="1"/>
        <n v="11.566054823644018" u="1"/>
        <n v="12.38410575073034" u="1"/>
        <n v="12.27946279980481" u="1"/>
        <n v="13.295647883086209" u="1"/>
        <n v="11.529521730679742" u="1"/>
        <n v="12.403116158915214" u="1"/>
        <n v="11.077295388450922" u="1"/>
        <n v="12.739137323644018" u="1"/>
        <n v="11.90297661244621" u="1"/>
        <n v="12.010519995068003" u="1"/>
        <n v="10.955101741786846" u="1"/>
        <n v="13.547104508078961" u="1"/>
        <n v="11.314827591104041" u="1"/>
        <n v="11.050069252087285" u="1"/>
        <n v="9.8460122724844457" u="1"/>
        <n v="9.4201899872255499" u="1"/>
        <n v="12.410076338330288" u="1"/>
        <n v="11.625665126516239" u="1"/>
        <n v="19.298624703791575" u="1"/>
        <n v="12.026698327623587" u="1"/>
        <n v="12.074503769637419" u="1"/>
        <n v="11.763876567768639" u="1"/>
        <n v="16.906011388918898" u="1"/>
        <n v="17.239292521665657" u="1"/>
        <n v="126.72062433984746" u="1"/>
        <n v="9.5677386306787877" u="1"/>
        <n v="9.8592439207196456" u="1"/>
        <n v="12.02439839756652" u="1"/>
        <n v="14.248637715748337" u="1"/>
        <n v="12.7357190758449" u="1"/>
        <n v="14.446783850408673" u="1"/>
        <n v="13.045359825552026" u="1"/>
        <n v="14.859089440279689" u="1"/>
        <n v="13.054638572039142" u="1"/>
        <n v="15.353519419421746" u="1"/>
        <n v="11.104605237730853" u="1"/>
        <n v="13.610550511229688" u="1"/>
        <n v="11.577970965775144" u="1"/>
        <n v="14.488439654671931" u="1"/>
        <n v="10.408443652570126" u="1"/>
        <n v="12.280232970751944" u="1"/>
        <n v="13.176059326622058" u="1"/>
        <n v="12.832867911930975" u="1"/>
        <n v="12.171552508440239" u="1"/>
        <n v="10.848711218181698" u="1"/>
        <n v="11.016845104341403" u="1"/>
        <n v="10.345460536363516" u="1"/>
        <n v="11.181584649795949" u="1"/>
        <n v="13.093983490908972" u="1"/>
        <n v="13.188989195250494" u="1"/>
        <n v="9.8422098545453363" u="1"/>
        <n v="10.742132763432313" u="1"/>
        <n v="13.36720849090897" u="1"/>
        <n v="11.152901384587651" u="1"/>
        <n v="13.398173657314924" u="1"/>
        <n v="12.62944439999988" u="1"/>
        <n v="13.652232680042195" u="1"/>
        <n v="11.080980763636244" u="1"/>
        <n v="11.385170930042197" u="1"/>
        <n v="12.00836811572365" u="1"/>
        <n v="12.695758173374976" u="1"/>
        <n v="11.089460769296716" u="1"/>
        <n v="15.935773587528303" u="1"/>
        <n v="15.159777155507276" u="1"/>
        <n v="14.097415574634338" u="1"/>
        <n v="14.051095828834121" u="1"/>
        <n v="18.139074964793288" u="1"/>
        <n v="17.479068489516195" u="1"/>
        <n v="20.906422737699224" u="1"/>
        <n v="26.378147894973164" u="1"/>
        <n v="18.777940873884194" u="1"/>
        <n v="17.99016121678892" u="1"/>
        <n v="19.18148478315377" u="1"/>
        <n v="10.584827467891232" u="1"/>
        <n v="9.8572427776068547" u="1"/>
        <n v="17.076427550334127" u="1"/>
        <n v="18.329050065612762" u="1"/>
        <n v="20.890210067022259" u="1"/>
        <n v="12.987685732152309" u="1"/>
        <n v="14.112535065612759" u="1"/>
        <n v="14.428719469608589" u="1"/>
        <n v="14.904283459425034" u="1"/>
        <n v="17.690184156521852" u="1"/>
        <n v="12.893703418416445" u="1"/>
        <n v="14.364832878699499" u="1"/>
        <n v="16.820881186697765" u="1"/>
        <n v="12.515217866702677" u="1"/>
        <n v="13.693884187280382" u="1"/>
        <n v="11.449481023457613" u="1"/>
        <n v="12.585253644442599" u="1"/>
        <n v="13.357863022551578" u="1"/>
        <n v="11.12440401776356" u="1"/>
        <n v="12.324249070269103" u="1"/>
        <n v="11.562502823644019" u="1"/>
        <n v="12.380553750730341" u="1"/>
        <n v="12.27591079980481" u="1"/>
        <n v="13.29209588308621" u="1"/>
        <n v="11.525969730679742" u="1"/>
        <n v="12.399564158915215" u="1"/>
        <n v="11.073743388450923" u="1"/>
        <n v="12.735585323644019" u="1"/>
        <n v="11.899424612446211" u="1"/>
        <n v="12.006967995068004" u="1"/>
        <n v="10.951549741786847" u="1"/>
        <n v="13.543552508078962" u="1"/>
        <n v="11.311275591104042" u="1"/>
        <n v="11.046517252087286" u="1"/>
        <n v="9.8424602724844448" u="1"/>
        <n v="9.416637987225549" u="1"/>
        <n v="12.406524338330289" u="1"/>
        <n v="11.62211312651624" u="1"/>
        <n v="19.295072703791575" u="1"/>
        <n v="12.023146327623587" u="1"/>
        <n v="12.07095176963742" u="1"/>
        <n v="11.76032456776864" u="1"/>
        <n v="16.902459388918899" u="1"/>
        <n v="17.235740521665658" u="1"/>
        <n v="126.71707233984746" u="1"/>
        <n v="9.5641866306787886" u="1"/>
        <n v="9.8556919207196447" u="1"/>
        <n v="15.788603573693399" u="1"/>
        <n v="15.446648958240067" u="1"/>
        <n v="15.063794305136049" u="1"/>
        <n v="15.144226868045628" u="1"/>
        <n v="15.313364979865023" u="1"/>
        <n v="15.577184329501629" u="1"/>
        <n v="15.785390074229387" u="1"/>
        <n v="16.146187958776054" u="1"/>
        <n v="14.521906930955202" u="1"/>
        <n v="14.666226084773871" u="1"/>
        <n v="14.899250787502355" u="1"/>
        <n v="15.251775686048783" u="1"/>
        <n v="14.629455748958357" u="1"/>
        <n v="14.798593860777753" u="1"/>
        <n v="14.750337039497985" u="1"/>
        <n v="15.111134924044656" u="1"/>
        <n v="14.596363804957386" u="1"/>
        <n v="14.558677266770715" u="1"/>
        <n v="14.791701969499201" u="1"/>
        <n v="15.235229714048296" u="1"/>
        <n v="13.729983989694855" u="1"/>
        <n v="14.569233967533908" u="1"/>
        <n v="13.776408406232299" u="1"/>
        <n v="13.971746570774114" u="1"/>
        <n v="12.878317741690484" u="1"/>
        <n v="13.361829321519103" u="1"/>
        <n v="13.512124164245163" u="1"/>
        <n v="14.079746698797898" u="1"/>
        <n v="13.425715912428196" u="1"/>
        <n v="13.951973516979717" u="1"/>
        <n v="14.800877575540703" u="1"/>
        <n v="14.421236421900701" u="1"/>
        <n v="14.507644673717667" u="1"/>
        <n v="14.293928132433049" u="1"/>
        <n v="14.82018573698457" u="1"/>
        <n v="15.725633185155466" u="1"/>
        <n v="15.812041436972434" u="1"/>
        <n v="16.045066139700921" u="1"/>
        <n v="16.323134164245161" u="1"/>
        <n v="17.120103009711844" u="1"/>
        <n v="16.958321681521529" u="1"/>
        <n v="17.191346384250014" u="1"/>
        <n v="17.452868436793775" u="1"/>
        <n v="18.631204862505495" u="1"/>
        <n v="17.929990123170587" u="1"/>
        <n v="16.332825350443315" u="1"/>
        <n v="15.809003867375033" u="1"/>
        <n v="15.676835219991776" u="1"/>
        <n v="15.740721810900869" u="1"/>
        <n v="15.933371924280785" u="1"/>
        <n v="16.320096594647762" u="1"/>
        <n v="16.511756367375032" u="1"/>
        <n v="16.831189321920487" u="1"/>
        <n v="15.297911140102304" u="1"/>
        <n v="15.294506015189874" u="1"/>
        <n v="15.617344094647757" u="1"/>
        <n v="18.264550849518621" u="1"/>
        <n v="18.458507919338743" u="1"/>
        <n v="18.877216705887108" u="1"/>
        <n v="19.749107317706503" u="1"/>
        <n v="19.9182454295259" u="1"/>
        <n v="20.303862272073296" u="1"/>
        <n v="17.925358423508669" u="1"/>
        <n v="18.094496535328066" u="1"/>
        <n v="18.455294419874729" u="1"/>
        <n v="16.796540353331217" u="1"/>
        <n v="16.378296459133381" u="1"/>
        <n v="17.094832741690485" u="1"/>
        <n v="16.688991535328061" u="1"/>
        <n v="16.858129647147457" u="1"/>
        <n v="17.243746489694853" u="1"/>
        <n v="15.483884186406108" u="1"/>
        <n v="15.689327741690482" u="1"/>
        <n v="15.858465853509879" u="1"/>
        <n v="16.219263738056551" u="1"/>
        <n v="15.838241489694852" u="1"/>
        <n v="15.419997595497016" u="1"/>
        <n v="16.128260892053881" u="1"/>
        <n v="12.719749912964183" u="1"/>
        <n v="13.974960070238124" u="1"/>
        <n v="14.168917140058248" u="1"/>
        <n v="14.339436346599333" u="1"/>
        <n v="14.446985164602488" u="1"/>
        <n v="12.80247977296661" u="1"/>
        <n v="14.057689930240551" u="1"/>
        <n v="14.251647000060675" u="1"/>
        <n v="14.016325000239338" u="1"/>
        <n v="14.952102202967824" u="1"/>
        <n v="15.146059272787944" u="1"/>
        <n v="15.283486535328061" u="1"/>
        <n v="14.87764532896564" u="1"/>
        <n v="15.046783440785031" u="1"/>
        <n v="15.432400283332431" u="1"/>
        <n v="16.114012217146243" u="1"/>
        <n v="16.28315032896564" u="1"/>
        <n v="16.643948213512306" u="1"/>
        <n v="15.176853919696066" u="1"/>
        <n v="15.15571335350988" u="1"/>
        <n v="15.516511238056546" u="1"/>
        <n v="16.388401849875947" u="1"/>
        <n v="16.58235891969607" u="1"/>
        <n v="16.785970070238125" u="1"/>
        <n v="17.082881363875703" u="1"/>
        <n v="17.252019475695096" u="1"/>
        <n v="17.637636318242492" u="1"/>
        <n v="14.154668465150612" u="1"/>
        <n v="14.323806576970007" u="1"/>
        <n v="14.684604461516676" u="1"/>
        <n v="14.814674940427707" u="1"/>
        <n v="14.768715416240793" u="1"/>
        <n v="15.12951330078746" u="1"/>
        <n v="14.468125730788673" u="1"/>
        <n v="14.662082800608799" u="1"/>
        <n v="14.873966937151097" u="1"/>
        <n v="15.170878230788672" u="1"/>
        <n v="15.340016342608068" u="1"/>
        <n v="13.219356154772656" u="1"/>
        <n v="13.580154039319325" u="1"/>
        <n v="14.323355266949378" u="1"/>
        <n v="13.20281018277217" u="1"/>
        <n v="13.538789109318111" u="1"/>
        <n v="14.538452902955688" u="1"/>
        <n v="17.16377881913581" u="1"/>
        <n v="22.773847441321024" u="1"/>
        <n v="15.18788909513969" u="1"/>
        <n v="14.27095516150454" u="1"/>
        <n v="16.129641986775571" u="1"/>
        <n v="18.893311367866964" u="1"/>
        <n v="18.615243343322724" u="1"/>
        <n v="20.639389888598608" u="1"/>
        <n v="19.058771087871818" u="1"/>
        <n v="18.780703063327579" u="1"/>
        <n v="20.515295098594965" u="1"/>
        <n v="24.645401846777997" u="1"/>
        <n v="23.794651801144788" u="1"/>
        <n v="23.491764818599819" u="1"/>
        <n v="20.40268679405558" u="1"/>
        <n v="22.03294351078382" u="1"/>
        <n v="19.174592891875218" u="1"/>
        <n v="18.896524867330974" u="1"/>
        <n v="18.769216577863325" u="1"/>
        <n v="18.466329595318356" u="1"/>
        <n v="21.702024070774112" u="1"/>
        <n v="19.474266374956173" u="1"/>
        <n v="19.810245301502114" u="1"/>
        <n v="19.404404095139693" u="1"/>
        <n v="12.020846397566521" u="1"/>
        <n v="14.245085715748338" u="1"/>
        <n v="12.732167075844901" u="1"/>
        <n v="14.443231850408674" u="1"/>
        <n v="13.041807825552027" u="1"/>
        <n v="14.85553744027969" u="1"/>
        <n v="13.051086572039143" u="1"/>
        <n v="15.349967419421747" u="1"/>
        <n v="11.101053237730854" u="1"/>
        <n v="13.606998511229689" u="1"/>
        <n v="11.574418965775145" u="1"/>
        <n v="14.484887654671931" u="1"/>
        <n v="10.404891652570127" u="1"/>
        <n v="12.276680970751945" u="1"/>
        <n v="13.172507326622059" u="1"/>
        <n v="12.829315911930976" u="1"/>
        <n v="12.16800050844024" u="1"/>
        <n v="10.845159218181699" u="1"/>
        <n v="11.013293104341404" u="1"/>
        <n v="10.341908536363517" u="1"/>
        <n v="11.17803264979595" u="1"/>
        <n v="13.090431490908973" u="1"/>
        <n v="13.185437195250495" u="1"/>
        <n v="9.8386578545453354" u="1"/>
        <n v="10.738580763432314" u="1"/>
        <n v="13.363656490908971" u="1"/>
        <n v="11.149349384587651" u="1"/>
        <n v="13.394621657314925" u="1"/>
        <n v="12.625892399999881" u="1"/>
        <n v="13.648680680042196" u="1"/>
        <n v="11.077428763636245" u="1"/>
        <n v="11.381618930042197" u="1"/>
        <n v="12.004816115723651" u="1"/>
        <n v="12.692206173374977" u="1"/>
        <n v="11.085908769296717" u="1"/>
        <n v="17.295952216364419" u="1"/>
        <n v="17.99636956569665" u="1"/>
        <n v="18.335854330494044" u="1"/>
        <n v="19.764737087335828" u="1"/>
        <n v="17.666910706025231" u="1"/>
        <n v="17.986343660570682" u="1"/>
        <n v="18.255647089486299" u="1"/>
        <n v="19.568812226836449" u="1"/>
        <n v="18.418853590472814" u="1"/>
        <n v="32.915557745927813" u="1"/>
        <n v="18.004999461337103" u="1"/>
        <n v="18.516092188609829" u="1"/>
        <n v="20.051542990230843" u="1"/>
        <n v="20.387521916776784" u="1"/>
        <n v="20.731773829322965" u="1"/>
        <n v="21.284231486596905" u="1"/>
        <n v="16.154460944776297" u="1"/>
        <n v="16.490439871322238" u="1"/>
        <n v="16.834691783868422" u="1"/>
        <n v="17.387149441142363" u="1"/>
        <n v="13.087904581139934" u="1"/>
        <n v="16.171006916776783" u="1"/>
        <n v="16.515258829322963" u="1"/>
        <n v="16.876056713869634" u="1"/>
        <n v="17.147232847135324" u="1"/>
        <n v="12.947263819135808" u="1"/>
        <n v="16.038639140772901" u="1"/>
        <n v="16.399437025319568" u="1"/>
        <n v="16.545137273859925" u="1"/>
        <n v="17.07277597313314" u="1"/>
        <n v="12.881079931133867" u="1"/>
        <n v="15.925114633862353" u="1"/>
        <n v="16.186636686406111" u="1"/>
        <n v="16.522615612952048" u="1"/>
        <n v="17.058527298225503" u="1"/>
        <n v="15.949933591863081" u="1"/>
        <n v="16.236274602407565" u="1"/>
        <n v="16.572253528953503" u="1"/>
        <n v="17.108165214226958" u="1"/>
        <n v="16.830097189682718" u="1"/>
        <n v="17.123330091505757" u="1"/>
        <n v="17.459309018051695" u="1"/>
        <n v="17.995220703325153" u="1"/>
        <n v="17.078286769689999" u="1"/>
        <n v="17.255697867509639" u="1"/>
        <n v="17.59167679405558" u="1"/>
        <n v="18.127588479329034" u="1"/>
        <n v="16.763448409330245" u="1"/>
        <n v="17.115973307876672" u="1"/>
        <n v="17.435406262422127" u="1"/>
        <n v="17.739674339688786" u="1"/>
        <n v="16.540077787323693" u="1"/>
        <n v="16.867783727869391" u="1"/>
        <n v="17.195489668415089" u="1"/>
        <n v="17.7231283676883" u="1"/>
        <n v="16.606261675325634" u="1"/>
        <n v="16.950513587871818" u="1"/>
        <n v="17.311311472418485" u="1"/>
        <n v="17.623852535685387" u="1"/>
        <n v="16.7459862349586" u="1"/>
        <n v="17.090238147504785" u="1"/>
        <n v="17.451036032051451" u="1"/>
        <n v="18.25995625533292" u="1"/>
        <n v="18.02095586369704" u="1"/>
        <n v="18.381753748243707" u="1"/>
        <n v="18.808735520792318" u="1"/>
        <n v="19.33637422006553" u="1"/>
        <n v="18.036120740975836" u="1"/>
        <n v="18.132183073514735" u="1"/>
        <n v="18.468162000060673" u="1"/>
        <n v="19.020619657334617" u="1"/>
        <n v="17.966723353509881" u="1"/>
        <n v="18.302702280055819" u="1"/>
        <n v="18.663500164602489" u="1"/>
        <n v="19.11668198987352" u="1"/>
        <n v="19.261001143692184" u="1"/>
        <n v="19.302366073693399" u="1"/>
        <n v="16.781375476052425" u="1"/>
        <n v="16.884329699869877" u="1"/>
        <n v="17.220308626415818" u="1"/>
        <n v="17.772766283689759" u="1"/>
        <n v="14.903845381688056" u="1"/>
        <n v="16.134236580961272" u="1"/>
        <n v="16.047828329144302" u="1"/>
        <n v="20.839787539676649" u="1"/>
        <n v="16.269366546408538" u="1"/>
        <n v="16.605345472954475" u="1"/>
        <n v="16.966143357501146" u="1"/>
        <n v="17.262138448767562" u="1"/>
        <n v="10.391800182772171" u="1"/>
        <n v="19.795996626594476" u="1"/>
        <n v="15.928373587528302" u="1"/>
        <n v="15.152377155507276" u="1"/>
        <n v="14.090015574634338" u="1"/>
        <n v="14.043695828834121" u="1"/>
        <n v="17.519767161728414" u="1"/>
        <n v="16.881708007881588" u="1"/>
        <n v="20.195091790382897" u="1"/>
        <n v="25.484864625515787" u="1"/>
        <n v="18.137388740675778" u="1"/>
        <n v="17.375805271039482" u="1"/>
        <n v="18.527513527225004" u="1"/>
        <n v="10.240716148684166" u="1"/>
        <n v="9.5895642177982428" u="1"/>
        <n v="16.568688059903508" u="1"/>
        <n v="17.808563977096018" u="1"/>
        <n v="20.276248925873936" u="1"/>
        <n v="12.615909954640347" u="1"/>
        <n v="13.732261556043383" u="1"/>
        <n v="14.025077196881318" u="1"/>
        <n v="14.468774691482453" u="1"/>
        <n v="17.19094239814865" u="1"/>
        <n v="12.513429908847069" u="1"/>
        <n v="13.963315038986583" u="1"/>
        <n v="16.321639428324559" u="1"/>
        <n v="12.158608891718476" u="1"/>
        <n v="13.262443060650412" u="1"/>
        <n v="11.123593040330078" u="1"/>
        <n v="12.183852325154051" u="1"/>
        <n v="12.936230532730855" u="1"/>
        <n v="10.809325882419055" u="1"/>
        <n v="11.936681563224385" u="1"/>
        <n v="11.239996744860937" u="1"/>
        <n v="11.985959356119551" u="1"/>
        <n v="11.932579962138968" u="1"/>
        <n v="12.867189803779223" u="1"/>
        <n v="11.197538253956203" u="1"/>
        <n v="12.009798164309801" u="1"/>
        <n v="10.765504457961228" u="1"/>
        <n v="12.336010692229358" u="1"/>
        <n v="11.527372550336745" u="1"/>
        <n v="11.624796518971538" u="1"/>
        <n v="10.64687770894032" u="1"/>
        <n v="13.110284693575105" u="1"/>
        <n v="10.996102969076775" u="1"/>
        <n v="10.701438405329647" u="1"/>
        <n v="9.504536130151207" u="1"/>
        <n v="9.1189809412991139" u="1"/>
        <n v="12.021396699815439" u="1"/>
        <n v="11.34413018393251" u="1"/>
        <n v="18.652062185866306" u="1"/>
        <n v="11.659695839119475" u="1"/>
        <n v="11.705911597635803" u="1"/>
        <n v="11.404041021788242" u="1"/>
        <n v="16.418833269414524" u="1"/>
        <n v="16.761609274908782" u="1"/>
        <n v="122.54100138017193" u="1"/>
        <n v="9.3607844775687408" u="1"/>
        <n v="9.6522897676095987" u="1"/>
        <n v="15.271450093351078" u="1"/>
        <n v="14.940866560062915" u="1"/>
        <n v="14.570743045890863" u="1"/>
        <n v="14.648500969417704" u="1"/>
        <n v="14.812014699287436" u="1"/>
        <n v="15.067061213682434" u="1"/>
        <n v="15.268343452998748" u="1"/>
        <n v="15.617143656552688" u="1"/>
        <n v="14.046875156102438" u="1"/>
        <n v="14.186395237524014" u="1"/>
        <n v="14.411671125288482" u="1"/>
        <n v="14.752473446026375" u="1"/>
        <n v="14.150847632711109" u="1"/>
        <n v="14.31436136258084" u="1"/>
        <n v="14.267709234599554" u="1"/>
        <n v="14.616509438153496" u="1"/>
        <n v="14.118856101446903" u="1"/>
        <n v="14.082422760915344" u="1"/>
        <n v="14.307698648679811" u="1"/>
        <n v="14.736477680394271" u="1"/>
        <n v="13.28128617972107" u="1"/>
        <n v="14.092628417690984" u="1"/>
        <n v="13.326166836265051" u="1"/>
        <n v="13.515009383497961" u="1"/>
        <n v="12.457940552190037" u="1"/>
        <n v="12.925373829069731" u="1"/>
        <n v="13.070670888673682" u="1"/>
        <n v="13.619418162628914" u="1"/>
        <n v="12.987135986964464" u="1"/>
        <n v="13.495893846839442" u="1"/>
        <n v="14.316569136540428" u="1"/>
        <n v="13.949552262720708" u="1"/>
        <n v="14.033087164429922" u="1"/>
        <n v="13.826477380127605" u="1"/>
        <n v="14.335235240002577" u="1"/>
        <n v="15.210573671174991" u="1"/>
        <n v="15.294108572884205" u="1"/>
        <n v="15.519384460648677" u="1"/>
        <n v="15.788205836042103" u="1"/>
        <n v="16.558672924213102" u="1"/>
        <n v="16.40227134144077" u="1"/>
        <n v="16.627547229205238" u="1"/>
        <n v="16.880372838966565" u="1"/>
        <n v="18.125589805089231" u="1"/>
        <n v="17.424375065754319" u="1"/>
        <n v="15.880321118385901" u="1"/>
        <n v="15.369246233403743" u="1"/>
        <n v="15.234953153006133" u="1"/>
        <n v="15.29671531090087" u="1"/>
        <n v="15.485116558252077" u="1"/>
        <n v="15.863343496561637" u="1"/>
        <n v="16.048629970245848" u="1"/>
        <n v="16.35744075971953" u="1"/>
        <n v="14.875148970245847" u="1"/>
        <n v="14.867494979304709" u="1"/>
        <n v="15.18395975971953" u="1"/>
        <n v="17.64107057288421" u="1"/>
        <n v="17.828577951202096" u="1"/>
        <n v="18.2333633344684" u="1"/>
        <n v="19.076260801180236" u="1"/>
        <n v="19.239774531049971" u="1"/>
        <n v="19.612568383052064" u="1"/>
        <n v="17.313157377426094" u="1"/>
        <n v="17.476671107295825" u="1"/>
        <n v="17.825471310849768" u="1"/>
        <n v="16.221876110220283" u="1"/>
        <n v="15.841533808598504" u="1"/>
        <n v="16.510249324794515" u="1"/>
        <n v="16.117903633611611" u="1"/>
        <n v="16.281417363481346" u="1"/>
        <n v="16.654211215483443" u="1"/>
        <n v="14.976863598072191" u="1"/>
        <n v="15.151481851110301" u="1"/>
        <n v="15.314995580980034" u="1"/>
        <n v="15.663795784533976" u="1"/>
        <n v="15.295443741799229" u="1"/>
        <n v="14.915101440177452" u="1"/>
        <n v="15.583816956373461" u="1"/>
        <n v="12.288649844137927" u="1"/>
        <n v="13.502120258218186" u="1"/>
        <n v="13.689627636536073" u="1"/>
        <n v="13.854476535320828" u="1"/>
        <n v="13.950451129113446" u="1"/>
        <n v="12.384624437930547" u="1"/>
        <n v="13.598094852010805" u="1"/>
        <n v="13.785602230328694" u="1"/>
        <n v="13.558105437930548" u="1"/>
        <n v="14.462765062537121" u="1"/>
        <n v="14.650272440855007" u="1"/>
        <n v="14.759136159927403" u="1"/>
        <n v="14.366790468744501" u="1"/>
        <n v="14.530304198614232" u="1"/>
        <n v="14.903098050616331" u="1"/>
        <n v="15.562044212558979" u="1"/>
        <n v="15.725557942428711" u="1"/>
        <n v="16.074358145982654" u="1"/>
        <n v="14.656049419037384" u="1"/>
        <n v="14.635611844137928" u="1"/>
        <n v="14.984412047691869" u="1"/>
        <n v="15.827309514403709" u="1"/>
        <n v="16.014816892721598" u="1"/>
        <n v="16.219655205586609" u="1"/>
        <n v="16.506693251245814" u="1"/>
        <n v="16.670206981115545" u="1"/>
        <n v="17.043000833117642" u="1"/>
        <n v="13.667854892721595" u="1"/>
        <n v="13.831368622591325" u="1"/>
        <n v="14.180168826145268" u="1"/>
        <n v="14.305914046568416" u="1"/>
        <n v="14.245487057588704" u="1"/>
        <n v="14.594287261142645" u="1"/>
        <n v="13.954892938380798" u="1"/>
        <n v="14.142400316698685" u="1"/>
        <n v="14.347238629563698" u="1"/>
        <n v="14.634276675222903" u="1"/>
        <n v="14.797790405092636" u="1"/>
        <n v="15.170584257094733" u="1"/>
        <n v="12.787638349759547" u="1"/>
        <n v="13.136438553313488" u="1"/>
        <n v="13.854925968517199" u="1"/>
        <n v="12.771642584127443" u="1"/>
        <n v="13.096449139233231" u="1"/>
        <n v="14.06287092173454" u="1"/>
        <n v="16.600896373601127" u="1"/>
        <n v="22.024412311973219" u="1"/>
        <n v="14.690711288131636" u="1"/>
        <n v="13.804268333790843" u="1"/>
        <n v="15.601147890920586" u="1"/>
        <n v="18.272916446026375" u="1"/>
        <n v="18.00409507063295" u="1"/>
        <n v="19.960932284083729" u="1"/>
        <n v="18.432874102347409" u="1"/>
        <n v="18.16405272695398" u="1"/>
        <n v="19.840964041842952" u="1"/>
        <n v="23.833731561186369" u="1"/>
        <n v="23.011271669373986" u="1"/>
        <n v="22.718456645532406" u="1"/>
        <n v="19.732100322770556" u="1"/>
        <n v="21.308145801403185" u="1"/>
        <n v="18.544844461772133" u="1"/>
        <n v="18.276023086378704" u="1"/>
        <n v="18.152948203785602" u="1"/>
        <n v="17.860133179944018" u="1"/>
        <n v="20.988230488761122" u="1"/>
        <n v="18.834552845261378" u="1"/>
        <n v="19.159359400367173" u="1"/>
        <n v="18.767013709184269" u="1"/>
        <n v="11.757553610485182" u="1"/>
        <n v="13.871185505222023" u="1"/>
        <n v="12.468874288763564" u="1"/>
        <n v="14.069331639882359" u="1"/>
        <n v="12.778515038470688" u="1"/>
        <n v="14.481637229753375" u="1"/>
        <n v="12.787793784957804" u="1"/>
        <n v="14.976067208895431" u="1"/>
        <n v="10.837760450649514" u="1"/>
        <n v="13.239471599746437" u="1"/>
        <n v="11.311126178693806" u="1"/>
        <n v="14.11736074318868" u="1"/>
        <n v="10.157419032952903" u="1"/>
        <n v="11.932522822426588" u="1"/>
        <n v="12.844803857722539" u="1"/>
        <n v="12.463913433462078" u="1"/>
        <n v="11.82809122614359" u="1"/>
        <n v="10.543592781397344" u="1"/>
        <n v="10.664164489248401" u="1"/>
        <n v="10.055032255081555" u="1"/>
        <n v="10.859913015564192" u="1"/>
        <n v="12.723324360344714" u="1"/>
        <n v="12.764077857669456" u="1"/>
        <n v="9.5664717287657659" u="1"/>
        <n v="10.398587210301034" u="1"/>
        <n v="12.941854886660503" u="1"/>
        <n v="10.832183560454396" u="1"/>
        <n v="13.011915139401767" u="1"/>
        <n v="12.272345412976293" u="1"/>
        <n v="13.211917018349133" u="1"/>
        <n v="10.769082255081555" u="1"/>
        <n v="11.057673034138608" u="1"/>
        <n v="11.627870773750701" u="1"/>
        <n v="12.328139052737454" u="1"/>
        <n v="10.768808012488817" u="1"/>
        <n v="16.546768851555303" u="1"/>
        <n v="17.225442898367561" u="1"/>
        <n v="17.553720175069593" u="1"/>
        <n v="18.930078005857631" u="1"/>
        <n v="16.906898865279704" u="1"/>
        <n v="17.21570965475339" u="1"/>
        <n v="17.475854226156208" u="1"/>
        <n v="18.748610978447939" u="1"/>
        <n v="17.636892136342674" u="1"/>
        <n v="31.643591912353273" u="1"/>
        <n v="17.232523135801884" u="1"/>
        <n v="17.726620398959778" u="1"/>
        <n v="19.207346697263482" u="1"/>
        <n v="19.532153252369266" u="1"/>
        <n v="19.864957690291106" u="1"/>
        <n v="20.39904436752926" u="1"/>
        <n v="15.439855065684531" u="1"/>
        <n v="15.764661620790319" u="1"/>
        <n v="16.097466058712158" u="1"/>
        <n v="16.631552735950311" u="1"/>
        <n v="12.660557960421372" u="1"/>
        <n v="15.455850831316635" u="1"/>
        <n v="15.788655269238474" u="1"/>
        <n v="16.137455472792414" u="1"/>
        <n v="16.399614134284814" u="1"/>
        <n v="12.524593952548495" u="1"/>
        <n v="15.327884706259809" u="1"/>
        <n v="15.676684909813751" u="1"/>
        <n v="15.817540160150349" u="1"/>
        <n v="16.32763318894035" u="1"/>
        <n v="12.460610890020082" u="1"/>
        <n v="15.2798974093635" u="1"/>
        <n v="15.532723019124822" u="1"/>
        <n v="15.857529574230607" u="1"/>
        <n v="16.375620485836659" u="1"/>
        <n v="15.303891057811654" u="1"/>
        <n v="15.580710316021131" u="1"/>
        <n v="15.905516871126917" u="1"/>
        <n v="16.423607782732969" u="1"/>
        <n v="16.093024249444806" u="1"/>
        <n v="16.561792695239525" u="1"/>
        <n v="16.886599250345309" u="1"/>
        <n v="17.404690161951361" u="1"/>
        <n v="16.332960733926353" u="1"/>
        <n v="16.689758820296351" u="1"/>
        <n v="17.014565375402135" u="1"/>
        <n v="17.532656287008184" u="1"/>
        <n v="16.028591753720022" u="1"/>
        <n v="16.369394074457912" u="1"/>
        <n v="16.678204863931597" u="1"/>
        <n v="16.972355056688205" u="1"/>
        <n v="15.812648917686628" u="1"/>
        <n v="16.129457589976365" u="1"/>
        <n v="16.4462662622661" u="1"/>
        <n v="16.956359291056099" u="1"/>
        <n v="15.876631980215041" u="1"/>
        <n v="16.209436418136878" u="1"/>
        <n v="16.558236621690824" u="1"/>
        <n v="16.860384697263481" u="1"/>
        <n v="16.073472410264003" u="1"/>
        <n v="16.406276848185843" u="1"/>
        <n v="16.755077051739786" u="1"/>
        <n v="17.537098096275539" u="1"/>
        <n v="17.244283072433959" u="1"/>
        <n v="17.593083275987901" u="1"/>
        <n v="18.005866542070255" u="1"/>
        <n v="18.515959570860254" u="1"/>
        <n v="17.135419353361563" u="1"/>
        <n v="17.228287306801853" u="1"/>
        <n v="17.553093861907641" u="1"/>
        <n v="18.087180539145795" u="1"/>
        <n v="17.068329650480823" u="1"/>
        <n v="17.393136205586611" u="1"/>
        <n v="17.74193640914055" u="1"/>
        <n v="18.180048492586085" u="1"/>
        <n v="18.628379363481347" u="1"/>
        <n v="18.668368777561607" u="1"/>
        <n v="16.045922688267147" u="1"/>
        <n v="16.330739829292678" u="1"/>
        <n v="16.655546384398466" u="1"/>
        <n v="17.18963306163662" u="1"/>
        <n v="14.416112934555835" u="1"/>
        <n v="15.605589700187938" u="1"/>
        <n v="15.522054798478722" u="1"/>
        <n v="20.154666073780355" u="1"/>
        <n v="15.612701847285338" u="1"/>
        <n v="15.937508402391124" u="1"/>
        <n v="16.28630860594507" u="1"/>
        <n v="16.572460915885621" u="1"/>
        <n v="10.054107636759023" u="1"/>
        <n v="19.145584539368741" u="1"/>
        <n v="15.583025540837676" u="1"/>
        <n v="14.829724220011208" u="1"/>
        <n v="13.820094097069733" u="1"/>
        <n v="13.774727728121782" u="1"/>
        <n v="17.188141031137096" u="1"/>
        <n v="12.862958586219296" u="1"/>
        <n v="17.776099698976683" u="1"/>
        <n v="17.128577268173974" u="1"/>
        <n v="20.491102996537045" u="1"/>
        <n v="25.859330290117505" u="1"/>
        <n v="18.402881438107116" u="1"/>
        <n v="17.630002659478322" u="1"/>
        <n v="18.79879230088487" u="1"/>
        <n v="10.38909055180468" u="1"/>
        <n v="9.704982236104879" u="1"/>
        <n v="17.407068859512378" u="1"/>
        <n v="13.896228423320268" u="1"/>
        <n v="13.026925453496181" u="1"/>
        <n v="12.244897417454336" u="1"/>
        <n v="13.437626383365926" u="1"/>
        <n v="11.204132427120062" u="1"/>
        <n v="12.356929111173363" u="1"/>
        <n v="13.109353767562306" u="1"/>
        <n v="10.885204263821809" u="1"/>
        <n v="12.095602813945153" u="1"/>
        <n v="11.307732035539841" u="1"/>
        <n v="12.156101122772236" u="1"/>
        <n v="12.004689034241045" u="1"/>
        <n v="13.05040140531772" u="1"/>
        <n v="11.279174347896122" u="1"/>
        <n v="12.169181158866653" u="1"/>
        <n v="10.830243248727761" u="1"/>
        <n v="12.497453774670275" u="1"/>
        <n v="11.677397215478519" u="1"/>
        <n v="11.789581754127887" u="1"/>
        <n v="10.710867351506009" u="1"/>
        <n v="13.297101719869017" u="1"/>
        <n v="11.55357497803298" u="1"/>
        <n v="10.842039335684284" u="1"/>
        <n v="9.6378750469575643" u="1"/>
        <n v="9.1934730300512975" u="1"/>
        <n v="12.114611621840682" u="1"/>
        <n v="11.402514371575528" u="1"/>
        <n v="18.92107123921798" u="1"/>
        <n v="11.748186352746494" u="1"/>
        <n v="11.79508755323153" u="1"/>
        <n v="11.491940343572809" u="1"/>
        <n v="16.529900500052527" u="1"/>
        <n v="16.867474581710368" u="1"/>
        <n v="124.3405376251886" u="1"/>
        <n v="9.4035046148685115" u="1"/>
        <n v="9.6950099049093676" u="1"/>
        <n v="14.251700025622769" u="1"/>
        <n v="14.393289377837565" u="1"/>
        <n v="14.62190641054846" u="1"/>
        <n v="14.967763288891092" u="1"/>
        <n v="14.357214554149362" u="1"/>
        <n v="14.523153412947217" u="1"/>
        <n v="14.475809371050101" u="1"/>
        <n v="14.829782751587087" u="1"/>
        <n v="14.32474854537195" u="1"/>
        <n v="14.287774849310972" u="1"/>
        <n v="14.516391882021868" u="1"/>
        <n v="14.951530284502386" u="1"/>
        <n v="13.474756333186962" u="1"/>
        <n v="14.298131869727431" u="1"/>
        <n v="13.52030263033852" u="1"/>
        <n v="13.71194596698844" u="1"/>
        <n v="12.639199380645124" u="1"/>
        <n v="13.113565322828402" u="1"/>
        <n v="13.261017333595767" u="1"/>
        <n v="13.817903268991582" u="1"/>
        <n v="13.176243496741446" u="1"/>
        <n v="13.692546921165496" u="1"/>
        <n v="14.525393931169322" u="1"/>
        <n v="14.15293370260185" u="1"/>
        <n v="14.237707539456169" u="1"/>
        <n v="14.02803345367199" u="1"/>
        <n v="14.544336878096038" u="1"/>
        <n v="15.432657757611009" u="1"/>
        <n v="15.51743159446533" u="1"/>
        <n v="15.746048627176229" u="1"/>
        <n v="16.018856985769681" u="1"/>
        <n v="16.800751138965605" u="1"/>
        <n v="16.642029909989329" u="1"/>
        <n v="16.870646942700223" u="1"/>
        <n v="17.127222296904971" u="1"/>
        <n v="18.343601617446208" u="1"/>
        <n v="17.642386878111299" u="1"/>
        <n v="16.075432530285212" u="1"/>
        <n v="15.558861549193212" u="1"/>
        <n v="15.425484484813909" u="1"/>
        <n v="15.488162658726955" u="1"/>
        <n v="15.678395938114774" u="1"/>
        <n v="16.060286940497562" u="1"/>
        <n v="16.248321462236692" u="1"/>
        <n v="16.56171233180191" u="1"/>
        <n v="15.057436157888864" u="1"/>
        <n v="15.051614198984341" u="1"/>
        <n v="15.37082702745408" u="1"/>
        <n v="17.899202203160982" u="1"/>
        <n v="18.089490568541898" u="1"/>
        <n v="18.500279464439355" u="1"/>
        <n v="19.355678236280685" u="1"/>
        <n v="19.52161709507854" u="1"/>
        <n v="19.899939982198582" u="1"/>
        <n v="17.5664256131925" u="1"/>
        <n v="17.732364471990355" u="1"/>
        <n v="18.086337852527336" u="1"/>
        <n v="16.458959174429989" u="1"/>
        <n v="16.072975884011818" u="1"/>
        <n v="16.751609352322937" u="1"/>
        <n v="16.353444645903394" u="1"/>
        <n v="16.519383504701249" u="1"/>
        <n v="16.897706391821295" u="1"/>
        <n v="15.195481449229211" u="1"/>
        <n v="15.372689526235977" u="1"/>
        <n v="15.53862838503383" u="1"/>
        <n v="15.892601765570815" u="1"/>
        <n v="15.518786565734336" u="1"/>
        <n v="15.132803275316165" u="1"/>
        <n v="15.811436743627283" u="1"/>
        <n v="12.4673978632947" u="1"/>
        <n v="13.698865678614295" u="1"/>
        <n v="13.889154043995207" u="1"/>
        <n v="14.056447874062064" u="1"/>
        <n v="14.153845900394304" u="1"/>
        <n v="12.564795889626939" u="1"/>
        <n v="13.796263704946533" u="1"/>
        <n v="13.986552070327447" u="1"/>
        <n v="13.755681193974768" u="1"/>
        <n v="14.67375813972914" u="1"/>
        <n v="14.864046505110052" u="1"/>
        <n v="14.974524819816439" u="1"/>
        <n v="14.5763601133969" u="1"/>
        <n v="14.742298972194753" u="1"/>
        <n v="15.120621859314797" u="1"/>
        <n v="15.789341080686004" u="1"/>
        <n v="15.955279939483857" u="1"/>
        <n v="16.309253320020844" u="1"/>
        <n v="14.869909163662625" u="1"/>
        <n v="14.849168471990353" u="1"/>
        <n v="15.203141852527336" u="1"/>
        <n v="16.058540624368668" u="1"/>
        <n v="16.248828989749583" u="1"/>
        <n v="16.456705330788207" u="1"/>
        <n v="16.74800053741215" u="1"/>
        <n v="16.913939396210001" u="1"/>
        <n v="17.292262283330043" u="1"/>
        <n v="13.867058381053928" u="1"/>
        <n v="14.032997239851781" u="1"/>
        <n v="14.386970620388766" u="1"/>
        <n v="14.514580811856636" u="1"/>
        <n v="14.453257609212598" u="1"/>
        <n v="14.807230989749579" u="1"/>
        <n v="14.158353587677869" u="1"/>
        <n v="14.348641953058783" u="1"/>
        <n v="14.556518294097406" u="1"/>
        <n v="14.847813500721346" u="1"/>
        <n v="15.013752359519199" u="1"/>
        <n v="15.392075246639244" u="1"/>
        <n v="12.973787040778841" u="1"/>
        <n v="13.327760421315826" u="1"/>
        <n v="14.056903972958292" u="1"/>
        <n v="12.957554036390135" u="1"/>
        <n v="13.287177910344059" u="1"/>
        <n v="14.267933030011477" u="1"/>
        <n v="16.843600818998834" u="1"/>
        <n v="22.347554806241515" u="1"/>
        <n v="14.905085114978048" u="1"/>
        <n v="14.005495017254162" u="1"/>
        <n v="15.829024719284993" u="1"/>
        <n v="18.540419201934572" u="1"/>
        <n v="18.267610843341117" u="1"/>
        <n v="20.253470589259017" u="1"/>
        <n v="18.702749245821636" u="1"/>
        <n v="18.429940887228184" u="1"/>
        <n v="20.131723056343716" u="1"/>
        <n v="24.183708697750266" u="1"/>
        <n v="23.349050617581206" u="1"/>
        <n v="23.051892752404697" u="1"/>
        <n v="20.021244741637332" u="1"/>
        <n v="21.620665098240831" u="1"/>
        <n v="18.816380276542581" u="1"/>
        <n v="18.54357191794913" u="1"/>
        <n v="18.418671669019272" u="1"/>
        <n v="18.12151380384276" u="1"/>
        <n v="21.2960050104667" u="1"/>
        <n v="19.110385425704532" u="1"/>
        <n v="19.44000929965846" u="1"/>
        <n v="19.04184459323892" u="1"/>
        <n v="11.812852454878772" u="1"/>
        <n v="14.03240432444399" u="1"/>
        <n v="12.524173133157154" u="1"/>
        <n v="14.230550459104325" u="1"/>
        <n v="12.833813882864279" u="1"/>
        <n v="14.642856048975341" u="1"/>
        <n v="12.843092629351395" u="1"/>
        <n v="15.1372860281174" u="1"/>
        <n v="10.893059295043104" u="1"/>
        <n v="13.397942370913484" u="1"/>
        <n v="11.366425023087396" u="1"/>
        <n v="14.275831514355726" u="1"/>
        <n v="10.209395200000957" u="1"/>
        <n v="12.080917417392261" u="1"/>
        <n v="12.913630745594389" u="1"/>
        <n v="12.621468188610818" u="1"/>
        <n v="11.974653789072651" u="1"/>
        <n v="10.606930161987705" u="1"/>
        <n v="10.814702257073309" u="1"/>
        <n v="10.115284292422489" u="1"/>
        <n v="10.939102083160266" u="1"/>
        <n v="12.800427118509445" u="1"/>
        <n v="12.945760170116786" u="1"/>
        <n v="9.6236384228572707" u="1"/>
        <n v="10.54518610924722" u="1"/>
        <n v="13.115013640248575" u="1"/>
        <n v="10.910961362869243" u="1"/>
        <n v="13.104458319390982" u="1"/>
        <n v="12.346600161987705" u="1"/>
        <n v="13.400241388956198" u="1"/>
        <n v="10.833843640248576" u="1"/>
        <n v="11.137874841130113" u="1"/>
        <n v="11.782211944379936" u="1"/>
        <n v="15.702824104916905" u="1"/>
        <n v="10.850806537766369" u="1"/>
        <n v="16.781790641238405" u="1"/>
        <n v="17.4673805178452" u="1"/>
        <n v="17.800360808833656" u="1"/>
        <n v="19.207327353140542" u="1"/>
        <n v="17.144194937568358" u="1"/>
        <n v="17.457585807133579" u="1"/>
        <n v="17.722003123140691" u="1"/>
        <n v="19.007005371374674" u="1"/>
        <n v="17.87879824093989" u="1"/>
        <n v="32.109399800728006" u="1"/>
        <n v="17.477135355350182" u="1"/>
        <n v="17.97856074665453" u="1"/>
        <n v="19.488708312824578" u="1"/>
        <n v="19.818332186778498" u="1"/>
        <n v="20.156072562926777" u="1"/>
        <n v="20.698080465202892" u="1"/>
        <n v="15.665339704128924" u="1"/>
        <n v="15.994963578082848" u="1"/>
        <n v="16.332703954231125" u="1"/>
        <n v="16.87471185650724" u="1"/>
        <n v="12.844821878041966" u="1"/>
        <n v="15.681572708517631" u="1"/>
        <n v="16.019313084665907" u="1"/>
        <n v="16.373286465202892" u="1"/>
        <n v="16.639333292870994" u="1"/>
        <n v="12.706841340737961" u="1"/>
        <n v="15.551708673407978" u="1"/>
        <n v="15.905682053944961" u="1"/>
        <n v="16.048626377428761" u="1"/>
        <n v="16.566284773121815" u="1"/>
        <n v="12.641909323183135" u="1"/>
        <n v="15.503009660241858" u="1"/>
        <n v="15.759585014446602" u="1"/>
        <n v="16.089208888400528" u="1"/>
        <n v="16.614983786287937" u="1"/>
        <n v="15.527359166824919" u="1"/>
        <n v="15.808284027612721" u="1"/>
        <n v="16.137907901566646" u="1"/>
        <n v="16.663682799454055" u="1"/>
        <n v="16.328196266947558" u="1"/>
        <n v="16.803917180399843" u="1"/>
        <n v="17.133541054353767" u="1"/>
        <n v="17.659315952241176" u="1"/>
        <n v="16.571691332778158" u="1"/>
        <n v="16.933781215509498" u="1"/>
        <n v="17.263405089463419" u="1"/>
        <n v="17.789179987350828" u="1"/>
        <n v="16.262808150496507" u="1"/>
        <n v="16.608665028839138" u="1"/>
        <n v="16.922055898404356" u="1"/>
        <n v="17.22056873484987" u="1"/>
        <n v="16.043662591248967" u="1"/>
        <n v="16.365169963008537" u="1"/>
        <n v="16.68667733476811" u="1"/>
        <n v="17.204335730461164" u="1"/>
        <n v="16.108594608803795" u="1"/>
        <n v="16.44633498495207" u="1"/>
        <n v="16.800308365489055" u="1"/>
        <n v="17.106937704128924" u="1"/>
        <n v="16.308354447648064" u="1"/>
        <n v="16.646094823796343" u="1"/>
        <n v="17.000068204333324" u="1"/>
        <n v="17.793687674634391" u="1"/>
        <n v="17.496529809457883" u="1"/>
        <n v="17.850503189994864" u="1"/>
        <n v="18.269408588086673" u="1"/>
        <n v="18.787066983779727" u="1"/>
        <n v="17.386051494751495" u="1"/>
        <n v="17.480296805069177" u="1"/>
        <n v="17.809920679023097" u="1"/>
        <n v="18.351928581299216" u="1"/>
        <n v="17.31796676118211" u="1"/>
        <n v="17.647590635136034" u="1"/>
        <n v="18.001564015673015" u="1"/>
        <n v="18.44617389161689" u="1"/>
        <n v="18.901154113396903" u="1"/>
        <n v="18.941736624368669" u="1"/>
        <n v="16.280396126154216" u="1"/>
        <n v="16.569437489136376" u="1"/>
        <n v="16.899061363090301" u="1"/>
        <n v="17.441069265366416" u="1"/>
        <n v="14.626414097832026" u="1"/>
        <n v="15.833532406568558" u="1"/>
        <n v="15.748758569714237" u="1"/>
        <n v="20.450077712088724" u="1"/>
        <n v="15.840750036390135" u="1"/>
        <n v="16.170373910344061" u="1"/>
        <n v="16.524347290881042" u="1"/>
        <n v="16.814743625132206" u="1"/>
        <n v="10.199714384216223" u="1"/>
        <n v="19.426030138911532" u="1"/>
        <n v="15.723756424520065" u="1"/>
        <n v="14.960836798061926" u="1"/>
        <n v="13.927532775908047" u="1"/>
        <n v="13.881786927896901" u="1"/>
        <n v="18.006071702956582" u="1"/>
        <n v="18.360045083493567" u="1"/>
        <n v="18.714018464030548" u="1"/>
        <n v="19.280375872889724" u="1"/>
        <n v="20.129911986178488" u="1"/>
        <n v="20.483885366715466" u="1"/>
        <n v="20.837858747252451" u="1"/>
        <n v="21.404216156111627" u="1"/>
        <n v="16.165410124164268" u="1"/>
        <n v="17.085740913560425" u="1"/>
        <n v="12.625676318794428" u="1"/>
        <n v="16.660972856916043" u="1"/>
        <n v="17.014946237453028" u="1"/>
        <n v="17.368919617990013" u="1"/>
        <n v="17.935277026849185" u="1"/>
        <n v="16.873356885238234" u="1"/>
        <n v="17.43971429409741" u="1"/>
        <n v="17.227330265775215" u="1"/>
        <n v="18.147661055171373" u="1"/>
        <n v="19.209581196782327" u="1"/>
        <n v="16.377794152486455" u="1"/>
        <n v="16.731767533023444" u="1"/>
        <n v="17.652098322419597" u="1"/>
        <n v="14.537132573694139" u="1"/>
        <n v="15.882231419734678" u="1"/>
        <n v="15.740642067519884" u="1"/>
        <n v="21.545805508326417" u="1"/>
        <n v="9.7938892744985591" u="1"/>
        <n v="12.908855023224016" u="1"/>
        <n v="13.262828403761" u="1"/>
        <n v="17.298124941882616" u="1"/>
        <n v="23.386467087118735" u="1"/>
        <n v="14.961900630338521" u="1"/>
        <n v="13.89998048872757" u="1"/>
        <n v="16.02382077194947" u="1"/>
        <n v="19.067991844567533" u="1"/>
        <n v="20.059117310071088" u="1"/>
        <n v="25.368718018125843" u="1"/>
        <n v="24.306797876514892" u="1"/>
        <n v="23.952824495977911" u="1"/>
        <n v="22.253752269400387" u="1"/>
        <n v="19.7759386056415" u="1"/>
        <n v="19.634349253426709" u="1"/>
        <n v="14.349098051955009" u="1"/>
        <n v="14.490687404169805" u="1"/>
        <n v="14.703071432491992" u="1"/>
        <n v="15.057044813028979" u="1"/>
        <n v="13.003999205914473" u="1"/>
        <n v="13.145588558129267" u="1"/>
        <n v="13.357972586451455" u="1"/>
        <n v="12.225257768733108" u="1"/>
        <n v="12.366847120947901" u="1"/>
        <n v="12.579231149270093" u="1"/>
        <n v="12.933204529807075" u="1"/>
        <n v="12.437641797055297" u="1"/>
        <n v="12.791615177592282" u="1"/>
        <n v="12.862409853699679" u="1"/>
        <n v="13.216383234236663" u="1"/>
        <n v="13.570356614773646" u="1"/>
        <n v="14.986250136921578" u="1"/>
        <n v="15.127839489136374" u="1"/>
        <n v="15.340223517458567" u="1"/>
        <n v="15.694196897995548" u="1"/>
        <n v="16.118964954639932" u="1"/>
        <n v="16.260554306854726" u="1"/>
        <n v="16.472938335176913" u="1"/>
        <n v="16.826911715713898" u="1"/>
        <n v="17.110090420143486" u="1"/>
        <n v="14.915455460814185" u="1"/>
        <n v="15.198634165243771" u="1"/>
        <n v="15.481812869673359" u="1"/>
        <n v="16.048170278532531" u="1"/>
        <n v="10.644749075031184" u="1"/>
        <n v="13.196472865768962" u="1"/>
        <n v="12.980297623738808" u="1"/>
        <n v="10.036046074814719" u="1"/>
        <n v="12.187655069628249" u="1"/>
        <n v="13.123039861626795" u="1"/>
        <n v="12.908239209728757" u="1"/>
        <n v="12.043538241608148" u="1"/>
        <n v="10.601270289301436" u="1"/>
        <n v="10.458253133387025" u="1"/>
        <n v="9.4708218603279999" u="1"/>
        <n v="10.148401953143805" u="1"/>
        <n v="13.484706521809166" u="1"/>
        <n v="12.601294432869825" u="1"/>
        <n v="13.463088997606148" u="1"/>
        <n v="10.862143003679924" u="1"/>
        <n v="12.253464147031844" u="1"/>
        <n v="10.949100575139417" u="1"/>
        <n v="12.403830311658401" u="1"/>
        <n v="11.036058146598913" u="1"/>
        <n v="12.383900504221089" u="1"/>
        <n v="11.539129343537789" u="1"/>
        <n v="10.688227860760932" u="1"/>
        <n v="10.962662031457382" u="1"/>
        <n v="8.2965007130855" u="1"/>
        <n v="7.7316704311380979" u="1"/>
        <n v="17.581303646312204" u="1"/>
        <n v="20.767064071145057" u="1"/>
        <n v="26.784611540273779" u="1"/>
        <n v="18.28925040738617" u="1"/>
        <n v="18.855607816245342" u="1"/>
        <n v="19.351170548997121" u="1"/>
        <n v="19.705143929534103" u="1"/>
        <n v="15.528258039197697" u="1"/>
        <n v="15.315874010875504" u="1"/>
        <n v="15.457463363090296" u="1"/>
        <n v="11.988524233827857" u="1"/>
        <n v="13.333623079868397" u="1"/>
        <n v="13.47521243208319" u="1"/>
        <n v="13.829185812620173" u="1"/>
        <n v="14.466337897586742" u="1"/>
        <n v="14.820311278123727" u="1"/>
        <n v="16.236204800271661" u="1"/>
        <n v="14.678721925908935" u="1"/>
        <n v="15.032695306445916" u="1"/>
        <n v="15.953026095842075" u="1"/>
        <n v="16.094615448056871" u="1"/>
        <n v="16.448588828593856" u="1"/>
        <n v="13.404417755975793" u="1"/>
        <n v="13.546007108190585" u="1"/>
        <n v="13.970775164834967" u="1"/>
        <n v="14.112364517049759" u="1"/>
        <n v="13.687596460405379" u="1"/>
        <n v="14.183159193157158" u="1"/>
        <n v="14.607927249801534" u="1"/>
        <n v="15.047722759217608" u="1"/>
        <n v="14.759628116740451" u="1"/>
        <n v="11.818676289734368" u="1"/>
        <n v="8.9443531612097988" u="1"/>
        <n v="19.249379642613242" u="1"/>
        <n v="10.514312717841941" u="1"/>
        <n v="17.470918434601554" u="1"/>
        <n v="13.716085300656525" u="1"/>
        <n v="141.02809931959928" u="1"/>
        <n v="8.3403734313545623" u="1"/>
        <n v="9.1486206873376368" u="1"/>
        <n v="17.156535589667822" u="1"/>
        <n v="11.209973289517903" u="1"/>
        <n v="17.7468222184079" u="1"/>
        <n v="18.095622421961846" u="1"/>
        <n v="18.444422625515788" u="1"/>
        <n v="19.002502951202096" u="1"/>
        <n v="19.839623439731561" u="1"/>
        <n v="20.1884236432855" u="1"/>
        <n v="20.537223846839446" u="1"/>
        <n v="21.095304172525751" u="1"/>
        <n v="15.584260956373461" u="1"/>
        <n v="15.933061159927403" u="1"/>
        <n v="16.281861363481344" u="1"/>
        <n v="16.839941689167652" u="1"/>
        <n v="12.445059124387978" u="1"/>
        <n v="16.42138144490292" u="1"/>
        <n v="16.770181648456866" u="1"/>
        <n v="17.118981852010805" u="1"/>
        <n v="17.677062177697113" u="1"/>
        <n v="16.63066156703529" u="1"/>
        <n v="17.188741892721598" u="1"/>
        <n v="16.979461770589229" u="1"/>
        <n v="17.537542096275537" u="1"/>
        <n v="17.886342299829479" u="1"/>
        <n v="18.93274291049131" u="1"/>
        <n v="16.142341282059768" u="1"/>
        <n v="16.49114148561371" u="1"/>
        <n v="17.398022014853961" u="1"/>
        <n v="14.328580223579268" u="1"/>
        <n v="15.654020997084247" u="1"/>
        <n v="15.514500915662669" u="1"/>
        <n v="21.234824253947323" u="1"/>
        <n v="9.6546574959564406" u="1"/>
        <n v="12.724099287231134" u="1"/>
        <n v="13.072899490785074" u="1"/>
        <n v="14.119300101446902" u="1"/>
        <n v="17.049221811300018" u="1"/>
        <n v="23.048585312427825" u="1"/>
        <n v="14.747140467843998" u="1"/>
        <n v="13.700739857182171" u="1"/>
        <n v="15.793541078505825" u="1"/>
        <n v="18.793222829069734" u="1"/>
        <n v="19.769863399020768" u="1"/>
        <n v="25.001866452329907" u="1"/>
        <n v="23.955465841668076" u="1"/>
        <n v="23.606665638114137" u="1"/>
        <n v="21.932424661055215" u="1"/>
        <n v="19.490823236177611" u="1"/>
        <n v="19.351303154756039" u="1"/>
        <n v="14.143293749895058" u="1"/>
        <n v="14.282813831316634" u="1"/>
        <n v="14.492093953448999" u="1"/>
        <n v="14.840894157002943" u="1"/>
        <n v="12.817852976390077" u="1"/>
        <n v="12.957373057811655" u="1"/>
        <n v="13.166653179944019" u="1"/>
        <n v="13.515453383497961" u="1"/>
        <n v="12.050492528571404" u="1"/>
        <n v="12.190012609992982" u="1"/>
        <n v="12.399292732125346" u="1"/>
        <n v="12.748092935679288" u="1"/>
        <n v="12.259772650703768" u="1"/>
        <n v="12.608572854257712" u="1"/>
        <n v="12.6783328949685" u="1"/>
        <n v="13.027133098522443" u="1"/>
        <n v="13.375933302076383" u="1"/>
        <n v="14.771134116292153" u="1"/>
        <n v="14.910654197713729" u="1"/>
        <n v="15.119934319846097" u="1"/>
        <n v="15.468734523400038" u="1"/>
        <n v="15.887294767664768" u="1"/>
        <n v="16.026814849086346" u="1"/>
        <n v="16.236094971218709" u="1"/>
        <n v="16.584895174772655" u="1"/>
        <n v="16.863935337615807" u="1"/>
        <n v="14.701374075581366" u="1"/>
        <n v="14.980414238424519" u="1"/>
        <n v="15.259454401267673" u="1"/>
        <n v="15.81753472695398" u="1"/>
        <n v="10.583478360344714" u="1"/>
        <n v="13.013430489248403" u="1"/>
        <n v="12.800414560454398" u="1"/>
        <n v="9.9785953000664911" u="1"/>
        <n v="12.019356154876371" u="1"/>
        <n v="13.046216534334624" u="1"/>
        <n v="12.729409250856394" u="1"/>
        <n v="11.877345535680368" u="1"/>
        <n v="10.540272427467697" u="1"/>
        <n v="10.315228724524315" u="1"/>
        <n v="9.4169181726652837" u="1"/>
        <n v="10.009905893252906" u="1"/>
        <n v="13.297451727640414" u="1"/>
        <n v="12.527745339810432" u="1"/>
        <n v="13.276150134761012" u="1"/>
        <n v="10.799508024729795" u="1"/>
        <n v="12.182097876794304" u="1"/>
        <n v="10.885919890483827" u="1"/>
        <n v="12.232372083670379" u="1"/>
        <n v="10.972331756237857" u="1"/>
        <n v="12.311715675425353" u="1"/>
        <n v="11.380308368494351" u="1"/>
        <n v="10.626684293221729" u="1"/>
        <n v="10.81226589171033" u="1"/>
        <n v="8.1850694365842482" u="1"/>
        <n v="7.6886808575846475" u="1"/>
        <n v="17.328261974143174" u="1"/>
        <n v="20.467463806128652" u="1"/>
        <n v="26.397067266545672" u="1"/>
        <n v="18.025862381251056" u="1"/>
        <n v="18.583942706937368" u="1"/>
        <n v="19.072262991912886" u="1"/>
        <n v="19.421063195466829" u="1"/>
        <n v="15.305220793530307" u="1"/>
        <n v="15.095940671397939" u="1"/>
        <n v="15.235460752819517" u="1"/>
        <n v="11.817218757990883" u="1"/>
        <n v="13.142659531495864" u="1"/>
        <n v="13.282179612917442" u="1"/>
        <n v="13.630979816471381" u="1"/>
        <n v="14.258820182868478" u="1"/>
        <n v="14.60762038642242" u="1"/>
        <n v="16.002821200638191" u="1"/>
        <n v="14.468100305000844" u="1"/>
        <n v="14.816900508554786" u="1"/>
        <n v="15.723781037795037" u="1"/>
        <n v="15.863301119216615" u="1"/>
        <n v="16.212101322770557" u="1"/>
        <n v="13.212419572206652" u="1"/>
        <n v="13.351939653628229" u="1"/>
        <n v="13.770499897892959" u="1"/>
        <n v="13.910019979314537" u="1"/>
        <n v="13.491459735049803" u="1"/>
        <n v="13.979780020025323" u="1"/>
        <n v="14.398340264290054" u="1"/>
        <n v="14.935791681966132" u="1"/>
        <n v="14.650086893208865" u="1"/>
        <n v="11.750038548024143" u="1"/>
        <n v="8.8175370074269797" u="1"/>
        <n v="18.977876495480594" u="1"/>
        <n v="10.453860561713666" u="1"/>
        <n v="17.366809822036217" u="1"/>
        <n v="13.615200658376981" u="1"/>
        <n v="138.97684971610445" u="1"/>
        <n v="8.2935639178628691" u="1"/>
        <n v="9.018819246743293" u="1"/>
        <n v="16.909701729878442" u="1"/>
        <n v="11.145155487745923" u="1"/>
        <n v="17.912796851510564" u="1"/>
        <n v="17.344754374726545" u="1"/>
        <n v="18.006441302956581" u="1"/>
        <n v="18.360414683493566" u="1"/>
        <n v="18.714388064030548" u="1"/>
        <n v="19.280745472889723" u="1"/>
        <n v="20.130281586178487" u="1"/>
        <n v="20.484254966715465" u="1"/>
        <n v="20.83822834725245" u="1"/>
        <n v="21.404585756111626" u="1"/>
        <n v="15.811806343627284" u="1"/>
        <n v="16.165779724164267" u="1"/>
        <n v="16.519753104701252" u="1"/>
        <n v="17.086110513560424" u="1"/>
        <n v="12.626045918794429" u="1"/>
        <n v="16.661342456916042" u="1"/>
        <n v="17.015315837453031" u="1"/>
        <n v="17.369289217990012" u="1"/>
        <n v="17.935646626849188" u="1"/>
        <n v="16.873726485238237" u="1"/>
        <n v="17.440083894097409" u="1"/>
        <n v="17.227699865775218" u="1"/>
        <n v="17.794057274634394" u="1"/>
        <n v="18.148030655171372" u="1"/>
        <n v="19.209950796782326" u="1"/>
        <n v="16.378163752486458" u="1"/>
        <n v="16.732137133023443" u="1"/>
        <n v="17.6524679224196" u="1"/>
        <n v="14.53750217369414" u="1"/>
        <n v="15.882601019734679" u="1"/>
        <n v="15.741011667519885" u="1"/>
        <n v="21.546175108326416" u="1"/>
        <n v="9.7942588744985599" u="1"/>
        <n v="12.909224623224016" u="1"/>
        <n v="13.263198003761001" u="1"/>
        <n v="14.325118145371951" u="1"/>
        <n v="17.298494541882619" u="1"/>
        <n v="23.386836687118734" u="1"/>
        <n v="14.962270230338522" u="1"/>
        <n v="13.900350088727571" u="1"/>
        <n v="16.024190371949473" u="1"/>
        <n v="19.068361444567532" u="1"/>
        <n v="20.059486910071087" u="1"/>
        <n v="25.369087618125842" u="1"/>
        <n v="24.307167476514891" u="1"/>
        <n v="23.95319409597791" u="1"/>
        <n v="22.254121869400386" u="1"/>
        <n v="19.776308205641499" u="1"/>
        <n v="19.634718853426708" u="1"/>
        <n v="14.34946765195501" u="1"/>
        <n v="14.491057004169805" u="1"/>
        <n v="14.703441032491993" u="1"/>
        <n v="15.05741441302898" u="1"/>
        <n v="13.004368805914472" u="1"/>
        <n v="13.145958158129268" u="1"/>
        <n v="13.358342186451456" u="1"/>
        <n v="13.71231556698844" u="1"/>
        <n v="12.225627368733109" u="1"/>
        <n v="12.367216720947901" u="1"/>
        <n v="12.579600749270094" u="1"/>
        <n v="12.933574129807075" u="1"/>
        <n v="12.438011397055298" u="1"/>
        <n v="12.791984777592283" u="1"/>
        <n v="12.86277945369968" u="1"/>
        <n v="13.216752834236663" u="1"/>
        <n v="13.570726214773646" u="1"/>
        <n v="14.986619736921581" u="1"/>
        <n v="15.128209089136375" u="1"/>
        <n v="15.340593117458566" u="1"/>
        <n v="15.694566497995549" u="1"/>
        <n v="16.119334554639931" u="1"/>
        <n v="16.260923906854725" u="1"/>
        <n v="16.473307935176912" u="1"/>
        <n v="16.827281315713901" u="1"/>
        <n v="17.110460020143488" u="1"/>
        <n v="14.915825060814184" u="1"/>
        <n v="15.199003765243772" u="1"/>
        <n v="15.48218246967336" u="1"/>
        <n v="16.048539878532534" u="1"/>
        <n v="10.649629075031184" u="1"/>
        <n v="13.201352865768962" u="1"/>
        <n v="12.985177623738808" u="1"/>
        <n v="10.040926074814719" u="1"/>
        <n v="12.192535069628249" u="1"/>
        <n v="13.127919861626795" u="1"/>
        <n v="12.913119209728757" u="1"/>
        <n v="12.048418241608148" u="1"/>
        <n v="10.606150289301436" u="1"/>
        <n v="10.463133133387025" u="1"/>
        <n v="9.4757018603279999" u="1"/>
        <n v="10.153281953143805" u="1"/>
        <n v="13.489586521809166" u="1"/>
        <n v="12.606174432869825" u="1"/>
        <n v="13.467968997606148" u="1"/>
        <n v="10.867023003679924" u="1"/>
        <n v="12.258344147031844" u="1"/>
        <n v="10.953980575139417" u="1"/>
        <n v="12.408710311658401" u="1"/>
        <n v="11.040938146598913" u="1"/>
        <n v="12.388780504221089" u="1"/>
        <n v="11.544009343537789" u="1"/>
        <n v="10.693107860760932" u="1"/>
        <n v="10.967542031457382" u="1"/>
        <n v="8.3013807130855" u="1"/>
        <n v="7.7365504311380979" u="1"/>
        <n v="18.173383432462479" u="1"/>
        <n v="17.596916120382069" u="1"/>
        <n v="20.767433671145056" u="1"/>
        <n v="26.784981140273779" u="1"/>
        <n v="18.289620007386169" u="1"/>
        <n v="17.581673246312203" u="1"/>
        <n v="18.855977416245342" u="1"/>
        <n v="19.35154014899712" u="1"/>
        <n v="19.705513529534102" u="1"/>
        <n v="15.528627639197696" u="1"/>
        <n v="15.316243610875505" u="1"/>
        <n v="15.457832963090297" u="1"/>
        <n v="11.988893833827857" u="1"/>
        <n v="13.333992679868398" u="1"/>
        <n v="13.47558203208319" u="1"/>
        <n v="13.829555412620174" u="1"/>
        <n v="14.466707497586743" u="1"/>
        <n v="14.820680878123728" u="1"/>
        <n v="16.236574400271664" u="1"/>
        <n v="14.679091525908936" u="1"/>
        <n v="15.033064906445917" u="1"/>
        <n v="15.953395695842076" u="1"/>
        <n v="16.094985048056873" u="1"/>
        <n v="16.448958428593855" u="1"/>
        <n v="13.404787355975794" u="1"/>
        <n v="13.546376708190586" u="1"/>
        <n v="13.971144764834968" u="1"/>
        <n v="14.11273411704976" u="1"/>
        <n v="13.687966060405381" u="1"/>
        <n v="14.183528793157159" u="1"/>
        <n v="14.608296849801535" u="1"/>
        <n v="15.057889425884275" u="1"/>
        <n v="14.769794783407118" u="1"/>
        <n v="11.823556289734368" u="1"/>
        <n v="8.9447227612097979" u="1"/>
        <n v="19.254259642613242" u="1"/>
        <n v="10.519192717841941" u="1"/>
        <n v="17.475798434601554" u="1"/>
        <n v="13.726251967323192" u="1"/>
        <n v="141.03297931959929" u="1"/>
        <n v="8.3452534313545623" u="1"/>
        <n v="9.1489902873376359" u="1"/>
        <n v="11.214853289517903" u="1"/>
        <n v="12.432259289950835" u="1"/>
        <n v="18.006724502956583" u="1"/>
        <n v="18.360697883493568" u="1"/>
        <n v="18.714671264030549" u="1"/>
        <n v="19.281028672889725" u="1"/>
        <n v="20.130564786178489" u="1"/>
        <n v="20.484538166715467" u="1"/>
        <n v="20.838511547252452" u="1"/>
        <n v="21.404868956111628" u="1"/>
        <n v="15.812089543627284" u="1"/>
        <n v="16.166062924164269" u="1"/>
        <n v="16.52003630470125" u="1"/>
        <n v="17.086393713560426" u="1"/>
        <n v="12.626329118794429" u="1"/>
        <n v="16.661625656916044" u="1"/>
        <n v="17.015599037453029" u="1"/>
        <n v="17.369572417990014" u="1"/>
        <n v="17.935929826849186" u="1"/>
        <n v="16.874009685238235" u="1"/>
        <n v="17.440367094097411" u="1"/>
        <n v="17.22798306577522" u="1"/>
        <n v="17.794340474634392" u="1"/>
        <n v="18.148313855171374" u="1"/>
        <n v="19.210233996782328" u="1"/>
        <n v="16.378446952486456" u="1"/>
        <n v="16.732420333023441" u="1"/>
        <n v="17.652751122419598" u="1"/>
        <n v="14.53778537369414" u="1"/>
        <n v="15.882884219734679" u="1"/>
        <n v="15.741294867519885" u="1"/>
        <n v="21.546458308326418" u="1"/>
        <n v="9.7945420744985601" u="1"/>
        <n v="12.909507823224017" u="1"/>
        <n v="13.263481203761001" u="1"/>
        <n v="14.325401345371951" u="1"/>
        <n v="17.298777741882617" u="1"/>
        <n v="23.387119887118736" u="1"/>
        <n v="14.962553430338522" u="1"/>
        <n v="13.900633288727571" u="1"/>
        <n v="16.024473571949471" u="1"/>
        <n v="19.068644644567534" u="1"/>
        <n v="20.059770110071089" u="1"/>
        <n v="25.369370818125844" u="1"/>
        <n v="24.30745067651489" u="1"/>
        <n v="23.953477295977912" u="1"/>
        <n v="22.254405069400388" u="1"/>
        <n v="19.776591405641501" u="1"/>
        <n v="19.63500205342671" u="1"/>
        <n v="14.34975085195501" u="1"/>
        <n v="14.491340204169806" u="1"/>
        <n v="14.703724232491993" u="1"/>
        <n v="15.05769761302898" u="1"/>
        <n v="13.004652005914474" u="1"/>
        <n v="13.146241358129268" u="1"/>
        <n v="13.358625386451456" u="1"/>
        <n v="13.712598766988441" u="1"/>
        <n v="12.225910568733109" u="1"/>
        <n v="12.367499920947902" u="1"/>
        <n v="12.579883949270094" u="1"/>
        <n v="12.933857329807076" u="1"/>
        <n v="12.438294597055298" u="1"/>
        <n v="12.792267977592283" u="1"/>
        <n v="12.86306265369968" u="1"/>
        <n v="13.217036034236664" u="1"/>
        <n v="13.571009414773647" u="1"/>
        <n v="14.986902936921579" u="1"/>
        <n v="15.128492289136375" u="1"/>
        <n v="15.340876317458568" u="1"/>
        <n v="15.694849697995549" u="1"/>
        <n v="16.119617754639929" u="1"/>
        <n v="16.261207106854727" u="1"/>
        <n v="16.473591135176914" u="1"/>
        <n v="16.827564515713899" u="1"/>
        <n v="17.110743220143487" u="1"/>
        <n v="14.916108260814186" u="1"/>
        <n v="15.199286965243772" u="1"/>
        <n v="15.48246566967336" u="1"/>
        <n v="16.048823078532532" u="1"/>
        <n v="10.650781075031183" u="1"/>
        <n v="13.20250486576896" u="1"/>
        <n v="12.986329623738808" u="1"/>
        <n v="10.042078074814718" u="1"/>
        <n v="12.193687069628249" u="1"/>
        <n v="13.129071861626796" u="1"/>
        <n v="12.914271209728756" u="1"/>
        <n v="12.049570241608146" u="1"/>
        <n v="10.607302289301435" u="1"/>
        <n v="10.464285133387024" u="1"/>
        <n v="9.476853860328001" u="1"/>
        <n v="10.154433953143805" u="1"/>
        <n v="13.490738521809165" u="1"/>
        <n v="12.607326432869824" u="1"/>
        <n v="13.469120997606147" u="1"/>
        <n v="10.868175003679921" u="1"/>
        <n v="12.259496147031843" u="1"/>
        <n v="10.955132575139416" u="1"/>
        <n v="12.409862311658401" u="1"/>
        <n v="11.042090146598913" u="1"/>
        <n v="12.389932504221088" u="1"/>
        <n v="11.545161343537789" u="1"/>
        <n v="12.433411289950834" u="1"/>
        <n v="10.968694031457384" u="1"/>
        <n v="8.3025327130854993" u="1"/>
        <n v="7.7377024311380973" u="1"/>
        <n v="18.174535432462477" u="1"/>
        <n v="17.59806812038207" u="1"/>
        <n v="20.767716871145058" u="1"/>
        <n v="26.78526434027378" u="1"/>
        <n v="18.289903207386171" u="1"/>
        <n v="17.581956446312205" u="1"/>
        <n v="18.856260616245343" u="1"/>
        <n v="19.351823348997122" u="1"/>
        <n v="19.705796729534104" u="1"/>
        <n v="15.528910839197698" u="1"/>
        <n v="15.316526810875505" u="1"/>
        <n v="15.458116163090297" u="1"/>
        <n v="11.989177033827858" u="1"/>
        <n v="13.334275879868398" u="1"/>
        <n v="13.475865232083191" u="1"/>
        <n v="13.829838612620174" u="1"/>
        <n v="14.466990697586743" u="1"/>
        <n v="14.820964078123728" u="1"/>
        <n v="16.236857600271662" u="1"/>
        <n v="14.679374725908936" u="1"/>
        <n v="15.033348106445917" u="1"/>
        <n v="15.953678895842076" u="1"/>
        <n v="16.095268248056872" u="1"/>
        <n v="16.449241628593857" u="1"/>
        <n v="13.405070555975794" u="1"/>
        <n v="13.546659908190586" u="1"/>
        <n v="13.971427964834968" u="1"/>
        <n v="14.11301731704976" u="1"/>
        <n v="13.68824926040538" u="1"/>
        <n v="14.183811993157159" u="1"/>
        <n v="14.608580049801535" u="1"/>
        <n v="15.060289425884275" u="1"/>
        <n v="14.772194783407118" u="1"/>
        <n v="11.824708289734369" u="1"/>
        <n v="8.9450059612097981" u="1"/>
        <n v="19.25541164261324" u="1"/>
        <n v="10.520344717841942" u="1"/>
        <n v="17.476950434601555" u="1"/>
        <n v="13.728651967323191" u="1"/>
        <n v="141.03413131959928" u="1"/>
        <n v="8.3464054313545617" u="1"/>
        <n v="9.149273487337636" u="1"/>
        <n v="11.216005289517902" u="1"/>
        <n v="13.650817290383767" u="1"/>
        <n v="18.005694902956581" u="1"/>
        <n v="18.359668283493569" u="1"/>
        <n v="18.713641664030551" u="1"/>
        <n v="19.279999072889726" u="1"/>
        <n v="20.12953518617849" u="1"/>
        <n v="20.483508566715468" u="1"/>
        <n v="20.837481947252453" u="1"/>
        <n v="21.403839356111629" u="1"/>
        <n v="15.811059943627283" u="1"/>
        <n v="16.165033324164266" u="1"/>
        <n v="16.519006704701251" u="1"/>
        <n v="17.085364113560424" u="1"/>
        <n v="12.625299518794428" u="1"/>
        <n v="16.660596056916042" u="1"/>
        <n v="17.01456943745303" u="1"/>
        <n v="17.368542817990011" u="1"/>
        <n v="17.934900226849187" u="1"/>
        <n v="16.872980085238236" u="1"/>
        <n v="17.439337494097408" u="1"/>
        <n v="17.226953465775217" u="1"/>
        <n v="17.793310874634393" u="1"/>
        <n v="18.147284255171375" u="1"/>
        <n v="19.209204396782329" u="1"/>
        <n v="16.377417352486457" u="1"/>
        <n v="16.731390733023442" u="1"/>
        <n v="17.651721522419599" u="1"/>
        <n v="14.536755773694139" u="1"/>
        <n v="15.881854619734678" u="1"/>
        <n v="15.740265267519884" u="1"/>
        <n v="21.545428708326419" u="1"/>
        <n v="9.7935124744985593" u="1"/>
        <n v="12.908478223224016" u="1"/>
        <n v="13.262451603761001" u="1"/>
        <n v="14.32437174537195" u="1"/>
        <n v="17.297748141882618" u="1"/>
        <n v="23.386090287118737" u="1"/>
        <n v="14.961523830338521" u="1"/>
        <n v="13.89960368872757" u="1"/>
        <n v="16.023443971949472" u="1"/>
        <n v="19.067615044567535" u="1"/>
        <n v="20.05874051007109" u="1"/>
        <n v="25.368341218125845" u="1"/>
        <n v="24.306421076514894" u="1"/>
        <n v="23.952447695977913" u="1"/>
        <n v="22.253375469400389" u="1"/>
        <n v="19.775561805641502" u="1"/>
        <n v="19.633972453426711" u="1"/>
        <n v="14.348721251955009" u="1"/>
        <n v="14.490310604169805" u="1"/>
        <n v="14.702694632491992" u="1"/>
        <n v="15.056668013028979" u="1"/>
        <n v="13.003622405914472" u="1"/>
        <n v="13.145211758129268" u="1"/>
        <n v="13.357595786451455" u="1"/>
        <n v="13.71156916698844" u="1"/>
        <n v="12.224880968733109" u="1"/>
        <n v="12.366470320947901" u="1"/>
        <n v="12.578854349270093" u="1"/>
        <n v="12.932827729807075" u="1"/>
        <n v="12.437264997055298" u="1"/>
        <n v="12.791238377592283" u="1"/>
        <n v="12.86203305369968" u="1"/>
        <n v="13.216006434236663" u="1"/>
        <n v="13.569979814773646" u="1"/>
        <n v="14.98587333692158" u="1"/>
        <n v="15.127462689136374" u="1"/>
        <n v="15.339846717458565" u="1"/>
        <n v="15.693820097995548" u="1"/>
        <n v="16.11858815463993" u="1"/>
        <n v="16.260177506854724" u="1"/>
        <n v="16.472561535176911" u="1"/>
        <n v="16.8265349157139" u="1"/>
        <n v="17.109713620143488" u="1"/>
        <n v="14.915078660814183" u="1"/>
        <n v="15.198257365243771" u="1"/>
        <n v="15.481436069673359" u="1"/>
        <n v="16.047793478532533" u="1"/>
        <n v="10.644877075031184" u="1"/>
        <n v="13.196600865768962" u="1"/>
        <n v="12.980425623738808" u="1"/>
        <n v="10.036174074814719" u="1"/>
        <n v="12.187783069628249" u="1"/>
        <n v="13.123167861626795" u="1"/>
        <n v="12.908367209728757" u="1"/>
        <n v="12.043666241608149" u="1"/>
        <n v="10.601398289301436" u="1"/>
        <n v="10.458381133387025" u="1"/>
        <n v="13.644913290383768" u="1"/>
        <n v="9.470949860328" u="1"/>
        <n v="10.148529953143806" u="1"/>
        <n v="13.484834521809166" u="1"/>
        <n v="12.601422432869825" u="1"/>
        <n v="13.463216997606148" u="1"/>
        <n v="10.862271003679924" u="1"/>
        <n v="12.253592147031844" u="1"/>
        <n v="10.949228575139417" u="1"/>
        <n v="12.403958311658402" u="1"/>
        <n v="11.036186146598913" u="1"/>
        <n v="12.384028504221089" u="1"/>
        <n v="11.539257343537789" u="1"/>
        <n v="12.427507289950835" u="1"/>
        <n v="11.210101289517903" u="1"/>
        <n v="10.962790031457383" u="1"/>
        <n v="8.2966287130854983" u="1"/>
        <n v="7.7317984311380972" u="1"/>
        <n v="18.16863143246248" u="1"/>
        <n v="17.592164120382069" u="1"/>
        <n v="20.766687271145059" u="1"/>
        <n v="26.784234740273781" u="1"/>
        <n v="18.288873607386172" u="1"/>
        <n v="17.580926846312202" u="1"/>
        <n v="18.855231016245344" u="1"/>
        <n v="19.350793748997123" u="1"/>
        <n v="19.704767129534105" u="1"/>
        <n v="15.527881239197695" u="1"/>
        <n v="15.315497210875504" u="1"/>
        <n v="15.457086563090296" u="1"/>
        <n v="13.333246279868398" u="1"/>
        <n v="13.47483563208319" u="1"/>
        <n v="13.828809012620173" u="1"/>
        <n v="14.465961097586742" u="1"/>
        <n v="14.819934478123727" u="1"/>
        <n v="16.235828000271663" u="1"/>
        <n v="14.678345125908935" u="1"/>
        <n v="15.032318506445916" u="1"/>
        <n v="15.952649295842075" u="1"/>
        <n v="16.094238648056873" u="1"/>
        <n v="16.448212028593854" u="1"/>
        <n v="13.404040955975793" u="1"/>
        <n v="13.545630308190585" u="1"/>
        <n v="13.970398364834967" u="1"/>
        <n v="14.111987717049759" u="1"/>
        <n v="13.687219660405381" u="1"/>
        <n v="14.182782393157158" u="1"/>
        <n v="14.607550449801534" u="1"/>
        <n v="15.047989425884275" u="1"/>
        <n v="14.759894783407118" u="1"/>
        <n v="11.818804289734368" u="1"/>
        <n v="8.9439763612097973" u="1"/>
        <n v="19.249507642613239" u="1"/>
        <n v="10.514440717841941" u="1"/>
        <n v="17.471046434601554" u="1"/>
        <n v="13.716351967323192" u="1"/>
        <n v="141.0282273195993" u="1"/>
        <n v="8.3405014313545625" u="1"/>
        <n v="9.1482438873376353" u="1"/>
        <n v="18.005169302956581" u="1"/>
        <n v="18.359142683493566" u="1"/>
        <n v="18.713116064030547" u="1"/>
        <n v="19.279473472889723" u="1"/>
        <n v="20.129009586178487" u="1"/>
        <n v="20.482982966715465" u="1"/>
        <n v="20.83695634725245" u="1"/>
        <n v="21.403313756111626" u="1"/>
        <n v="15.810534343627284" u="1"/>
        <n v="16.164507724164267" u="1"/>
        <n v="16.518481104701252" u="1"/>
        <n v="17.084838513560424" u="1"/>
        <n v="12.624773918794428" u="1"/>
        <n v="16.660070456916042" u="1"/>
        <n v="17.014043837453031" u="1"/>
        <n v="17.368017217990012" u="1"/>
        <n v="17.934374626849188" u="1"/>
        <n v="16.872454485238237" u="1"/>
        <n v="17.438811894097409" u="1"/>
        <n v="17.226427865775218" u="1"/>
        <n v="17.792785274634394" u="1"/>
        <n v="18.146758655171372" u="1"/>
        <n v="19.208678796782326" u="1"/>
        <n v="16.376891752486458" u="1"/>
        <n v="16.730865133023443" u="1"/>
        <n v="17.6511959224196" u="1"/>
        <n v="14.53623017369414" u="1"/>
        <n v="15.881329019734679" u="1"/>
        <n v="15.739739667519885" u="1"/>
        <n v="21.544903108326416" u="1"/>
        <n v="9.7929868744985598" u="1"/>
        <n v="12.907952623224016" u="1"/>
        <n v="13.261926003761001" u="1"/>
        <n v="14.323846145371951" u="1"/>
        <n v="17.297222541882618" u="1"/>
        <n v="23.385564687118734" u="1"/>
        <n v="14.960998230338522" u="1"/>
        <n v="13.89907808872757" u="1"/>
        <n v="16.022918371949473" u="1"/>
        <n v="19.067089444567532" u="1"/>
        <n v="20.058214910071086" u="1"/>
        <n v="25.367815618125842" u="1"/>
        <n v="24.305895476514891" u="1"/>
        <n v="23.95192209597791" u="1"/>
        <n v="22.252849869400386" u="1"/>
        <n v="19.775036205641499" u="1"/>
        <n v="19.633446853426708" u="1"/>
        <n v="14.34819565195501" u="1"/>
        <n v="14.489785004169805" u="1"/>
        <n v="14.702169032491993" u="1"/>
        <n v="15.056142413028979" u="1"/>
        <n v="13.003096805914472" u="1"/>
        <n v="13.144686158129268" u="1"/>
        <n v="13.357070186451455" u="1"/>
        <n v="13.71104356698844" u="1"/>
        <n v="12.224355368733109" u="1"/>
        <n v="12.365944720947901" u="1"/>
        <n v="12.578328749270094" u="1"/>
        <n v="12.932302129807075" u="1"/>
        <n v="12.436739397055298" u="1"/>
        <n v="12.790712777592283" u="1"/>
        <n v="12.86150745369968" u="1"/>
        <n v="13.215480834236663" u="1"/>
        <n v="13.569454214773646" u="1"/>
        <n v="14.985347736921581" u="1"/>
        <n v="15.126937089136375" u="1"/>
        <n v="15.339321117458566" u="1"/>
        <n v="15.693294497995549" u="1"/>
        <n v="16.118062554639931" u="1"/>
        <n v="16.259651906854725" u="1"/>
        <n v="16.472035935176912" u="1"/>
        <n v="16.8260093157139" u="1"/>
        <n v="17.109188020143488" u="1"/>
        <n v="14.914553060814184" u="1"/>
        <n v="15.197731765243772" u="1"/>
        <n v="15.480910469673359" u="1"/>
        <n v="16.047267878532534" u="1"/>
        <n v="11.642281146815378" u="1"/>
        <n v="13.19399286576896" u="1"/>
        <n v="11.294450860977397" u="1"/>
        <n v="12.977817623738808" u="1"/>
        <n v="10.859663003679922" u="1"/>
        <n v="12.185175069628249" u="1"/>
        <n v="13.120559861626797" u="1"/>
        <n v="12.905759209728757" u="1"/>
        <n v="12.041058241608146" u="1"/>
        <n v="10.598790289301435" u="1"/>
        <n v="10.455773133387025" u="1"/>
        <n v="9.4683418603279996" u="1"/>
        <n v="10.145921953143805" u="1"/>
        <n v="13.482226521809165" u="1"/>
        <n v="12.598814432869824" u="1"/>
        <n v="13.460608997606148" u="1"/>
        <n v="12.250984147031843" u="1"/>
        <n v="11.468366003896387" u="1"/>
        <n v="12.401350311658401" u="1"/>
        <n v="11.033578146598913" u="1"/>
        <n v="12.381420504221088" u="1"/>
        <n v="11.536649343537789" u="1"/>
        <n v="11.207493289517902" u="1"/>
        <n v="12.424899289950835" u="1"/>
        <n v="10.960182031457384" u="1"/>
        <n v="8.2940207130854997" u="1"/>
        <n v="18.166023432462477" u="1"/>
        <n v="17.589556120382071" u="1"/>
        <n v="20.766161671145056" u="1"/>
        <n v="26.783709140273778" u="1"/>
        <n v="18.288348007386169" u="1"/>
        <n v="17.580401246312203" u="1"/>
        <n v="18.854705416245341" u="1"/>
        <n v="19.35026814899712" u="1"/>
        <n v="19.704241529534102" u="1"/>
        <n v="15.527355639197696" u="1"/>
        <n v="15.314971610875505" u="1"/>
        <n v="15.456560963090297" u="1"/>
        <n v="13.332720679868398" u="1"/>
        <n v="13.47431003208319" u="1"/>
        <n v="13.828283412620173" u="1"/>
        <n v="14.465435497586743" u="1"/>
        <n v="14.819408878123728" u="1"/>
        <n v="16.235302400271664" u="1"/>
        <n v="14.677819525908935" u="1"/>
        <n v="15.031792906445917" u="1"/>
        <n v="15.952123695842076" u="1"/>
        <n v="16.093713048056873" u="1"/>
        <n v="16.447686428593855" u="1"/>
        <n v="13.403515355975793" u="1"/>
        <n v="13.545104708190586" u="1"/>
        <n v="13.969872764834967" u="1"/>
        <n v="14.11146211704976" u="1"/>
        <n v="13.686694060405381" u="1"/>
        <n v="14.182256793157158" u="1"/>
        <n v="14.607024849801535" u="1"/>
        <n v="15.042556092550942" u="1"/>
        <n v="14.754461450073785" u="1"/>
        <n v="12.51185686141033" u="1"/>
        <n v="8.9434507612097978" u="1"/>
        <n v="19.246899642613236" u="1"/>
        <n v="11.381408432436894" u="1"/>
        <n v="10.946620575139416" u="1"/>
        <n v="17.468438434601556" u="1"/>
        <n v="19.305600000000002" u="1"/>
        <n v="13.710918633989859" u="1"/>
        <n v="18.52631550251273" u="1"/>
        <n v="8.3378934313545621" u="1"/>
        <n v="9.1477182873376357" u="1"/>
        <n v="9.2074691459495153" u="1"/>
        <n v="18.004706102956582" u="1"/>
        <n v="18.358679483493567" u="1"/>
        <n v="18.712652864030549" u="1"/>
        <n v="19.279010272889725" u="1"/>
        <n v="20.128546386178488" u="1"/>
        <n v="20.482519766715466" u="1"/>
        <n v="20.836493147252451" u="1"/>
        <n v="21.402850556111627" u="1"/>
        <n v="15.810071143627283" u="1"/>
        <n v="16.164044524164268" u="1"/>
        <n v="16.518017904701249" u="1"/>
        <n v="17.084375313560425" u="1"/>
        <n v="12.624310718794428" u="1"/>
        <n v="16.659607256916043" u="1"/>
        <n v="17.013580637453028" u="1"/>
        <n v="17.367554017990013" u="1"/>
        <n v="17.933911426849185" u="1"/>
        <n v="16.871991285238234" u="1"/>
        <n v="17.43834869409741" u="1"/>
        <n v="17.225964665775216" u="1"/>
        <n v="17.792322074634392" u="1"/>
        <n v="18.146295455171373" u="1"/>
        <n v="19.208215596782328" u="1"/>
        <n v="16.376428552486455" u="1"/>
        <n v="16.730401933023444" u="1"/>
        <n v="17.650732722419598" u="1"/>
        <n v="14.535766973694139" u="1"/>
        <n v="15.880865819734678" u="1"/>
        <n v="15.739276467519884" u="1"/>
        <n v="21.544439908326417" u="1"/>
        <n v="9.7925236744985593" u="1"/>
        <n v="12.907489423224016" u="1"/>
        <n v="13.261462803761001" u="1"/>
        <n v="14.32338294537195" u="1"/>
        <n v="17.296759341882616" u="1"/>
        <n v="23.385101487118735" u="1"/>
        <n v="14.960535030338521" u="1"/>
        <n v="13.89861488872757" u="1"/>
        <n v="16.022455171949471" u="1"/>
        <n v="19.066626244567534" u="1"/>
        <n v="20.057751710071088" u="1"/>
        <n v="25.367352418125844" u="1"/>
        <n v="24.305432276514892" u="1"/>
        <n v="23.951458895977911" u="1"/>
        <n v="22.252386669400387" u="1"/>
        <n v="19.7745730056415" u="1"/>
        <n v="19.632983653426709" u="1"/>
        <n v="14.347732451955009" u="1"/>
        <n v="14.489321804169805" u="1"/>
        <n v="14.701705832491992" u="1"/>
        <n v="15.055679213028979" u="1"/>
        <n v="13.002633605914474" u="1"/>
        <n v="13.144222958129268" u="1"/>
        <n v="13.356606986451455" u="1"/>
        <n v="13.71058036698844" u="1"/>
        <n v="12.223892168733109" u="1"/>
        <n v="12.365481520947901" u="1"/>
        <n v="12.577865549270093" u="1"/>
        <n v="12.931838929807075" u="1"/>
        <n v="12.436276197055298" u="1"/>
        <n v="12.790249577592283" u="1"/>
        <n v="12.86104425369968" u="1"/>
        <n v="13.215017634236663" u="1"/>
        <n v="13.568991014773646" u="1"/>
        <n v="14.984884536921578" u="1"/>
        <n v="15.126473889136374" u="1"/>
        <n v="15.338857917458567" u="1"/>
        <n v="15.692831297995548" u="1"/>
        <n v="16.117599354639932" u="1"/>
        <n v="16.259188706854726" u="1"/>
        <n v="16.471572735176913" u="1"/>
        <n v="16.825546115713898" u="1"/>
        <n v="17.108724820143486" u="1"/>
        <n v="14.914089860814185" u="1"/>
        <n v="15.197268565243771" u="1"/>
        <n v="15.480447269673359" u="1"/>
        <n v="16.046804678532531" u="1"/>
        <n v="11.641969146815379" u="1"/>
        <n v="13.193680865768963" u="1"/>
        <n v="11.294138860977398" u="1"/>
        <n v="12.977505623738809" u="1"/>
        <n v="10.859351003679924" u="1"/>
        <n v="12.18486306962825" u="1"/>
        <n v="13.120247861626796" u="1"/>
        <n v="12.905447209728758" u="1"/>
        <n v="12.040746241608149" u="1"/>
        <n v="10.598478289301436" u="1"/>
        <n v="10.455461133387026" u="1"/>
        <n v="9.4680298603280004" u="1"/>
        <n v="10.145609953143806" u="1"/>
        <n v="13.481914521809166" u="1"/>
        <n v="12.598502432869825" u="1"/>
        <n v="13.460296997606148" u="1"/>
        <n v="12.250672147031844" u="1"/>
        <n v="11.468054003896389" u="1"/>
        <n v="12.401038311658402" u="1"/>
        <n v="11.033266146598914" u="1"/>
        <n v="12.381108504221089" u="1"/>
        <n v="11.53633734353779" u="1"/>
        <n v="11.207181289517903" u="1"/>
        <n v="12.424587289950836" u="1"/>
        <n v="10.959870031457383" u="1"/>
        <n v="8.2937087130854987" u="1"/>
        <n v="18.16571143246248" u="1"/>
        <n v="17.58924412038207" u="1"/>
        <n v="20.765698471145058" u="1"/>
        <n v="26.78324594027378" u="1"/>
        <n v="18.28788480738617" u="1"/>
        <n v="17.579938046312204" u="1"/>
        <n v="18.854242216245343" u="1"/>
        <n v="19.349804948997122" u="1"/>
        <n v="19.703778329534103" u="1"/>
        <n v="15.526892439197697" u="1"/>
        <n v="15.314508410875504" u="1"/>
        <n v="15.456097763090296" u="1"/>
        <n v="13.332257479868398" u="1"/>
        <n v="13.47384683208319" u="1"/>
        <n v="13.827820212620173" u="1"/>
        <n v="14.464972297586742" u="1"/>
        <n v="14.818945678123727" u="1"/>
        <n v="16.234839200271661" u="1"/>
        <n v="14.677356325908935" u="1"/>
        <n v="15.031329706445916" u="1"/>
        <n v="15.951660495842075" u="1"/>
        <n v="16.093249848056871" u="1"/>
        <n v="16.447223228593856" u="1"/>
        <n v="13.403052155975793" u="1"/>
        <n v="13.544641508190585" u="1"/>
        <n v="13.969409564834967" u="1"/>
        <n v="14.110998917049759" u="1"/>
        <n v="13.686230860405379" u="1"/>
        <n v="14.181793593157158" u="1"/>
        <n v="14.606561649801534" u="1"/>
        <n v="15.041906092550942" u="1"/>
        <n v="14.753811450073785" u="1"/>
        <n v="12.51154486141033" u="1"/>
        <n v="8.9429875612097973" u="1"/>
        <n v="19.246587642613243" u="1"/>
        <n v="11.381096432436895" u="1"/>
        <n v="10.946308575139417" u="1"/>
        <n v="17.468126434601555" u="1"/>
        <n v="13.710268633989859" u="1"/>
        <n v="18.526003502512729" u="1"/>
        <n v="8.3375814313545629" u="1"/>
        <n v="9.1472550873376353" u="1"/>
        <n v="9.2071571459495143" u="1"/>
        <n v="18.003303792956583" u="1"/>
        <n v="18.357277173493568" u="1"/>
        <n v="18.711250554030549" u="1"/>
        <n v="19.277607962889725" u="1"/>
        <n v="20.127144076178489" u="1"/>
        <n v="20.481117456715467" u="1"/>
        <n v="20.835090837252451" u="1"/>
        <n v="21.401448246111627" u="1"/>
        <n v="15.808668833627284" u="1"/>
        <n v="16.162642214164268" u="1"/>
        <n v="16.51661559470125" u="1"/>
        <n v="17.082973003560426" u="1"/>
        <n v="12.622908408794428" u="1"/>
        <n v="16.658204946916044" u="1"/>
        <n v="17.012178327453029" u="1"/>
        <n v="17.366151707990014" u="1"/>
        <n v="17.932509116849186" u="1"/>
        <n v="16.870588975238235" u="1"/>
        <n v="17.436946384097411" u="1"/>
        <n v="17.22456235577522" u="1"/>
        <n v="17.790919764634392" u="1"/>
        <n v="18.144893145171373" u="1"/>
        <n v="19.206813286782328" u="1"/>
        <n v="16.375026242486456" u="1"/>
        <n v="16.728999623023441" u="1"/>
        <n v="17.649330412419598" u="1"/>
        <n v="14.53436466369414" u="1"/>
        <n v="15.879463509734679" u="1"/>
        <n v="15.737874157519885" u="1"/>
        <n v="21.543037598326418" u="1"/>
        <n v="9.7911213644985597" u="1"/>
        <n v="12.906087113224016" u="1"/>
        <n v="13.260060493761001" u="1"/>
        <n v="14.321980635371951" u="1"/>
        <n v="17.295357031882617" u="1"/>
        <n v="23.383699177118736" u="1"/>
        <n v="14.959132720338522" u="1"/>
        <n v="13.89721257872757" u="1"/>
        <n v="16.021052861949471" u="1"/>
        <n v="19.065223934567534" u="1"/>
        <n v="20.056349400071088" u="1"/>
        <n v="25.365950108125844" u="1"/>
        <n v="24.304029966514889" u="1"/>
        <n v="23.950056585977912" u="1"/>
        <n v="22.250984359400388" u="1"/>
        <n v="19.7731706956415" u="1"/>
        <n v="19.63158134342671" u="1"/>
        <n v="14.34633014195501" u="1"/>
        <n v="14.487919494169805" u="1"/>
        <n v="14.700303522491993" u="1"/>
        <n v="15.054276903028979" u="1"/>
        <n v="13.001231295914474" u="1"/>
        <n v="13.142820648129268" u="1"/>
        <n v="13.355204676451455" u="1"/>
        <n v="13.70917805698844" u="1"/>
        <n v="12.222489858733109" u="1"/>
        <n v="12.364079210947901" u="1"/>
        <n v="12.576463239270094" u="1"/>
        <n v="12.930436619807075" u="1"/>
        <n v="12.434873887055298" u="1"/>
        <n v="12.788847267592283" u="1"/>
        <n v="12.85964194369968" u="1"/>
        <n v="13.213615324236663" u="1"/>
        <n v="13.567588704773646" u="1"/>
        <n v="14.983482226921579" u="1"/>
        <n v="15.125071579136375" u="1"/>
        <n v="15.337455607458567" u="1"/>
        <n v="15.691428987995549" u="1"/>
        <n v="16.116197044639929" u="1"/>
        <n v="16.257786396854726" u="1"/>
        <n v="16.470170425176914" u="1"/>
        <n v="16.824143805713899" u="1"/>
        <n v="17.107322510143486" u="1"/>
        <n v="14.912687550814185" u="1"/>
        <n v="15.195866255243772" u="1"/>
        <n v="15.479044959673359" u="1"/>
        <n v="16.045402368532532" u="1"/>
        <n v="11.764576186815377" u="1"/>
        <n v="13.316287905768961" u="1"/>
        <n v="11.416745900977396" u="1"/>
        <n v="13.100112663738807" u="1"/>
        <n v="10.981958043679922" u="1"/>
        <n v="12.307470109628248" u="1"/>
        <n v="13.242854901626794" u="1"/>
        <n v="13.028054249728756" u="1"/>
        <n v="12.163353281608147" u="1"/>
        <n v="10.721085329301435" u="1"/>
        <n v="10.578068173387024" u="1"/>
        <n v="9.5906369003280005" u="1"/>
        <n v="10.268216993143804" u="1"/>
        <n v="13.604521561809165" u="1"/>
        <n v="12.721109472869824" u="1"/>
        <n v="13.582904037606147" u="1"/>
        <n v="12.373279187031843" u="1"/>
        <n v="11.590661043896388" u="1"/>
        <n v="12.5236453516584" u="1"/>
        <n v="11.155873186598912" u="1"/>
        <n v="12.503715544221087" u="1"/>
        <n v="11.658944383537788" u="1"/>
        <n v="11.329788329517902" u="1"/>
        <n v="12.547194329950834" u="1"/>
        <n v="11.082477071457381" u="1"/>
        <n v="8.4163157530854988" u="1"/>
        <n v="18.288318472462478" u="1"/>
        <n v="17.711851160382068" u="1"/>
        <n v="20.764296161145058" u="1"/>
        <n v="26.78184363027378" u="1"/>
        <n v="18.286482497386171" u="1"/>
        <n v="17.578535736312205" u="1"/>
        <n v="18.852839906245343" u="1"/>
        <n v="19.348402638997122" u="1"/>
        <n v="19.702376019534103" u="1"/>
        <n v="15.525490129197697" u="1"/>
        <n v="15.313106100875505" u="1"/>
        <n v="15.454695453090297" u="1"/>
        <n v="13.330855169868398" u="1"/>
        <n v="13.47244452208319" u="1"/>
        <n v="13.826417902620173" u="1"/>
        <n v="14.463569987586743" u="1"/>
        <n v="14.817543368123728" u="1"/>
        <n v="16.233436890271662" u="1"/>
        <n v="14.675954015908935" u="1"/>
        <n v="15.029927396445917" u="1"/>
        <n v="15.950258185842076" u="1"/>
        <n v="16.091847538056872" u="1"/>
        <n v="16.445820918593856" u="1"/>
        <n v="13.401649845975793" u="1"/>
        <n v="13.543239198190586" u="1"/>
        <n v="13.968007254834967" u="1"/>
        <n v="14.10959660704976" u="1"/>
        <n v="13.684828550405379" u="1"/>
        <n v="14.180391283157158" u="1"/>
        <n v="14.605159339801535" u="1"/>
        <n v="15.630593675884274" u="1"/>
        <n v="15.342499033407117" u="1"/>
        <n v="12.634151901410329" u="1"/>
        <n v="8.9415852512097977" u="1"/>
        <n v="19.369194682613241" u="1"/>
        <n v="11.503703472436893" u="1"/>
        <n v="11.068915615139415" u="1"/>
        <n v="17.590733474601553" u="1"/>
        <n v="14.298956217323191" u="1"/>
        <n v="18.648610542512731" u="1"/>
        <n v="8.460188471354563" u="1"/>
        <n v="9.1458527773376357" u="1"/>
        <n v="9.3297641859495126" u="1"/>
        <n v="18.00507281295658" u="1"/>
        <n v="18.359046193493569" u="1"/>
        <n v="18.71301957403055" u="1"/>
        <n v="19.279376982889726" u="1"/>
        <n v="20.12891309617849" u="1"/>
        <n v="20.482886476715468" u="1"/>
        <n v="20.836859857252453" u="1"/>
        <n v="21.403217266111628" u="1"/>
        <n v="15.810437853627283" u="1"/>
        <n v="16.164411234164266" u="1"/>
        <n v="16.518384614701251" u="1"/>
        <n v="17.084742023560423" u="1"/>
        <n v="12.624677428794428" u="1"/>
        <n v="16.659973966916041" u="1"/>
        <n v="17.01394734745303" u="1"/>
        <n v="17.367920727990011" u="1"/>
        <n v="17.934278136849187" u="1"/>
        <n v="16.872357995238236" u="1"/>
        <n v="17.438715404097408" u="1"/>
        <n v="17.226331375775217" u="1"/>
        <n v="17.792688784634393" u="1"/>
        <n v="18.146662165171374" u="1"/>
        <n v="19.208582306782329" u="1"/>
        <n v="16.376795262486457" u="1"/>
        <n v="16.730768643023442" u="1"/>
        <n v="17.651099432419599" u="1"/>
        <n v="14.536133683694139" u="1"/>
        <n v="15.881232529734678" u="1"/>
        <n v="15.739643177519884" u="1"/>
        <n v="21.544806618326419" u="1"/>
        <n v="9.7928903844985591" u="1"/>
        <n v="12.907856133224016" u="1"/>
        <n v="13.261829513761" u="1"/>
        <n v="14.32374965537195" u="1"/>
        <n v="17.297126051882618" u="1"/>
        <n v="23.385468197118737" u="1"/>
        <n v="14.960901740338521" u="1"/>
        <n v="13.89898159872757" u="1"/>
        <n v="16.022821881949472" u="1"/>
        <n v="19.066992954567535" u="1"/>
        <n v="20.058118420071089" u="1"/>
        <n v="25.367719128125845" u="1"/>
        <n v="24.305798986514894" u="1"/>
        <n v="23.951825605977913" u="1"/>
        <n v="22.252753379400389" u="1"/>
        <n v="19.774939715641501" u="1"/>
        <n v="19.633350363426711" u="1"/>
        <n v="14.348099161955009" u="1"/>
        <n v="14.489688514169805" u="1"/>
        <n v="14.702072542491992" u="1"/>
        <n v="15.056045923028979" u="1"/>
        <n v="13.003000315914472" u="1"/>
        <n v="13.144589668129267" u="1"/>
        <n v="13.356973696451455" u="1"/>
        <n v="13.71094707698844" u="1"/>
        <n v="12.224258878733108" u="1"/>
        <n v="12.365848230947901" u="1"/>
        <n v="12.578232259270093" u="1"/>
        <n v="12.932205639807075" u="1"/>
        <n v="12.436642907055298" u="1"/>
        <n v="12.790616287592282" u="1"/>
        <n v="12.861410963699679" u="1"/>
        <n v="13.215384344236663" u="1"/>
        <n v="13.569357724773646" u="1"/>
        <n v="14.98525124692158" u="1"/>
        <n v="15.126840599136374" u="1"/>
        <n v="15.339224627458565" u="1"/>
        <n v="15.693198007995548" u="1"/>
        <n v="16.11796606463993" u="1"/>
        <n v="16.259555416854724" u="1"/>
        <n v="16.471939445176911" u="1"/>
        <n v="16.8259128257139" u="1"/>
        <n v="17.109091530143488" u="1"/>
        <n v="14.914456570814183" u="1"/>
        <n v="15.197635275243771" u="1"/>
        <n v="15.480813979673359" u="1"/>
        <n v="16.047171388532533" u="1"/>
        <n v="11.759507386815377" u="1"/>
        <n v="13.311219105768961" u="1"/>
        <n v="11.411677100977396" u="1"/>
        <n v="13.095043863738807" u="1"/>
        <n v="10.976889243679922" u="1"/>
        <n v="12.302401309628248" u="1"/>
        <n v="13.237786101626797" u="1"/>
        <n v="13.022985449728758" u="1"/>
        <n v="12.158284481608147" u="1"/>
        <n v="10.716016529301434" u="1"/>
        <n v="10.572999373387024" u="1"/>
        <n v="9.5855681003280004" u="1"/>
        <n v="10.263148193143806" u="1"/>
        <n v="13.599452761809166" u="1"/>
        <n v="12.716040672869823" u="1"/>
        <n v="13.577835237606147" u="1"/>
        <n v="12.368210387031843" u="1"/>
        <n v="11.585592243896388" u="1"/>
        <n v="12.5185765516584" u="1"/>
        <n v="11.150804386598912" u="1"/>
        <n v="12.498646744221089" u="1"/>
        <n v="11.65387558353779" u="1"/>
        <n v="11.324719529517903" u="1"/>
        <n v="12.542125529950836" u="1"/>
        <n v="11.077408271457381" u="1"/>
        <n v="8.4112469530854987" u="1"/>
        <n v="18.283249672462478" u="1"/>
        <n v="17.706782360382068" u="1"/>
        <n v="20.766065181145059" u="1"/>
        <n v="26.783612650273781" u="1"/>
        <n v="18.288251517386172" u="1"/>
        <n v="17.580304756312202" u="1"/>
        <n v="18.854608926245344" u="1"/>
        <n v="19.350171658997123" u="1"/>
        <n v="19.704145039534104" u="1"/>
        <n v="15.527259149197695" u="1"/>
        <n v="15.314875120875504" u="1"/>
        <n v="15.456464473090296" u="1"/>
        <n v="13.332624189868397" u="1"/>
        <n v="13.47421354208319" u="1"/>
        <n v="13.828186922620173" u="1"/>
        <n v="14.465339007586742" u="1"/>
        <n v="14.819312388123727" u="1"/>
        <n v="16.235205910271663" u="1"/>
        <n v="14.677723035908935" u="1"/>
        <n v="15.031696416445916" u="1"/>
        <n v="15.952027205842075" u="1"/>
        <n v="16.093616558056873" u="1"/>
        <n v="16.447589938593854" u="1"/>
        <n v="13.403418865975793" u="1"/>
        <n v="13.545008218190585" u="1"/>
        <n v="13.969776274834967" u="1"/>
        <n v="14.111365627049759" u="1"/>
        <n v="13.686597570405381" u="1"/>
        <n v="14.182160303157158" u="1"/>
        <n v="14.606928359801534" u="1"/>
        <n v="15.616939925884274" u="1"/>
        <n v="15.328845283407118" u="1"/>
        <n v="12.62908310141033" u="1"/>
        <n v="8.9433542712097989" u="1"/>
        <n v="19.364125882613237" u="1"/>
        <n v="11.498634672436893" u="1"/>
        <n v="11.063846815139415" u="1"/>
        <n v="17.585664674601553" u="1"/>
        <n v="14.285302467323191" u="1"/>
        <n v="18.643541742512731" u="1"/>
        <n v="8.4551196713545629" u="1"/>
        <n v="9.1476217973376368" u="1"/>
        <n v="9.3246953859495161" u="1"/>
        <n v="18.095680103731098" u="1"/>
        <n v="18.451458410379136" u="1"/>
        <n v="18.807236717027163" u="1"/>
        <n v="19.376482007664009" u="1"/>
        <n v="20.230349943619284" u="1"/>
        <n v="20.586128250267311" u="1"/>
        <n v="20.941906556915342" u="1"/>
        <n v="21.511151847552192" u="1"/>
        <n v="15.889854602513315" u="1"/>
        <n v="16.245632909161348" u="1"/>
        <n v="16.601411215809375" u="1"/>
        <n v="17.170656506446221" u="1"/>
        <n v="12.687849842681045" u="1"/>
        <n v="16.743722538468585" u="1"/>
        <n v="17.099500845116619" u="1"/>
        <n v="17.45527915176465" u="1"/>
        <n v="18.024524442401496" u="1"/>
        <n v="16.957189522457405" u="1"/>
        <n v="17.526434813094255" u="1"/>
        <n v="17.312967829105435" u="1"/>
        <n v="17.882213119742282" u="1"/>
        <n v="18.237991426390312" u="1"/>
        <n v="19.305326346334404" u="1"/>
        <n v="16.459099893150164" u="1"/>
        <n v="16.814878199798194" u="1"/>
        <n v="17.739901797083071" u="1"/>
        <n v="14.609052698580406" u="1"/>
        <n v="15.961010263842919" u="1"/>
        <n v="15.818698941183708" u="1"/>
        <n v="21.653463170211399" u="1"/>
        <n v="9.8416233894968066" u="1"/>
        <n v="12.97247248799947" u="1"/>
        <n v="13.3282507946475" u="1"/>
        <n v="14.395585714591588" u="1"/>
        <n v="17.384123490435044" u="1"/>
        <n v="23.503510364781157" u="1"/>
        <n v="15.035986666558044" u="1"/>
        <n v="13.968651746613952" u="1"/>
        <n v="16.103321586502133" u="1"/>
        <n v="19.163015023675197" u="1"/>
        <n v="20.159194282289675" u="1"/>
        <n v="25.495868882010122" u="1"/>
        <n v="24.428533962066034" u="1"/>
        <n v="24.072755655418007" u="1"/>
        <n v="22.365019783507464" u="1"/>
        <n v="19.87457163697125" u="1"/>
        <n v="19.732260314312043" u="1"/>
        <n v="14.420059380398587" u="1"/>
        <n v="14.5623707030578" u="1"/>
        <n v="14.775837687046618" u="1"/>
        <n v="15.131615993694648" u="1"/>
        <n v="13.068101815136075" u="1"/>
        <n v="13.210413137795285" u="1"/>
        <n v="13.423880121784105" u="1"/>
        <n v="13.779658428432134" u="1"/>
        <n v="12.285389540510408" u="1"/>
        <n v="12.427700863169621" u="1"/>
        <n v="12.641167847158437" u="1"/>
        <n v="12.996946153806469" u="1"/>
        <n v="12.498856524499226" u="1"/>
        <n v="12.854634831147257" u="1"/>
        <n v="12.925790492476862" u="1"/>
        <n v="13.281568799124893" u="1"/>
        <n v="13.637347105772921" u="1"/>
        <n v="15.060460332365041" u="1"/>
        <n v="15.202771655024252" u="1"/>
        <n v="15.416238639013073" u="1"/>
        <n v="15.7720169456611" u="1"/>
        <n v="16.19895091363874" u="1"/>
        <n v="16.34126223629795" u="1"/>
        <n v="16.554729220286767" u="1"/>
        <n v="16.910507526934801" u="1"/>
        <n v="17.195130172253226" u="1"/>
        <n v="14.989304671035436" u="1"/>
        <n v="15.273927316353861" u="1"/>
        <n v="15.558549961672284" u="1"/>
        <n v="16.127795252309134" u="1"/>
        <n v="11.715747344040254" u="1"/>
        <n v="13.375886623556662" u="1"/>
        <n v="11.369284559538999" u="1"/>
        <n v="13.15860909429149" u="1"/>
        <n v="10.936206078912422" u="1"/>
        <n v="12.361924820319199" u="1"/>
        <n v="13.1882141781706" u="1"/>
        <n v="13.086183251203101" u="1"/>
        <n v="12.217073134142423" u="1"/>
        <n v="10.67635899053648" u="1"/>
        <n v="10.623704586197837" u="1"/>
        <n v="9.5503549409073916" u="1"/>
        <n v="10.312273460917758" u="1"/>
        <n v="13.665589995910221" u="1"/>
        <n v="12.668520001418715" u="1"/>
        <n v="13.643862242983706" u="1"/>
        <n v="12.322057216917456" u="1"/>
        <n v="11.542515951789627" u="1"/>
        <n v="12.579202349584371" u="1"/>
        <n v="11.109437471163051" u="1"/>
        <n v="12.451980761105427" u="1"/>
        <n v="11.710092232523687" u="1"/>
        <n v="11.282668863413683" u="1"/>
        <n v="12.495288609168083" u="1"/>
        <n v="11.130685487816567" u="1"/>
        <n v="8.4509292935461335" u="1"/>
        <n v="18.373269796655585" u="1"/>
        <n v="17.79386305194846" u="1"/>
        <n v="20.870750895585733" u="1"/>
        <n v="26.918982108602247" u="1"/>
        <n v="18.380302749049527" u="1"/>
        <n v="17.668746135753466" u="1"/>
        <n v="18.949548039686373" u="1"/>
        <n v="19.447637668993618" u="1"/>
        <n v="19.803415975641645" u="1"/>
        <n v="15.605231957194892" u="1"/>
        <n v="15.391764973206071" u="1"/>
        <n v="15.534076295865285" u="1"/>
        <n v="13.399406455977104" u="1"/>
        <n v="13.541717778636318" u="1"/>
        <n v="13.897496085284347" u="1"/>
        <n v="14.537897037250799" u="1"/>
        <n v="14.893675343898831" u="1"/>
        <n v="16.316788570490953" u="1"/>
        <n v="14.751364021239619" u="1"/>
        <n v="15.107142327887647" u="1"/>
        <n v="16.032165925172528" u="1"/>
        <n v="16.174477247831742" u="1"/>
        <n v="16.530255554479769" u="1"/>
        <n v="13.470562117306711" u="1"/>
        <n v="13.612873439965924" u="1"/>
        <n v="14.039807407943558" u="1"/>
        <n v="14.182118730602772" u="1"/>
        <n v="13.755184762625134" u="1"/>
        <n v="14.253274391932376" u="1"/>
        <n v="14.680208359910011" u="1"/>
        <n v="15.569618243297279" u="1"/>
        <n v="15.282492425076907" u="1"/>
        <n v="12.581904305293401" u="1"/>
        <n v="8.9877554535415349" u="1"/>
        <n v="19.459657442981435" u="1"/>
        <n v="11.455900255664313" u="1"/>
        <n v="11.022821775037738" u="1"/>
        <n v="17.518998984436326" u="1"/>
        <n v="14.242458905745337" u="1"/>
        <n v="18.735399012097531" u="1"/>
        <n v="8.4243508912783032" u="1"/>
        <n v="9.1930645489280209" u="1"/>
        <n v="9.290507852531448" u="1"/>
        <n v="18.664925394367948" u="1"/>
        <n v="19.020703701015982" u="1"/>
        <n v="19.945727298300859" u="1"/>
        <n v="20.799595234256131" u="1"/>
        <n v="21.155373540904161" u="1"/>
        <n v="22.080397138189035" u="1"/>
        <n v="18.593769733038343" u="1"/>
        <n v="17.02834518378701" u="1"/>
        <n v="18.309147087719921" u="1"/>
        <n v="15.46292063453568" u="1"/>
        <n v="24.570845284725248" u="1"/>
        <n v="21.297684863563372" u="1"/>
        <n v="23.432354703451551" u="1"/>
        <n v="18.794921064312589" u="1"/>
        <n v="19.153208939878471" u="1"/>
        <n v="19.51149681544435" u="1"/>
        <n v="20.084757416349756" u="1"/>
        <n v="20.94464831770787" u="1"/>
        <n v="21.302936193273752" u="1"/>
        <n v="21.66122406883963" u="1"/>
        <n v="22.234484669745036" u="1"/>
        <n v="16.716851386030481" u="1"/>
        <n v="17.075139261596362" u="1"/>
        <n v="17.433427137162241" u="1"/>
        <n v="18.006687738067651" u="1"/>
        <n v="12.7756847548058" u="1"/>
        <n v="17.791715012728126" u="1"/>
        <n v="18.150002888294008" u="1"/>
        <n v="18.723263489199415" u="1"/>
        <n v="18.364975613633533" u="1"/>
        <n v="18.221660463407183" u="1"/>
        <n v="18.579948338973061" u="1"/>
        <n v="18.938236214538939" u="1"/>
        <n v="17.863372587841297" u="1"/>
        <n v="19.439839240331175" u="1"/>
        <n v="17.146796836709537" u="1"/>
        <n v="17.505084712275419" u="1"/>
        <n v="18.436633188746708" u="1"/>
        <n v="14.710439282861554" u="1"/>
        <n v="16.071933210011899" u="1"/>
        <n v="15.928618059785546" u="1"/>
        <n v="21.804539219065983" u="1"/>
        <n v="9.9093817502787616" u="1"/>
        <n v="14.137178681956145" u="1"/>
        <n v="14.495466557522025" u="1"/>
        <n v="15.570330184219667" u="1"/>
        <n v="24.742499798706199" u="1"/>
        <n v="16.215248360238252" u="1"/>
        <n v="15.140384733540611" u="1"/>
        <n v="17.290111986935891" u="1"/>
        <n v="20.371387716802463" u="1"/>
        <n v="20.013099841236581" u="1"/>
        <n v="21.087963467934223" u="1"/>
        <n v="20.299730141689285" u="1"/>
        <n v="25.674048275177487" u="1"/>
        <n v="24.599184648479845" u="1"/>
        <n v="24.240896772913967" u="1"/>
        <n v="22.521114970197743" u="1"/>
        <n v="21.446251343500101" u="1"/>
        <n v="23.595978596895378" u="1"/>
        <n v="14.520112854290126" u="1"/>
        <n v="14.663428004516478" u="1"/>
        <n v="14.878400729856004" u="1"/>
        <n v="15.236688605421886" u="1"/>
        <n v="13.158618927139782" u="1"/>
        <n v="13.301934077366132" u="1"/>
        <n v="13.516906802705661" u="1"/>
        <n v="13.875194678271541" u="1"/>
        <n v="12.370385600894846" u="1"/>
        <n v="12.513700751121196" u="1"/>
        <n v="12.728673476460726" u="1"/>
        <n v="13.086961352026606" u="1"/>
        <n v="12.585358326234372" u="1"/>
        <n v="12.943646201800252" u="1"/>
        <n v="13.015303776913429" u="1"/>
        <n v="13.373591652479309" u="1"/>
        <n v="13.731879528045189" u="1"/>
        <n v="15.165031030308707" u="1"/>
        <n v="15.308346180535061" u="1"/>
        <n v="15.523318905874591" u="1"/>
        <n v="15.881606781440469" u="1"/>
        <n v="16.311552232119528" u="1"/>
        <n v="16.454867382345881" u="1"/>
        <n v="16.669840107685406" u="1"/>
        <n v="17.028127983251288" u="1"/>
        <n v="17.314758283703991" u="1"/>
        <n v="15.093373455195534" u="1"/>
        <n v="15.380003755648239" u="1"/>
        <n v="15.666634056100943" u="1"/>
        <n v="16.239894657006349" u="1"/>
        <n v="11.804044202305604" u="1"/>
        <n v="13.465800327858092" u="1"/>
        <n v="11.454822140983552" u="1"/>
        <n v="13.246990178633238" u="1"/>
        <n v="11.01829456433099" u="1"/>
        <n v="12.444686298142106" u="1"/>
        <n v="13.288237962924317" u="1"/>
        <n v="13.174053462224952" u="1"/>
        <n v="12.298812865325539" u="1"/>
        <n v="10.756378018339452" u="1"/>
        <n v="10.694205104343277" u="1"/>
        <n v="9.6214063190427925" u="1"/>
        <n v="10.380577223787652" u="1"/>
        <n v="13.757547193491227" u="1"/>
        <n v="12.764404870941243" u="1"/>
        <n v="13.735666178568744" u="1"/>
        <n v="12.415182809619191" u="1"/>
        <n v="11.629433171644578" u="1"/>
        <n v="12.663496447366958" u="1"/>
        <n v="11.192905594992016" u="1"/>
        <n v="12.546141082614962" u="1"/>
        <n v="11.788255850467547" u="1"/>
        <n v="11.367516625653041" u="1"/>
        <n v="12.589793840280217" u="1"/>
        <n v="11.204762119201266" u="1"/>
        <n v="8.5061036120947371" u="1"/>
        <n v="18.49843376002973" u="1"/>
        <n v="17.914940028763453" u="1"/>
        <n v="21.016305892821045" u="1"/>
        <n v="27.107199777441007" u="1"/>
        <n v="18.508290763859883" u="1"/>
        <n v="19.081551364765293" u="1"/>
        <n v="19.224866514991646" u="1"/>
        <n v="19.583154390557528" u="1"/>
        <n v="20.514702867028817" u="1"/>
        <n v="20.658018017255166" u="1"/>
        <n v="17.648399862501773" u="1"/>
        <n v="15.713645334446019" u="1"/>
        <n v="15.856960484672371" u="1"/>
        <n v="14.92541200820108" u="1"/>
        <n v="18.078345313180829" u="1"/>
        <n v="19.654811965670703" u="1"/>
        <n v="15.355357458880135" u="1"/>
      </sharedItems>
    </cacheField>
    <cacheField name="TCO (R$/M2)" numFmtId="43">
      <sharedItems containsBlank="1" containsMixedTypes="1" containsNumber="1" minValue="0.29261478750000003" maxValue="9.8543902477997953" count="8000">
        <n v="0.38562599599999992"/>
        <n v="0.29304678749999996"/>
        <n v="0.57350866666666678"/>
        <n v="1.810790656"/>
        <n v="1.6507826560000001"/>
        <n v="1.6241146559999999"/>
        <n v="1.673112924"/>
        <n v="1.6031094240000001"/>
        <n v="1.5797749239999999"/>
        <n v="1.407099624"/>
        <n v="1.4677693239999996"/>
        <n v="0.58385866666666675"/>
        <n v="1.2717595240000001"/>
        <n v="1.2484250240000003"/>
        <n v="1.3744313240000001"/>
        <n v="0.57612799999999997"/>
        <n v="0.50343319999999991"/>
        <n v="0.69879440000000004"/>
        <n v="0.76605300000000009"/>
        <n v="0.77759120000000004"/>
        <n v="0.64739999999999998"/>
        <n v="0.38528000000000001"/>
        <n v="1.1266180976"/>
        <n v="1.0903496176000003"/>
        <n v="0.36257839999999991"/>
        <n v="1.5654450559999997"/>
        <n v="2.0188010559999996"/>
        <n v="1.3787690559999999"/>
        <n v="1.3254330560000001"/>
        <n v="1.4214378559999996"/>
        <n v="0.50605039200000013"/>
        <n v="0.43132566"/>
        <n v="1.293431456"/>
        <n v="1.560111456"/>
        <n v="0.83307092400000005"/>
        <n v="0.85173852400000016"/>
        <n v="0.90307442400000015"/>
        <n v="0.97307792399999993"/>
        <n v="1.1130849240000003"/>
        <n v="0.8984075239999999"/>
        <n v="1.256096256"/>
        <n v="1.0477483239999998"/>
        <n v="1.1492858976"/>
        <n v="1.1719536975999998"/>
        <n v="1.2082221775999997"/>
        <n v="0.55405279200000013"/>
        <n v="1.3361002559999999"/>
        <n v="1.3741439999999998"/>
        <n v="1.0601793776000001"/>
        <n v="1.0329780176000001"/>
        <n v="1.0375115776000001"/>
        <n v="1.0420451375999999"/>
        <n v="1.0511122576"/>
        <n v="1.0692464976000002"/>
        <n v="1.0828471775999999"/>
        <n v="1.1055149775999999"/>
        <n v="0.99217597760000009"/>
        <n v="1.0012430976000002"/>
        <n v="1.0148437775999999"/>
        <n v="0.96413495040000019"/>
        <n v="0.9737354304000001"/>
        <n v="0.98813615040000002"/>
        <n v="1.0121373504"/>
        <n v="0.78816577760000017"/>
        <n v="1.0964478575999999"/>
        <n v="0.88135062400000008"/>
        <n v="0.89068442400000014"/>
        <n v="0.90468512400000001"/>
        <n v="0.92801962400000015"/>
        <n v="0.91963901760000011"/>
        <n v="0.9287061376000002"/>
        <n v="0.94230681760000001"/>
        <n v="0.96497461760000003"/>
        <n v="0.79723289760000005"/>
        <n v="0.81083357760000008"/>
        <n v="0.83350137760000009"/>
        <n v="1.2472698560000002"/>
        <n v="1.2152682560000001"/>
        <n v="1.220601856"/>
        <n v="1.225935456"/>
        <n v="1.2366026560000001"/>
        <n v="1.2579370560000003"/>
        <n v="1.2739378560000001"/>
        <n v="1.300605856"/>
        <n v="1.0220738580000002"/>
        <n v="1.0307409580000002"/>
        <n v="1.0437416079999999"/>
        <n v="1.0654093579999999"/>
        <n v="0.98740545800000012"/>
        <n v="0.99607255800000005"/>
        <n v="1.009073208"/>
        <n v="1.2789629999999998"/>
        <n v="1.2419789999999999"/>
        <n v="1.9024799999999999"/>
        <n v="1.5989599999999999"/>
        <n v="2.0851999999999999"/>
        <n v="1.84304"/>
        <n v="2.0906400000000001"/>
        <n v="1.9359799999999998"/>
        <n v="0.70530000000000004"/>
        <n v="1.2196"/>
        <n v="1.06715"/>
        <n v="1.164420824"/>
        <n v="1.1877553239999998"/>
        <n v="1.2110898240000001"/>
        <n v="1.2490242175999999"/>
        <n v="1.2716920175999999"/>
        <n v="1.2943598176"/>
        <n v="1.3306282975999997"/>
        <n v="1.1410863239999998"/>
        <n v="1.2250905240000001"/>
        <n v="1.2120907104"/>
        <n v="1.1352868704000001"/>
        <n v="1.1592880704000001"/>
        <n v="1.1976899904"/>
        <n v="1.1970891239999999"/>
        <n v="1.1224187240000001"/>
        <n v="1.1457532240000001"/>
        <n v="1.1830884239999999"/>
        <n v="1.1402187775999999"/>
        <n v="1.1946214976"/>
        <n v="1.2308899776"/>
        <n v="1.1526539871999999"/>
        <n v="1.1763218371999999"/>
        <n v="1.1999896872"/>
        <n v="1.2378582472000002"/>
        <n v="1.2127557376000002"/>
        <n v="1.2354235376000002"/>
        <n v="1.2580913376000005"/>
        <n v="1.2344243239999999"/>
        <n v="1.2577588240000002"/>
        <n v="1.281093324"/>
        <n v="1.318428524"/>
        <n v="1.1679189080000001"/>
        <n v="1.1895866579999999"/>
        <n v="1.2112544079999998"/>
        <n v="1.245922808"/>
        <n v="1.2670926239999998"/>
        <n v="1.3230954239999999"/>
        <n v="0.93167501760000015"/>
        <n v="0.95434281759999995"/>
        <n v="1.0223462176000002"/>
        <n v="1.6479774976000003"/>
        <n v="1.5387770560000003"/>
        <n v="1.0162446580000002"/>
        <n v="0.95124140800000012"/>
        <n v="1.0812479080000001"/>
        <n v="0.78206310000000012"/>
        <n v="0.91345380000000009"/>
        <n v="0.89378640000000009"/>
        <n v="1.0278048"/>
        <n v="1.0887264000000001"/>
        <n v="1.1461824"/>
        <n v="0.68729894999999985"/>
        <n v="0.78700050000000021"/>
        <n v="0.86206896000000011"/>
        <n v="0.77907059999999984"/>
        <n v="0.70126560000000004"/>
        <n v="0.71429693999999999"/>
        <n v="0.77425344000000007"/>
        <n v="0.81417624000000011"/>
        <n v="0.86569470000000004"/>
        <n v="0.73454219999999992"/>
        <n v="0.80122769999999999"/>
        <n v="0.91772639999999983"/>
        <n v="0.80301059999999991"/>
        <n v="0.71786519999999998"/>
        <n v="1.1624651999999998"/>
        <n v="1.2518855999999998"/>
        <n v="9.2658006000000022"/>
        <n v="0.53439480000000006"/>
        <n v="0.44532900000000003"/>
        <n v="0.82901519999999995"/>
        <n v="0.78006743999999995"/>
        <n v="0.83704464000000001"/>
        <n v="0.90564984000000004"/>
        <n v="0.75121019999999994"/>
        <n v="0.77825670000000013"/>
        <n v="0.83735145000000011"/>
        <n v="0.74765340000000013"/>
        <n v="0.76232520000000015"/>
        <n v="0.59329620000000005"/>
        <n v="0.58156560000000013"/>
        <n v="0.74565269999999995"/>
        <n v="0.71267819999999993"/>
        <n v="0.89923880800000022"/>
        <n v="0.98590980800000017"/>
        <n v="1.2025873080000005"/>
        <n v="0.91223945799999995"/>
        <n v="0.998910458"/>
        <n v="1.215587958"/>
        <n v="1.024911758"/>
        <n v="1.1115827579999999"/>
        <n v="1.328260258"/>
        <n v="1.076914358"/>
        <n v="1.163585358"/>
        <n v="1.3802628579999998"/>
        <n v="0.88147668960000014"/>
        <n v="0.87627642959999985"/>
        <n v="0.9802816296000002"/>
        <n v="1.2402946296000004"/>
        <n v="1.024413824"/>
        <n v="1.066415924"/>
        <n v="1.1597539239999999"/>
        <n v="1.393098924"/>
        <n v="1.1982537579999999"/>
        <n v="1.414931258"/>
        <n v="1.2849247580000003"/>
        <n v="1.5016022579999999"/>
        <n v="1.0855814579999998"/>
        <n v="1.2530919239999998"/>
        <n v="1.4864369239999997"/>
        <n v="1.0725808080000001"/>
        <n v="1.2892583079999997"/>
        <n v="0.82740313760000017"/>
        <n v="0.87727229760000014"/>
        <n v="0.98154417760000001"/>
        <n v="1.0722153776000001"/>
        <n v="1.2988933776"/>
        <n v="1.1431868472"/>
        <n v="1.298052"/>
        <n v="0.77300041759999993"/>
        <n v="0.77753397760000009"/>
        <n v="0.78206753760000003"/>
        <n v="0.79113465760000012"/>
        <n v="0.80926889760000009"/>
        <n v="0.82286957760000012"/>
        <n v="0.84553737760000014"/>
        <n v="0.68093599999999999"/>
        <e v="#N/A"/>
        <n v="0.85027512960000007"/>
        <n v="1.352101056"/>
        <n v="0.69007769999999991"/>
        <n v="1.150420124"/>
        <n v="1.206422924"/>
        <n v="1.2437581239999997"/>
        <n v="0.37837316000000004"/>
        <n v="0.45404779200000006"/>
        <n v="0.87973992400000012"/>
        <n v="0.96841102400000023"/>
        <n v="0.99174552400000004"/>
        <n v="1.0524152240000002"/>
        <n v="0.91240822399999999"/>
        <n v="0.78505559999999996"/>
        <n v="0.89720639999999996"/>
        <n v="1.0181990650000001"/>
        <n v="1.260516"/>
        <n v="0.88506516000000002"/>
        <n v="0.59353560000000016"/>
        <n v="0.7609644176"/>
        <n v="0.76549797760000016"/>
        <n v="0.77003153759999998"/>
        <n v="0.77909865760000008"/>
        <n v="0.89053344000000012"/>
        <n v="0.34188791874999996"/>
        <n v="0.93228660000000008"/>
        <n v="0.74796720000000017"/>
        <n v="0.61632900000000002"/>
        <n v="2.1903999999999999"/>
        <n v="1.9264499999999998"/>
        <n v="1.379"/>
        <n v="0.90427773600000005"/>
        <n v="2.1386508360000001"/>
        <n v="2.1736525860000002"/>
        <n v="2.2086543359999999"/>
        <n v="2.2646571359999998"/>
        <n v="0.40201399999999998"/>
        <n v="0.51928320000000017"/>
        <s v="erro"/>
        <m/>
        <n v="0.59741866666666676" u="1"/>
        <n v="1.7518850560000001" u="1"/>
        <n v="1.613353056" u="1"/>
        <n v="1.592821056" u="1"/>
        <n v="1.6264026239999998" u="1"/>
        <n v="1.5666002240000001" u="1"/>
        <n v="1.548634724" u="1"/>
        <n v="1.3985092239999999" u="1"/>
        <n v="1.456494424" u="1"/>
        <n v="0.60464866666666672" u="1"/>
        <n v="1.2572632239999999" u="1"/>
        <n v="1.2409084239999999" u="1"/>
        <n v="1.3513446239999998" u="1"/>
        <n v="1.2615584240000002" u="1"/>
        <n v="1.2435929240000001" u="1"/>
        <n v="1.3577874239999999" u="1"/>
        <n v="1.2561894240000002" u="1"/>
        <n v="1.2382239240000001" u="1"/>
        <n v="1.245203624" u="1"/>
        <n v="1.0822912427160001" u="1"/>
        <n v="1.0501952427160002" u="1"/>
        <n v="1.4870106089999999" u="1"/>
        <n v="1.900657056" u="1"/>
        <n v="1.428470656" u="1"/>
        <n v="1.3628626560000001" u="1"/>
        <n v="1.444754656" u="1"/>
        <n v="0.61281679200000005" u="1"/>
        <n v="0.51377815999999998" u="1"/>
        <n v="1.3523370560000001" u="1"/>
        <n v="1.3579538560000002" u="1"/>
        <n v="1.5736106560000001" u="1"/>
        <n v="0.83912242400000026" u="1"/>
        <n v="0.90005952400000022" u="1"/>
        <n v="0.9428050240000001" u="1"/>
        <n v="1.0192513240000001" u="1"/>
        <n v="1.1313395240000002" u="1"/>
        <n v="0.89737502400000024" u="1"/>
        <n v="0.95317132400000004" u="1"/>
        <n v="1.2873898559999999" u="1"/>
        <n v="1.028419924" u="1"/>
        <n v="1.573185856" u="1"/>
        <n v="1.1135790976000002" u="1"/>
        <n v="1.1352037775999999" u="1"/>
        <n v="1.1578715775999999" u="1"/>
        <n v="1.2030065775999996" u="1"/>
        <n v="0.60145339200000003" u="1"/>
        <n v="1.2781410559999999" u="1"/>
        <n v="1.0758261776" u="1"/>
        <n v="0.98499449760000024" u="1"/>
        <n v="1.0474212176000002" u="1"/>
        <n v="1.0994786176" u="1"/>
        <n v="1.0521553776000001" u="1"/>
        <n v="1.0650740176000002" u="1"/>
        <n v="1.0776315776000001" u="1"/>
        <n v="1.0982131375999999" u="1"/>
        <n v="0.99895625760000017" u="1"/>
        <n v="1.0090664976000001" u="1"/>
        <n v="1.0226671776" u="1"/>
        <n v="1.0453349776" u="1"/>
        <n v="0.94922447040000002" u="1"/>
        <n v="0.99527279040000016" u="1"/>
        <n v="1.0080167903999999" u="1"/>
        <n v="0.99998807040000015" u="1"/>
        <n v="0.80433413760000017" u="1"/>
        <n v="1.0896675776000002" u="1"/>
        <n v="1.0901891376000001" u="1"/>
        <n v="0.8824244240000001" u="1"/>
        <n v="0.892295124" u="1"/>
        <n v="0.9073696240000001" u="1"/>
        <n v="0.93875762400000007" u="1"/>
        <n v="0.91859589760000016" u="1"/>
        <n v="0.92766301760000025" u="1"/>
        <n v="0.94126369760000006" u="1"/>
        <n v="0.96393149760000019" u="1"/>
        <n v="0.81267909760000012" u="1"/>
        <n v="0.82226777760000014" u="1"/>
        <n v="0.83691157760000012" u="1"/>
        <n v="0.84341101760000003" u="1"/>
        <n v="1.2460426560000002" u="1"/>
        <n v="1.220177056" u="1"/>
        <n v="1.226737856" u="1"/>
        <n v="1.2345258560000003" u="1"/>
        <n v="1.2286258560000003" u="1"/>
        <n v="1.2487330560000003" u="1"/>
        <n v="1.2647338559999999" u="1"/>
        <n v="1.2914018559999998" u="1"/>
        <n v="1.0010424976000003" u="1"/>
        <n v="1.0101096176000002" u="1"/>
        <n v="1.0237102976000001" u="1"/>
        <n v="1.0463780976000001" u="1"/>
        <n v="0.99365650800000005" u="1"/>
        <n v="1.0038192580000003" u="1"/>
        <n v="1.0402517580000001" u="1"/>
        <n v="1.0564354579999999" u="1"/>
        <n v="0.97743445800000017" u="1"/>
        <n v="0.98759720800000006" u="1"/>
        <n v="0.97965875800000013" u="1"/>
        <n v="0.99983085800000016" u="1"/>
        <n v="1.1531459239999999" u="1"/>
        <n v="1.1845339239999999" u="1"/>
        <n v="1.2320289239999997" u="1"/>
        <n v="1.2162110240000001" u="1"/>
        <n v="1.2010406976000003" u="1"/>
        <n v="1.2067798975999999" u="1"/>
        <n v="1.2333372976000001" u="1"/>
        <n v="1.2732566975999999" u="1"/>
        <n v="1.1319590239999999" u="1"/>
        <n v="1.179454024" u="1"/>
        <n v="1.164131724" u="1"/>
        <n v="1.2079097240000001" u="1"/>
        <n v="0.88783472400000008" u="1"/>
        <n v="1.1971802304000001" u="1"/>
        <n v="1.1568242304000003" u="1"/>
        <n v="1.1454820703999999" u="1"/>
        <n v="1.1905108704" u="1"/>
        <n v="1.1873828975999998" u="1"/>
        <n v="1.2106694975999999" u="1"/>
        <n v="1.2377793976" u="1"/>
        <n v="1.0683409240000001" u="1"/>
        <n v="1.1142434240000001" u="1"/>
        <n v="1.1308439239999999" u="1"/>
        <n v="1.168615924" u="1"/>
        <n v="0.84864102400000019" u="1"/>
        <n v="1.1367911239999999" u="1"/>
        <n v="1.1681791240000001" u="1"/>
        <n v="1.2156741239999997" u="1"/>
        <n v="1.2175739239999999" u="1"/>
        <n v="0.88139192400000022" u="1"/>
        <n v="1.1526090240000002" u="1"/>
        <n v="1.2001040239999998" u="1"/>
        <n v="1.2202171239999999" u="1"/>
        <n v="1.2639951240000002" u="1"/>
        <n v="1.2165001239999997" u="1"/>
        <n v="1.1748697240000001" u="1"/>
        <n v="1.2062577239999999" u="1"/>
        <n v="1.2554047239999999" u="1"/>
        <n v="1.2196389239999998" u="1"/>
        <n v="1.1310091240000002" u="1"/>
        <n v="1.1623971239999997" u="1"/>
        <n v="1.2222821239999999" u="1"/>
        <n v="1.1503788239999997" u="1"/>
        <n v="1.083761924" u="1"/>
        <n v="1.1151499240000002" u="1"/>
        <n v="1.175034924" u="1"/>
        <n v="1.1323953776" u="1"/>
        <n v="1.1508505776" u="1"/>
        <n v="1.1969885775999998" u="1"/>
        <n v="1.1867980975999999" u="1"/>
        <n v="1.2293252976" u="1"/>
        <n v="1.1867198976000002" u="1"/>
        <n v="1.2132772976000001" u="1"/>
        <n v="1.2268398975999999" u="1"/>
        <n v="1.2654332975999998" u="1"/>
        <n v="1.1934967371999998" u="1"/>
        <n v="1.1333008072000001" u="1"/>
        <n v="1.1537012372" u="1"/>
        <n v="1.1981046371999999" u="1"/>
        <n v="1.1499311372000001" u="1"/>
        <n v="1.1605293072" u="1"/>
        <n v="1.1863754372000002" u="1"/>
        <n v="1.2307788371999999" u="1"/>
        <n v="1.2393552976" u="1"/>
        <n v="1.1817028575999999" u="1"/>
        <n v="1.2012412976000002" u="1"/>
        <n v="1.2437684975999999" u="1"/>
        <n v="1.2204649240000001" u="1"/>
        <n v="1.235209024" u="1"/>
        <n v="1.2665970240000002" u="1"/>
        <n v="1.3264820240000001" u="1"/>
        <n v="1.1614377579999999" u="1"/>
        <n v="1.190583758" u="1"/>
        <n v="1.2346862579999998" u="1"/>
        <n v="1.193575058" u="1"/>
        <n v="1.2252144239999998" u="1"/>
        <n v="1.2316572240000001" u="1"/>
        <n v="1.3016194240000001" u="1"/>
        <n v="0.95983925760000011" u="1"/>
        <n v="0.9840717376" u="1"/>
        <n v="1.0385145776000002" u="1"/>
        <n v="1.1986736175999999" u="1"/>
        <n v="1.5864334176000001" u="1"/>
        <n v="0.96401173760000014" u="1"/>
        <n v="0.97468365759999998" u="1"/>
        <n v="1.0374714576000001" u="1"/>
        <n v="1.5222098559999999" u="1"/>
        <n v="1.025717108" u="1"/>
        <n v="0.96968775800000018" u="1"/>
        <n v="1.0767609579999999" u="1"/>
        <n v="0.7981988000000001" u="1"/>
        <n v="0.89731810000000001" u="1"/>
        <n v="0.91024479999999985" u="1"/>
        <n v="1.0113463999999999" u="1"/>
        <n v="0.90165439999999997" u="1"/>
        <n v="1.0109264" u="1"/>
        <n v="0.91772640000000016" u="1"/>
        <n v="1.0423424000000001" u="1"/>
        <n v="0.91826560000000002" u="1"/>
        <n v="0.80918460000000003" u="1"/>
        <n v="0.89217309999999994" u="1"/>
        <n v="1.0668864" u="1"/>
        <n v="1.1230544000000002" u="1"/>
        <n v="0.68286269999999993" u="1"/>
        <n v="0.77180623000000026" u="1"/>
        <n v="0.91222720000000002" u="1"/>
        <n v="1.0054664" u="1"/>
        <n v="0.79010400000000003" u="1"/>
        <n v="0.71152769999999999" u="1"/>
        <n v="0.87396336000000008" u="1"/>
        <n v="1.0581167999999999" u="1"/>
        <n v="1.1265264000000004" u="1"/>
        <n v="0.70604310000000003" u="1"/>
        <n v="0.72519160000000005" u="1"/>
        <n v="0.78567744000000006" u="1"/>
        <n v="0.82540984000000006" u="1"/>
        <n v="0.85095270000000001" u="1"/>
        <n v="0.77833559999999991" u="1"/>
        <n v="0.74565269999999984" u="1"/>
        <n v="1.1307263999999999" u="1"/>
        <n v="0.73523309999999986" u="1"/>
        <n v="0.79440269999999991" u="1"/>
        <n v="0.70115369999999988" u="1"/>
        <n v="0.93520959999999997" u="1"/>
        <n v="0.8240904" u="1"/>
        <n v="0.76554920000000004" u="1"/>
        <n v="1.1539384999999998" u="1"/>
        <n v="1.2363427999999999" u="1"/>
        <n v="8.3123488000000005" u="1"/>
        <n v="0.5991168" u="1"/>
        <n v="0.50339400000000012" u="1"/>
        <n v="0.87861929999999999" u="1"/>
        <n v="0.91347880000000004" u="1"/>
        <n v="0.84267096000000008" u="1"/>
        <n v="0.87958190399999991" u="1"/>
        <n v="0.92246054160000002" u="1"/>
        <n v="0.8587965072" u="1"/>
        <n v="0.90452620799999994" u="1"/>
        <n v="0.98771014560000014" u="1"/>
        <n v="0.78133875299999989" u="1"/>
        <n v="0.78872170000000008" u="1"/>
        <n v="0.83002140000000002" u="1"/>
        <n v="0.90059320000000009" u="1"/>
        <n v="0.82750559999999995" u="1"/>
        <n v="0.82875709919999996" u="1"/>
        <n v="0.85727463999999998" u="1"/>
        <n v="0.95499743999999986" u="1"/>
        <n v="0.80241720000000005" u="1"/>
        <n v="0.7884422000000002" u="1"/>
        <n v="0.79704819999999998" u="1"/>
        <n v="0.69795040000000019" u="1"/>
        <n v="0.62405840000000012" u="1"/>
        <n v="0.79207179999999999" u="1"/>
        <n v="0.76636819999999994" u="1"/>
        <n v="0.7706386999999999" u="1"/>
        <n v="0.91768515800000017" u="1"/>
        <n v="0.9968779080000002" u="1"/>
        <n v="1.1911206580000002" u="1"/>
        <n v="0.94464520799999996" u="1"/>
        <n v="1.0238379580000001" u="1"/>
        <n v="1.218080708" u="1"/>
        <n v="1.0778172079999999" u="1"/>
        <n v="1.1545172079999999" u="1"/>
        <n v="1.3368116579999996" u="1"/>
        <n v="1.0799056579999999" u="1"/>
        <n v="1.1605940579999998" u="1"/>
        <n v="1.3104658579999999" u="1"/>
        <n v="0.89933322960000017" u="1"/>
        <n v="0.93011982959999995" u="1"/>
        <n v="1.0221598296000001" u="1"/>
        <n v="1.2522598296" u="1"/>
        <n v="1.0753101240000003" u="1"/>
        <n v="1.160200524" u="1"/>
        <n v="1.2082751239999998" u="1"/>
        <n v="1.470084924" u="1"/>
        <n v="1.0986204579999999" u="1"/>
        <n v="1.176317558" u="1"/>
        <n v="1.3695632080000002" u="1"/>
        <n v="0.93472182959999994" u="1"/>
        <n v="1.153439224" u="1"/>
        <n v="1.2642037239999999" u="1"/>
        <n v="1.4531111490000002" u="1"/>
        <n v="0.92665905800000015" u="1"/>
        <n v="0.96148085800000016" u="1"/>
        <n v="1.190123558" u="1"/>
        <n v="1.1803059579999999" u="1"/>
        <n v="1.2984616579999999" u="1"/>
        <n v="1.4855472580000002" u="1"/>
        <n v="1.030319108" u="1"/>
        <n v="1.0825901580000001" u="1"/>
        <n v="1.2001329079999998" u="1"/>
        <n v="1.1403972579999999" u="1"/>
        <n v="1.3321472579999998" u="1"/>
        <n v="1.1602908240000001" u="1"/>
        <n v="1.2455753239999998" u="1"/>
        <n v="1.4547598239999999" u="1"/>
        <n v="0.94010616960000004" u="1"/>
        <n v="0.94029024959999996" u="1"/>
        <n v="1.0353215496000001" u="1"/>
        <n v="1.2684128495999998" u="1"/>
        <n v="0.99039675800000027" u="1"/>
        <n v="1.069589508" u="1"/>
        <n v="1.2653279079999999" u="1"/>
        <n v="1.2312172079999999" u="1"/>
        <n v="1.422967208" u="1"/>
        <n v="0.85973985760000016" u="1"/>
        <n v="0.90647965760000004" u="1"/>
        <n v="0.95723145760000006" u="1"/>
        <n v="1.0416439376000002" u="1"/>
        <n v="1.1984328976" u="1"/>
        <n v="0.99875565759999996" u="1"/>
        <n v="1.0816034576000002" u="1"/>
        <n v="1.2848112575999999" u="1"/>
        <n v="1.0430989295999999" u="1"/>
        <n v="0.8775501456" u="1"/>
        <n v="0.96192549760000012" u="1"/>
        <n v="0.97255729760000009" u="1"/>
        <n v="0.97577539760000009" u="1"/>
        <n v="0.99550389760000002" u="1"/>
        <n v="1.0871538079999998" u="1"/>
        <n v="1.1139554372" u="1"/>
        <n v="1.2045911971999999" u="1"/>
        <n v="1.2605548172000001" u="1"/>
        <n v="1.3025811371999998" u="1"/>
        <n v="1.2040118372000002" u="1"/>
        <n v="0.90810980000000008" u="1"/>
        <n v="1.2200575775999998" u="1"/>
        <n v="1.2427253776" u="1"/>
        <n v="1.2519743975999997" u="1"/>
        <n v="1.0333871080000001" u="1"/>
        <n v="0.88508960800000003" u="1"/>
        <n v="0.91350092400000005" u="1"/>
        <n v="0.87057342400000004" u="1"/>
        <n v="0.93528842400000012" u="1"/>
        <n v="0.9457373240000001" u="1"/>
        <n v="0.91250989760000012" u="1"/>
        <n v="0.90786889760000022" u="1"/>
        <n v="0.76313939760000005" u="1"/>
        <n v="0.80726289760000003" u="1"/>
        <n v="0.83265885760000014" u="1"/>
        <n v="0.8432906576000001" u="1"/>
        <n v="0.8619464576000001" u="1"/>
        <n v="0.87815493759999996" u="1"/>
        <n v="0.8903915376" u="1"/>
        <n v="0.67162419999999989" u="1"/>
        <n v="0.88976635800000015" u="1"/>
        <n v="0.79357319999999998" u="1"/>
        <n v="1.038497124" u="1"/>
        <n v="1.104700233" u="1"/>
        <n v="1.1241921080000001" u="1"/>
        <n v="1.1465358579999998" u="1"/>
        <n v="1.225482258" u="1"/>
        <n v="1.216995724" u="1"/>
        <n v="1.1968826239999999" u="1"/>
        <n v="1.2180695240000001" u="1"/>
        <n v="0.84353202960000018" u="1"/>
        <n v="0.88525032960000005" u="1"/>
        <n v="0.9201568" u="1"/>
        <n v="0.80829419999999996" u="1"/>
        <n v="1.1004080000000001" u="1"/>
        <n v="1.2097456" u="1"/>
        <n v="0.81368279999999993" u="1"/>
        <n v="1.3011722560000001" u="1"/>
        <n v="1.0207316080000002" u="1"/>
        <n v="0.84559019999999996" u="1"/>
        <n v="0.79058980000000001" u="1"/>
        <n v="0.75459670000000001" u="1"/>
        <n v="0.72810269999999999" u="1"/>
        <n v="1.186820124" u="1"/>
        <n v="1.204564424" u="1"/>
        <n v="1.2037384239999998" u="1"/>
        <n v="1.243221224" u="1"/>
        <n v="0.96995620800000026" u="1"/>
        <n v="1.0284958580000001" u="1"/>
        <n v="0.98673335800000028" u="1"/>
        <n v="0.99823835800000005" u="1"/>
        <n v="1.061038173" u="1"/>
        <n v="0.51285816000000006" u="1"/>
        <n v="0.56882479200000002" u="1"/>
        <n v="0.90966254400000002" u="1"/>
        <n v="0.97159447700000023" u="1"/>
        <n v="1.032626364" u="1"/>
        <n v="1.2229429239999998" u="1"/>
        <n v="0.95374952400000013" u="1"/>
        <n v="1.1211875999999998" u="1"/>
        <n v="0.79282921725" u="1"/>
        <n v="0.8963663999999999" u="1"/>
        <n v="1.0796077499999999" u="1"/>
        <n v="0.80080560000000001" u="1"/>
        <n v="1.2996605999999999" u="1"/>
        <n v="1.5249474559999998" u="1"/>
        <n v="1.342897056" u="1"/>
        <n v="0.85745316000000005" u="1"/>
        <n v="0.65942100000000003" u="1"/>
        <n v="0.85544701760000008" u="1"/>
        <n v="0.83398281760000004" u="1"/>
        <n v="0.8406026176000001" u="1"/>
        <n v="0.84878709760000004" u="1"/>
        <n v="0.77786989760000003" u="1"/>
        <n v="0.79391789760000009" u="1"/>
        <n v="0.82932889760000006" u="1"/>
        <n v="0.87625344000000005" u="1"/>
        <n v="0.82776822960000018" u="1"/>
        <n v="0.87033289759999999" u="1"/>
        <n v="0.85112719999999986" u="1"/>
        <n v="0.88020480000000001" u="1"/>
        <n v="0.90048560000000011" u="1"/>
        <n v="0.79499560000000002" u="1"/>
        <n v="0.73970720000000001" u="1"/>
        <n v="0.65132900000000005" u="1"/>
        <n v="1.88656344" u="1"/>
        <n v="0.86760384000000002" u="1"/>
        <n v="0.75354744000000007" u="1"/>
        <n v="2.0186536859999999" u="1"/>
        <n v="2.0523313859999996" u="1"/>
        <n v="2.0806036859999999" u="1"/>
        <n v="2.0939229360000002" u="1"/>
        <n v="0.42573800000000001" u="1"/>
        <n v="0.39773899999999995" u="1"/>
        <n v="0.56724160000000012" u="1"/>
        <n v="0.5298560000000001" u="1"/>
        <n v="1.7282850559999998" u="1"/>
        <n v="1.5897530559999997" u="1"/>
        <n v="1.5692210559999999" u="1"/>
        <n v="1.294433224" u="1"/>
        <n v="1.278078424" u="1"/>
        <n v="1.2987284239999999" u="1"/>
        <n v="1.280762924" u="1"/>
        <n v="1.2933594240000001" u="1"/>
        <n v="1.2753939239999998" u="1"/>
        <n v="1.2823736239999999" u="1"/>
        <n v="1.4254026559999999" u="1"/>
        <n v="1.3597946559999998" u="1"/>
        <n v="1.4416866559999999" u="1"/>
        <n v="0.90489162400000012" u="1"/>
        <n v="0.94763712400000022" u="1"/>
        <n v="1.1361716239999999" u="1"/>
        <n v="0.90220712400000003" u="1"/>
        <n v="0.93175525760000011" u="1"/>
        <n v="0.9559877376" u="1"/>
        <n v="1.0104305776" u="1"/>
        <n v="1.1705896175999997" u="1"/>
        <n v="1.5182294176000002" u="1"/>
        <n v="0.93592773760000014" u="1"/>
        <n v="0.94659965760000009" u="1"/>
        <n v="1.0093874576000001" u="1"/>
        <n v="1.545809856" u="1"/>
        <n v="0.99887210800000026" u="1"/>
        <n v="0.94284275799999995" u="1"/>
        <n v="1.0499159579999999" u="1"/>
        <n v="0.88345139999999989" u="1"/>
        <n v="0.91831090000000004" u="1"/>
        <n v="0.84772607999999994" u="1"/>
        <n v="0.94197902400000011" u="1"/>
        <n v="0.88442589760000012" u="1"/>
        <n v="0.87978489760000023" u="1"/>
        <n v="0.89508557760000018" u="1"/>
        <n v="1.2541657239999999" u="1"/>
        <n v="1.2340526239999998" u="1"/>
        <n v="1.2552395240000001" u="1"/>
        <n v="1.0957824" u="1"/>
        <n v="0.99388660800000017" u="1"/>
        <n v="0.95858162400000002" u="1"/>
        <n v="0.89994009760000004" u="1"/>
        <n v="0.92260789760000006" u="1"/>
        <n v="0.99061129760000011" u="1"/>
        <n v="1.1810208175999999" u="1"/>
        <n v="1.5709069776" u="1"/>
        <n v="0.92090655799999999" u="1"/>
        <n v="1.0509130579999999" u="1"/>
        <n v="1.3137616239999999" u="1"/>
        <n v="1.2904271239999998" u="1"/>
        <n v="1.7841226559999999" u="1"/>
        <n v="1.5974466560000002" u="1"/>
        <n v="2.1008" u="1"/>
        <n v="1.8477899999999998" u="1"/>
        <n v="1.3180439999999998" u="1"/>
        <n v="1.1913269999999998" u="1"/>
        <n v="1.226837" u="1"/>
        <n v="1.8247199999999999" u="1"/>
        <n v="1.5344800000000001" u="1"/>
        <n v="1.9999199999999999" u="1"/>
        <n v="1.76776" u="1"/>
        <n v="2.0051199999999998" u="1"/>
        <n v="0.6767399999999999" u="1"/>
        <n v="1.1700000000000002" u="1"/>
        <n v="1.0237500000000002" u="1"/>
        <n v="2.0826480359999997" u="1"/>
        <n v="2.1176497859999999" u="1"/>
        <n v="2.1526515359999996" u="1"/>
        <n v="1.103751124" u="1"/>
        <n v="1.127085624" u="1"/>
        <n v="1.1147854272" u="1"/>
        <n v="1.1384532772000002" u="1"/>
        <n v="1.1621211272000003" u="1"/>
        <n v="1.1737546240000001" u="1"/>
        <n v="1.1039502976" u="1"/>
        <n v="1.1130174176000001" u="1"/>
        <n v="1.1356852175999999" u="1"/>
        <n v="1.1583530175999999" u="1"/>
        <n v="1.1764872576000001" u="1"/>
        <n v="1.1991550576000001" u="1"/>
        <n v="1.2218228576000001" u="1"/>
        <n v="1.2204236240000002" u="1"/>
        <n v="1.1332505080000002" u="1"/>
        <n v="1.1549182579999997" u="1"/>
        <n v="1.1765860079999999" u="1"/>
        <n v="1.1736887903999997" u="1"/>
        <n v="1.1053182872" u="1"/>
        <n v="1.2451480000000001" u="1"/>
        <n v="1.1690877239999999" u="1"/>
        <n v="1.0239108976" u="1"/>
        <n v="0.99670953760000025" u="1"/>
        <n v="1.0057766576" u="1"/>
        <n v="1.0465786976" u="1"/>
        <n v="0.95590749760000004" u="1"/>
        <n v="0.97857529760000006" u="1"/>
        <n v="0.9257330304000001" u="1"/>
        <n v="0.93533351040000001" u="1"/>
        <n v="0.94973423040000016" u="1"/>
        <n v="0.84401542400000018" u="1"/>
        <n v="0.85334922400000013" u="1"/>
        <n v="0.86734992400000011" u="1"/>
        <n v="0.80630001760000014" u="1"/>
        <n v="0.81990069760000017" u="1"/>
        <n v="0.84256849760000019" u="1"/>
        <n v="0.95273705800000019" u="1"/>
        <n v="0.9614041579999999" u="1"/>
        <n v="0.97440480800000029" u="1"/>
        <n v="1.204601056" u="1"/>
        <n v="1.1725994560000004" u="1"/>
        <n v="1.1779330560000003" u="1"/>
        <n v="1.1832666559999998" u="1"/>
        <n v="1.1939338559999999" u="1"/>
        <n v="1.2312690559999999" u="1"/>
        <n v="1.098582108" u="1"/>
        <n v="1.1722524579999998" u="1"/>
        <n v="1.1852531080000004" u="1"/>
        <n v="0.99024335800000007" u="1"/>
        <n v="1.0119111080000001" u="1"/>
        <n v="1.3044278239999998" u="1"/>
        <n v="0.90407865600000015" u="1"/>
        <n v="0.89874505599999988" u="1"/>
        <n v="0.90941225599999997" u="1"/>
        <n v="0.93608025600000011" u="1"/>
        <n v="1.3650975240000001" u="1"/>
        <n v="1.3977658240000002" u="1"/>
        <n v="1.0054170560000002" u="1"/>
        <n v="0.86457040800000007" u="1"/>
        <n v="0.87323750800000011" u="1"/>
        <n v="0.88623815800000005" u="1"/>
        <n v="0.95990850800000016" u="1"/>
        <n v="0.97290915799999989" u="1"/>
        <n v="0.87757105800000013" u="1"/>
        <n v="0.96424205800000018" u="1"/>
        <n v="1.0292453079999999" u="1"/>
        <n v="1.037912408" u="1"/>
        <n v="0.88180585759999996" u="1"/>
        <n v="0.89087297760000006" u="1"/>
        <n v="0.90447365760000009" u="1"/>
        <n v="0.94074213760000014" u="1"/>
        <n v="0.85839715999999999" u="1"/>
        <n v="1.1265361711999999" u="1"/>
        <n v="1.0902676912" u="1"/>
        <n v="1.5653486719999998" u="1"/>
        <n v="2.0187046719999997" u="1"/>
        <n v="1.3786726719999998" u="1"/>
        <n v="1.3253366719999997" u="1"/>
        <n v="1.4213414719999997" u="1"/>
        <n v="0.50597810400000021" u="1"/>
        <n v="0.43126542000000001" u="1"/>
        <n v="1.2933350719999996" u="1"/>
        <n v="1.5600150720000001" u="1"/>
        <n v="0.83298658800000014" u="1"/>
        <n v="0.85165418800000015" u="1"/>
        <n v="0.90299008800000014" u="1"/>
        <n v="0.97299358799999991" u="1"/>
        <n v="1.1130005880000002" u="1"/>
        <n v="0.89832318799999988" u="1"/>
        <n v="0.82858048000000006" u="1"/>
        <n v="0.86525998000000015" u="1"/>
        <n v="0.77961265600000007" u="1"/>
        <n v="0.83658985600000002" u="1"/>
        <n v="0.90519505600000016" u="1"/>
        <n v="0.75077547999999994" u="1"/>
        <n v="0.77782198000000013" u="1"/>
        <n v="0.83691673000000011" u="1"/>
        <n v="0.74721868000000013" u="1"/>
        <n v="0.78458743999999991" u="1"/>
        <n v="0.89667135999999992" u="1"/>
        <n v="0.93181844000000014" u="1"/>
        <n v="0.74521798000000006" u="1"/>
        <n v="0.71224348000000004" u="1"/>
        <n v="0.59282804000000011" u="1"/>
        <n v="0.77860244000000001" u="1"/>
        <n v="0.58109744000000008" u="1"/>
        <n v="0.76189048000000026" u="1"/>
        <n v="0.74769968000000009" u="1"/>
        <n v="0.91719136000000012" u="1"/>
        <n v="0.80254244000000008" u="1"/>
        <n v="0.71743047999999998" u="1"/>
        <n v="1.1620304799999999" u="1"/>
        <n v="1.25141744" u="1"/>
        <n v="9.2653324400000017" u="1"/>
        <n v="0.53399352000000011" u="1"/>
        <n v="0.61599460000000006" u="1"/>
        <n v="0.44499460000000007" u="1"/>
        <n v="1.0238289712000002" u="1"/>
        <n v="0.99662761120000021" u="1"/>
        <n v="1.0011611712000001" u="1"/>
        <n v="1.0056947312" u="1"/>
        <n v="1.0147618512000001" u="1"/>
        <n v="1.0328960912" u="1"/>
        <n v="1.0464967712" u="1"/>
        <n v="1.0691645712000002" u="1"/>
        <n v="0.9558255712" u="1"/>
        <n v="0.9648926912000001" u="1"/>
        <n v="0.97849337120000013" u="1"/>
        <n v="0.91955709120000018" u="1"/>
        <n v="0.92862421120000016" u="1"/>
        <n v="0.94222489119999997" u="1"/>
        <n v="0.92564628480000011" u="1"/>
        <n v="0.93524676480000002" u="1"/>
        <n v="0.94964748480000005" u="1"/>
        <n v="0.97364868480000011" u="1"/>
        <n v="0.84393108800000016" u="1"/>
        <n v="0.85326488800000011" u="1"/>
        <n v="0.8672655880000002" u="1"/>
        <n v="0.89060008800000012" u="1"/>
        <n v="0.79715097120000011" u="1"/>
        <n v="0.84248657120000014" u="1"/>
        <n v="0.85608725120000007" u="1"/>
        <n v="0.87875505120000008" u="1"/>
        <n v="0.86968793119999999" u="1"/>
        <n v="0.88328861120000002" u="1"/>
        <n v="0.90595641120000014" u="1"/>
        <n v="0.95265874600000022" u="1"/>
        <n v="0.96132584599999993" u="1"/>
        <n v="0.97432649600000021" u="1"/>
        <n v="0.99599424600000008" u="1"/>
        <n v="1.0219955460000001" u="1"/>
        <n v="1.0306626460000003" u="1"/>
        <n v="1.0436632960000001" u="1"/>
        <n v="1.0653310460000001" u="1"/>
        <n v="1.0963659312" u="1"/>
        <n v="1.2045046720000001" u="1"/>
        <n v="1.1725030720000003" u="1"/>
        <n v="1.1778366720000002" u="1"/>
        <n v="1.1831702719999999" u="1"/>
        <n v="1.193837472" u="1"/>
        <n v="1.2151718720000002" u="1"/>
        <n v="1.231172672" u="1"/>
        <n v="1.2578406720000002" u="1"/>
        <n v="1.0768360459999999" u="1"/>
        <n v="1.085503146" u="1"/>
        <n v="1.0985037959999999" u="1"/>
        <n v="1.1635070459999997" u="1"/>
        <n v="1.1721741459999999" u="1"/>
        <n v="1.1851747960000001" u="1"/>
        <n v="0.9901650460000001" u="1"/>
        <n v="0.99883214600000003" u="1"/>
        <n v="1.011832796" u="1"/>
        <n v="1.024329488" u="1"/>
        <n v="1.2716751880000001" u="1"/>
        <n v="1.2810089879999997" u="1"/>
        <n v="1.3043434879999998" u="1"/>
        <n v="0.90398227200000014" u="1"/>
        <n v="0.89864867199999987" u="1"/>
        <n v="0.90931587199999997" u="1"/>
        <n v="0.93598387200000011" u="1"/>
        <n v="1.365013188" u="1"/>
        <n v="1.3743469879999999" u="1"/>
        <n v="1.3976814880000001" u="1"/>
        <n v="1.0053206720000003" u="1"/>
        <n v="0.8644920960000001" u="1"/>
        <n v="0.87315919600000003" u="1"/>
        <n v="0.88615984600000008" u="1"/>
        <n v="0.95116309600000004" u="1"/>
        <n v="0.95983019600000019" u="1"/>
        <n v="0.97283084599999992" u="1"/>
        <n v="0.87749274600000016" u="1"/>
        <n v="0.89916049600000014" u="1"/>
        <n v="0.9641637460000001" u="1"/>
        <n v="0.9858314960000002" u="1"/>
        <n v="1.0291669959999998" u="1"/>
        <n v="1.0378340960000001" u="1"/>
        <n v="1.0508347459999998" u="1"/>
        <n v="0.86358969120000006" u="1"/>
        <n v="0.87265681119999994" u="1"/>
        <n v="0.88625749119999997" u="1"/>
        <n v="0.8998581712" u="1"/>
        <n v="0.9089252912000001" u="1"/>
        <n v="0.92252597120000013" u="1"/>
        <n v="0.88172393120000003" u="1"/>
        <n v="0.89079105120000002" u="1"/>
        <n v="0.90439173120000005" u="1"/>
        <n v="0.93159309120000011" u="1"/>
        <n v="0.94066021120000021" u="1"/>
        <n v="0.95426089120000002" u="1"/>
        <n v="0.99052937120000017" u="1"/>
        <n v="1.1809388912000001" u="1"/>
        <n v="1.5708250512000002" u="1"/>
        <n v="0.92082824600000002" u="1"/>
        <n v="1.3136772880000001" u="1"/>
        <n v="1.290342788" u="1"/>
        <n v="1.673028588" u="1"/>
        <n v="1.6030250880000001" u="1"/>
        <n v="1.5796905879999998" u="1"/>
        <n v="1.4070152879999998" u="1"/>
        <n v="1.467684988" u="1"/>
        <n v="1.784026272" u="1"/>
        <n v="1.6240182719999998" u="1"/>
        <n v="1.5973502720000001" u="1"/>
        <n v="0.78159494000000007" u="1"/>
        <n v="0.91298564000000015" u="1"/>
        <n v="0.89325136000000016" u="1"/>
        <n v="1.0272697600000003" u="1"/>
        <n v="0.68686422999999985" u="1"/>
        <n v="0.78656578000000021" u="1"/>
        <n v="1.0881913600000002" u="1"/>
        <n v="1.1456473600000001" u="1"/>
        <n v="0.8615874240000001" u="1"/>
        <n v="0.73407403999999998" u="1"/>
        <n v="0.7007974400000001" u="1"/>
        <n v="0.71382878000000005" u="1"/>
        <n v="0.89007865600000013" u="1"/>
        <n v="0.90382295200000007" u="1"/>
        <n v="0.77379865599999997" u="1"/>
        <n v="0.81372145600000012" u="1"/>
        <n v="0.8007929800000001" u="1"/>
        <n v="1.2126738112000002" u="1"/>
        <n v="1.2353416112000002" u="1"/>
        <n v="1.2580094112000002" u="1"/>
        <n v="1.2942778911999999" u="1"/>
        <n v="2.0825215319999999" u="1"/>
        <n v="2.1175232820000005" u="1"/>
        <n v="2.1525250319999993" u="1"/>
        <n v="2.2085278319999997" u="1"/>
        <n v="1.1036667880000002" u="1"/>
        <n v="1.127001288" u="1"/>
        <n v="1.1503357879999998" u="1"/>
        <n v="1.1876709879999998" u="1"/>
        <n v="1.1146998864000002" u="1"/>
        <n v="1.1383677364" u="1"/>
        <n v="1.1620355864" u="1"/>
        <n v="1.1999041463999998" u="1"/>
        <n v="1.1596695879999999" u="1"/>
        <n v="1.1223343880000001" u="1"/>
        <n v="1.1456688880000001" u="1"/>
        <n v="1.1830040879999999" u="1"/>
        <n v="1.1736702880000001" u="1"/>
        <n v="1.2110054880000001" u="1"/>
        <n v="1.1038683712000001" u="1"/>
        <n v="1.1129354912" u="1"/>
        <n v="1.1356032912" u="1"/>
        <n v="1.1582710912" u="1"/>
        <n v="1.1945395712" u="1"/>
        <n v="1.1764053312000002" u="1"/>
        <n v="1.1990731311999998" u="1"/>
        <n v="1.2217409312" u="1"/>
        <n v="1.1970047879999999" u="1"/>
        <n v="1.2203392880000001" u="1"/>
        <n v="1.2436737879999997" u="1"/>
        <n v="1.1331721960000001" u="1"/>
        <n v="1.1548399459999998" u="1"/>
        <n v="1.176507696" u="1"/>
        <n v="1.2111760959999998" u="1"/>
        <n v="1.267008288" u="1"/>
        <n v="1.1736020448" u="1"/>
        <n v="1.1352001248000003" u="1"/>
        <n v="1.1592013247999999" u="1"/>
        <n v="1.1976032448" u="1"/>
        <n v="1.2559998720000001" u="1"/>
        <n v="1.047663988" u="1"/>
        <n v="1.336003872" u="1"/>
        <n v="1.1718717711999997" u="1"/>
        <n v="0.55398050400000021" u="1"/>
        <n v="1.3230110879999999" u="1"/>
        <n v="0.58341280000000006" u="1"/>
        <n v="0.57306280000000009" u="1"/>
        <n v="0.40167959999999997" u="1"/>
        <n v="0.51901568000000009" u="1"/>
        <n v="1.3520046719999999" u="1"/>
        <n v="0.82888589120000011" u="1"/>
        <n v="0.91232388799999997" u="1"/>
        <n v="0.87965558800000021" u="1"/>
        <n v="0.96832668800000021" u="1"/>
        <n v="0.99166118800000003" u="1"/>
        <n v="1.0523308880000002" u="1"/>
        <n v="1.2250061879999998" u="1"/>
        <n v="1.1052327464" u="1"/>
        <n v="0.59306744" u="1"/>
        <n v="1.1690033880000001" u="1"/>
        <n v="1.2063385879999997" u="1"/>
        <n v="0.85833691999999995" u="1"/>
        <n v="0.87618245519999993" u="1"/>
        <n v="0.68964298000000002" u="1"/>
        <n v="0.37831292" u="1"/>
        <n v="0.45397550400000003" u="1"/>
        <n v="1.114034483405659" u="1"/>
        <n v="1.0781802488585355" u="1"/>
        <n v="1.5478994738037986" u="1"/>
        <n v="1.996077405642843" u="1"/>
        <n v="1.363355619517133" u="1"/>
        <n v="1.3106288040066576" u="1"/>
        <n v="1.4055370719255138" u="1"/>
        <n v="0.50052124108413942" u="1"/>
        <n v="0.42660118117559237" u="1"/>
        <n v="1.2789927147003721" u="1"/>
        <n v="1.5426267922527512" u="1"/>
        <n v="0.823848458504161" u="1"/>
        <n v="0.84230284393282762" u="1"/>
        <n v="0.89305240386166052" u="1"/>
        <n v="0.96225634921915992" u="1"/>
        <n v="1.1006642399341591" u="1"/>
        <n v="0.88843880750449378" u="1"/>
        <n v="0.81616024052338121" u="1"/>
        <n v="0.86015846578323463" u="1"/>
        <n v="0.76590638817900736" u="1"/>
        <n v="0.8300802546741789" u="1"/>
        <n v="0.89985808728092231" u="1"/>
        <n v="0.73771932313577127" u="1"/>
        <n v="0.77122593402954187" u="1"/>
        <n v="0.82456462452919654" u="1"/>
        <n v="0.74009954791574961" u="1"/>
        <n v="0.77033129648848897" u="1"/>
        <n v="0.8803786245582732" u="1"/>
        <n v="0.92632450161271418" u="1"/>
        <n v="0.73211640046522763" u="1"/>
        <n v="0.70452653521427233" u="1"/>
        <n v="0.58153991696762863" u="1"/>
        <n v="0.76429737976636514" u="1"/>
        <n v="0.56517812793627853" u="1"/>
        <n v="0.74892516847685842" u="1"/>
        <n v="0.7482391340295419" u="1"/>
        <n v="0.90106633903412625" u="1"/>
        <n v="0.78843304665486047" u="1"/>
        <n v="0.70410178711250981" u="1"/>
        <n v="1.1523356007559948" u="1"/>
        <n v="1.2409768008141482" u="1"/>
        <n v="9.402278874137739" u="1"/>
        <n v="0.52064189570669606" u="1"/>
        <n v="0.60626586705435637" u="1"/>
        <n v="0.4338682464222467" u="1"/>
        <n v="1.01252897343785" u="1"/>
        <n v="0.98563829752750742" u="1"/>
        <n v="0.99012007684589798" u="1"/>
        <n v="0.9946018561642882" u="1"/>
        <n v="1.0035654148010691" u="1"/>
        <n v="1.0214925320746309" u="1"/>
        <n v="1.0349378700298022" u="1"/>
        <n v="1.0573467666217544" u="1"/>
        <n v="0.94530228366199343" u="1"/>
        <n v="0.95426584229877442" u="1"/>
        <n v="0.96771118025394554" u="1"/>
        <n v="0.90944804911486987" u="1"/>
        <n v="0.91841160775165076" u="1"/>
        <n v="0.93185694570682187" u="1"/>
        <n v="0.91549085922102225" u="1"/>
        <n v="0.92498168601290776" u="1"/>
        <n v="0.93921792620073641" u="1"/>
        <n v="0.96294499318045046" u="1"/>
        <n v="0.83469740128999426" u="1"/>
        <n v="0.8439245940043274" u="1"/>
        <n v="0.8577653830758275" u="1"/>
        <n v="0.88083336486166053" u="1"/>
        <n v="0.78844000751832788" u="1"/>
        <n v="0.83325780070223243" u="1"/>
        <n v="0.84670313865740354" u="1"/>
        <n v="0.86911203524935587" u="1"/>
        <n v="0.86014847661257499" u="1"/>
        <n v="0.87359381456774621" u="1"/>
        <n v="0.89600271115969865" u="1"/>
        <n v="0.94215425498952909" u="1"/>
        <n v="0.95072236250998143" u="1"/>
        <n v="0.96357452379066" u="1"/>
        <n v="0.98499479259179079" u="1"/>
        <n v="1.0106991151531477" u="1"/>
        <n v="1.0192672226736001" u="1"/>
        <n v="1.0321193839542784" u="1"/>
        <n v="1.0535396527554093" u="1"/>
        <n v="1.0842374425320971" u="1"/>
        <n v="1.1912105569857059" u="1"/>
        <n v="1.1595744676794204" u="1"/>
        <n v="1.1648471492304682" u="1"/>
        <n v="1.1701198307815155" u="1"/>
        <n v="1.1806651938836108" u="1"/>
        <n v="1.2017559200878012" u="1"/>
        <n v="1.2175739647409438" u="1"/>
        <n v="1.2439373724961817" u="1"/>
        <n v="1.0648859032554094" u="1"/>
        <n v="1.0734540107758614" u="1"/>
        <n v="1.0863061720565401" u="1"/>
        <n v="1.1505669784599324" u="1"/>
        <n v="1.1591350859803848" u="1"/>
        <n v="1.1719872472610631" u="1"/>
        <n v="0.97920482805088604" u="1"/>
        <n v="0.98777293557133838" u="1"/>
        <n v="1.0006250968520167" u="1"/>
        <n v="1.013005909147993" u="1"/>
        <n v="1.2575265160778244" u="1"/>
        <n v="1.2667537087921577" u="1"/>
        <n v="1.2898216905779907" u="1"/>
        <n v="0.89408696147389866" u="1"/>
        <n v="0.888814279922851" u="1"/>
        <n v="0.89935964302494609" u="1"/>
        <n v="0.92572305078018413" u="1"/>
        <n v="1.3497984432211574" u="1"/>
        <n v="1.3590256359354904" u="1"/>
        <n v="1.3820936177213232" u="1"/>
        <n v="0.99426791094380285" u="1"/>
        <n v="0.8549672690043274" u="1"/>
        <n v="0.86353537652477974" u="1"/>
        <n v="0.87638753780545797" u="1"/>
        <n v="0.94064834420885068" u="1"/>
        <n v="0.94921645172930302" u="1"/>
        <n v="0.96206861300998137" u="1"/>
        <n v="0.86781943028500597" u="1"/>
        <n v="0.88923969908613676" u="1"/>
        <n v="0.95350050548952914" u="1"/>
        <n v="0.97492077429065993" u="1"/>
        <n v="1.0177613118929214" u="1"/>
        <n v="1.0263294194133739" u="1"/>
        <n v="1.0391815806940523" u="1"/>
        <n v="0.85409128293901315" u="1"/>
        <n v="0.86305484157579404" u="1"/>
        <n v="0.87650017953096537" u="1"/>
        <n v="0.88994551748613671" u="1"/>
        <n v="0.89890907612291771" u="1"/>
        <n v="0.91235441407808893" u="1"/>
        <n v="0.87201840021257493" u="1"/>
        <n v="0.88098195884935582" u="1"/>
        <n v="0.89442729680452704" u="1"/>
        <n v="0.92131797271486982" u="1"/>
        <n v="0.9302815313516507" u="1"/>
        <n v="0.94372686930682192" u="1"/>
        <n v="0.97958110385394548" u="1"/>
        <n v="1.1678158352263441" u="1"/>
        <n v="1.5532488566079223" u="1"/>
        <n v="0.91065996788726744" u="1"/>
        <n v="1.2990488832923239" u="1"/>
        <n v="1.2759809015064911" u="1"/>
        <n v="1.6542958027941548" u="1"/>
        <n v="1.5850918574366557" u="1"/>
        <n v="1.5620238756508225" u="1"/>
        <n v="1.3913208104356565" u="1"/>
        <n v="1.4512975630788227" u="1"/>
        <n v="1.7640794173967491" u="1"/>
        <n v="1.6058989708653217" u="1"/>
        <n v="1.5795355631100838" u="1"/>
        <n v="2.0996480000000002" u="1"/>
        <n v="1.8464939999999999" u="1"/>
        <n v="1.3170648" u="1"/>
        <n v="1.1903622" u="1"/>
        <n v="1.2258722000000002" u="1"/>
        <n v="1.8235680000000001" u="1"/>
        <n v="1.5333280000000002" u="1"/>
        <n v="1.9987679999999999" u="1"/>
        <n v="1.7666080000000002" u="1"/>
        <n v="2.003968" u="1"/>
        <n v="1.934828" u="1"/>
        <n v="0.67587600000000003" u="1"/>
        <n v="1.1688480000000001" u="1"/>
        <n v="1.022742" u="1"/>
        <n v="1.3779920000000001" u="1"/>
        <n v="0.38504999599999989" u="1"/>
        <n v="0.29261478750000003" u="1"/>
        <n v="0.36200239999999995" u="1"/>
        <n v="0.34138391875000001" u="1"/>
        <n v="0.76731433812742711" u="1"/>
        <n v="0.90716980246576495" u="1"/>
        <n v="0.87693067214563103" u="1"/>
        <n v="1.0203471749777751" u="1"/>
        <n v="0.67328571242452018" u="1"/>
        <n v="0.78011918720491125" u="1"/>
        <n v="1.0734639596662361" u="1"/>
        <n v="1.1407481410443128" u="1"/>
        <n v="0.85428103461733873" u="1"/>
        <n v="0.72520016056974757" u="1"/>
        <n v="0.68585646237875542" u="1"/>
        <n v="0.70460885898677705" u="1"/>
        <n v="0.87727525110735016" u="1"/>
        <n v="0.89846253062878745" u="1"/>
        <n v="0.76004486907751578" u="1"/>
        <n v="0.80682097713859768" u="1"/>
        <n v="0.78814562717066328" u="1"/>
        <n v="1.199188290455077" u="1"/>
        <n v="1.2215971870470292" u="1"/>
        <n v="1.2440060836389819" u="1"/>
        <n v="1.279860318186105" u="1"/>
        <n v="2.0592996375104855" u="1"/>
        <n v="2.0939016101892354" u="1"/>
        <n v="2.1285035828679848" u="1"/>
        <n v="2.1838667391539843" u="1"/>
        <n v="1.0914370472198258" u="1"/>
        <n v="1.1145050290056591" u="1"/>
        <n v="1.1375730107914919" u="1"/>
        <n v="1.1744817816488251" u="1"/>
        <n v="1.1023495001606969" u="1"/>
        <n v="1.1257470245434709" u="1"/>
        <n v="1.1491445489262442" u="1"/>
        <n v="1.1865805879386822" u="1"/>
        <n v="1.1468002035058256" u="1"/>
        <n v="1.1098914326484923" u="1"/>
        <n v="1.1329594144343254" u="1"/>
        <n v="1.1698681852916586" u="1"/>
        <n v="1.1606409925773251" u="1"/>
        <n v="1.1975497634346581" u="1"/>
        <n v="1.0916255868137066" u="1"/>
        <n v="1.1005891454504875" u="1"/>
        <n v="1.1229980420424397" u="1"/>
        <n v="1.1454069386343919" u="1"/>
        <n v="1.1812611731815157" u="1"/>
        <n v="1.1633340559079537" u="1"/>
        <n v="1.1857429524999059" u="1"/>
        <n v="1.2081518490918581" u="1"/>
        <n v="1.1837089743631581" u="1"/>
        <n v="1.2067769561489916" u="1"/>
        <n v="1.2298449379348246" u="1"/>
        <n v="1.1205786021383495" u="1"/>
        <n v="1.1419988709394802" u="1"/>
        <n v="1.1634191397406108" u="1"/>
        <n v="1.1976915698224198" u="1"/>
        <n v="1.2529129197206579" u="1"/>
        <n v="1.1605842700222204" u="1"/>
        <n v="1.1226209628546779" u="1"/>
        <n v="1.146348029834392" u="1"/>
        <n v="1.1843113370019345" u="1"/>
        <n v="1.2420839438430389" u="1"/>
        <n v="1.0360738909338261" u="1"/>
        <n v="1.3211741671087527" u="1"/>
        <n v="1.1588522765895632" u="1"/>
        <n v="0.54797537504356775" u="1"/>
        <n v="1.3082760760066572" u="1"/>
        <n v="0.57972015866603877" u="1"/>
        <n v="0.56905619545404074" u="1"/>
        <n v="0.3978217131979358" u="1"/>
        <n v="0.57555200000000006" u="1"/>
        <n v="0.5028572" u="1"/>
        <n v="0.69821840000000013" u="1"/>
        <n v="0.77701519999999991" u="1"/>
        <n v="0.76540500000000011" u="1"/>
        <n v="0.38470399999999993" u="1"/>
        <n v="0.64653600000000011" u="1"/>
        <n v="0.5156463586737301" u="1"/>
        <n v="1.3369922117618955" u="1"/>
        <n v="0.81981246274706099" u="1"/>
        <n v="0.90227959657599377" u="1"/>
        <n v="0.86998442207582749" u="1"/>
        <n v="0.95764275286199341" u="1"/>
        <n v="0.98071073464782654" u="1"/>
        <n v="1.040687487290993" u="1"/>
        <n v="1.2113905525061581" u="1"/>
        <n v="1.0929904904075876" u="1"/>
        <n v="1.2441688000000002" u="1"/>
        <n v="0.5772459613805262" u="1"/>
        <n v="1.1560273962201586" u="1"/>
        <n v="1.1929361670774914" u="1"/>
        <n v="0.68036000000000008" u="1"/>
        <n v="0.84880183622880345" u="1"/>
        <n v="0.86659392292477977" u="1"/>
        <n v="0.67608717375979199" u="1"/>
        <n v="0.37426049663452127" u="1"/>
        <n v="0.4491125959614255" u="1"/>
        <n v="1.0183578145000001" u="1"/>
        <n v="0.3771697916345213" u="1"/>
        <n v="1.3844463457213236" u="1"/>
        <n v="1.5953536077632269" u="1"/>
        <n v="0.81371242623085016" u="1"/>
        <n v="0.85756826616661774" u="1"/>
        <n v="0.76363013010185032" u="1"/>
        <n v="0.82759631965721803" u="1"/>
        <n v="0.89714833998969234" u="1"/>
        <n v="0.73552535625135462" u="1"/>
        <n v="0.7689235343703269" u="1"/>
        <n v="0.82208961230008182" u="1"/>
        <n v="0.737897878241625" u="1"/>
        <n v="0.7680466698154601" u="1"/>
        <n v="0.87776762264624009" u="1"/>
        <n v="0.92353505587174212" u="1"/>
        <n v="0.72994056553853337" u="1"/>
        <n v="0.7024399855231086" u="1"/>
        <n v="0.57986624952304533" u="1"/>
        <n v="0.76203227981703747" u="1"/>
        <n v="0.56355740986908709" u="1"/>
        <n v="0.74669493767699679" u="1"/>
        <n v="0.7459367343703267" u="1"/>
        <n v="0.89838838835511803" u="1"/>
        <n v="0.78608983981072833" u="1"/>
        <n v="0.70201661197442788" u="1"/>
        <n v="1.1487998690001169" u="1"/>
        <n v="1.2371690896924334" u="1"/>
        <n v="9.3720598786105391" u="1"/>
        <n v="0.51913554844975385" u="1"/>
        <n v="0.60445267128211122" u="1"/>
        <n v="0.43261295704146152" u="1"/>
        <n v="0.7650394748162489" u="1"/>
        <n v="0.90444234440792559" u="1"/>
        <n v="0.87433082836142728" u="1"/>
        <n v="1.017283212354358" u="1"/>
        <n v="0.67130026305391177" u="1"/>
        <n v="0.77778800754995581" u="1"/>
        <n v="1.0702281025957676" u="1"/>
        <n v="1.13729454155549" u="1"/>
        <n v="0.85173068422559284" u="1"/>
        <n v="0.72306158550166888" u="1"/>
        <n v="0.68384520983754193" u="1"/>
        <n v="0.70253692067806606" u="1"/>
        <n v="0.87463858550131002" u="1"/>
        <n v="0.89575729958304273" u="1"/>
        <n v="0.75778757981766831" u="1"/>
        <n v="0.80441231287972659" u="1"/>
        <n v="0.78578847266674456" u="1"/>
        <n v="0.5140966665954122" u="1"/>
        <n v="0.8182370483918896" u="1"/>
        <n v="0.80030993111832782" u="1"/>
        <n v="0.57558618986593257" u="1"/>
        <n v="0.6740926584103224" u="1"/>
        <n v="0.78395822819993743" u="1"/>
        <n v="0.8108489041102801" u="1"/>
        <n v="1.113886134605659" u="1"/>
        <n v="1.0780319000585352" u="1"/>
        <n v="1.5477249458037989" u="1"/>
        <n v="1.9959028776428431" u="1"/>
        <n v="1.3631810915171334" u="1"/>
        <n v="1.3104542760066575" u="1"/>
        <n v="1.4053625439255142" u="1"/>
        <n v="0.44898169996142556" u="1"/>
        <n v="0.42649210117559233" u="1"/>
        <n v="1.2788181867003723" u="1"/>
        <n v="1.5424522642527514" u="1"/>
        <n v="0.823695746504161" u="1"/>
        <n v="0.84215013193282762" u="1"/>
        <n v="0.89289969186166052" u="1"/>
        <n v="0.96210363721915981" u="1"/>
        <n v="1.1005115279341591" u="1"/>
        <n v="0.88828609550449378" u="1"/>
        <n v="0.83866181823085018" u="1"/>
        <n v="0.88251765816661765" u="1"/>
        <n v="0.78973103250185039" u="1"/>
        <n v="0.85369722205721776" u="1"/>
        <n v="0.9232492423896923" u="1"/>
        <n v="0.76047474825135453" u="1"/>
        <n v="0.7938729263703268" u="1"/>
        <n v="0.84703900430008183" u="1"/>
        <n v="0.76284727024162491" u="1"/>
        <n v="0.79491524581546003" u="1"/>
        <n v="0.90847456664624004" u="1"/>
        <n v="0.95040363187174204" u="1"/>
        <n v="0.75488995753853338" u="1"/>
        <n v="0.72738937752310873" u="1"/>
        <n v="0.60673482552304525" u="1"/>
        <n v="0.78890085581703739" u="1"/>
        <n v="0.59042598586908723" u="1"/>
        <n v="0.7716443296769967" u="1"/>
        <n v="0.76129020637032663" u="1"/>
        <n v="0.9290953323551181" u="1"/>
        <n v="0.81295841581072836" u="1"/>
        <n v="0.72696600397442779" u="1"/>
        <n v="1.1737492610001168" u="1"/>
        <n v="1.2640376656924335" u="1"/>
        <n v="9.3989284546105392" u="1"/>
        <n v="0.54216575644975395" u="1"/>
        <n v="0.62364451128211107" u="1"/>
        <n v="0.45180479704146165" u="1"/>
        <n v="1.0123806246378502" u="1"/>
        <n v="0.98548994872750739" u="1"/>
        <n v="0.98997172804589806" u="1"/>
        <n v="0.99445350736428828" u="1"/>
        <n v="1.0034170660010691" u="1"/>
        <n v="1.0213441832746311" u="1"/>
        <n v="1.0347895212298022" u="1"/>
        <n v="1.0571984178217546" u="1"/>
        <n v="0.94515393486199339" u="1"/>
        <n v="0.95411749349877439" u="1"/>
        <n v="0.9675628314539455" u="1"/>
        <n v="0.90929970031486984" u="1"/>
        <n v="0.91826325895165084" u="1"/>
        <n v="0.93170859690682195" u="1"/>
        <n v="0.91533378402102217" u="1"/>
        <n v="0.92482461081290779" u="1"/>
        <n v="0.93906085100073644" u="1"/>
        <n v="0.96278791798045049" u="1"/>
        <n v="0.83454468928999426" u="1"/>
        <n v="0.8437718820043274" u="1"/>
        <n v="0.8576126710758275" u="1"/>
        <n v="0.88068065286166053" u="1"/>
        <n v="0.8241458932654514" u="1"/>
        <n v="0.8331094519022324" u="1"/>
        <n v="0.84655478985740351" u="1"/>
        <n v="0.86896368644935584" u="1"/>
        <n v="0.85103656917579407" u="1"/>
        <n v="0.86000012781257495" u="1"/>
        <n v="0.87344546576774618" u="1"/>
        <n v="0.89585436235969862" u="1"/>
        <n v="0.94201245098952913" u="1"/>
        <n v="0.95058055850998135" u="1"/>
        <n v="0.96343271979066003" u="1"/>
        <n v="0.98485298859179071" u="1"/>
        <n v="1.0105573111531476" u="1"/>
        <n v="1.0191254186736001" u="1"/>
        <n v="1.0319775799542783" u="1"/>
        <n v="1.0533978487554092" u="1"/>
        <n v="1.0840890937320971" u="1"/>
        <n v="1.191036028985706" u="1"/>
        <n v="1.1593999396794206" u="1"/>
        <n v="1.1646726212304683" u="1"/>
        <n v="1.1699453027815157" u="1"/>
        <n v="1.1804906658836107" u="1"/>
        <n v="1.2015813920878011" u="1"/>
        <n v="1.2173994367409438" u="1"/>
        <n v="1.2437628444961817" u="1"/>
        <n v="1.0647440992554094" u="1"/>
        <n v="1.0733122067758614" u="1"/>
        <n v="1.0861643680565403" u="1"/>
        <n v="1.1504251744599323" u="1"/>
        <n v="1.1589932819803848" u="1"/>
        <n v="1.1718454432610632" u="1"/>
        <n v="0.97906302405088608" u="1"/>
        <n v="0.98763113157133842" u="1"/>
        <n v="1.0004832928520169" u="1"/>
        <n v="1.012853197147993" u="1"/>
        <n v="1.2573738040778244" u="1"/>
        <n v="1.2666009967921577" u="1"/>
        <n v="1.2896689785779909" u="1"/>
        <n v="0.89391243347389859" u="1"/>
        <n v="0.88863975192285105" u="1"/>
        <n v="0.89918511502494614" u="1"/>
        <n v="0.92554852278018418" u="1"/>
        <n v="1.3496457312211574" u="1"/>
        <n v="1.3588729239354906" u="1"/>
        <n v="1.3819409057213237" u="1"/>
        <n v="0.99409338294380267" u="1"/>
        <n v="0.85482546500432732" u="1"/>
        <n v="0.86339357252477977" u="1"/>
        <n v="0.876245733805458" u="1"/>
        <n v="0.94050654020885072" u="1"/>
        <n v="0.94907464772930306" u="1"/>
        <n v="0.9619268090099814" u="1"/>
        <n v="0.867677626285006" u="1"/>
        <n v="0.88909789508613679" u="1"/>
        <n v="0.95335870148952906" u="1"/>
        <n v="0.97477897029065996" u="1"/>
        <n v="1.0176195078929213" u="1"/>
        <n v="1.0261876154133738" u="1"/>
        <n v="1.0390397766940525" u="1"/>
        <n v="0.85394293413901323" u="1"/>
        <n v="0.86290649277579401" u="1"/>
        <n v="0.87635183073096534" u="1"/>
        <n v="0.88979716868613667" u="1"/>
        <n v="0.89876072732291767" u="1"/>
        <n v="0.9122060652780889" u="1"/>
        <n v="0.8718700514125749" u="1"/>
        <n v="0.8808336100493559" u="1"/>
        <n v="0.89427894800452712" u="1"/>
        <n v="0.92116962391486967" u="1"/>
        <n v="0.93013318255165078" u="1"/>
        <n v="0.94357852050682189" u="1"/>
        <n v="0.97943275505394545" u="1"/>
        <n v="1.1676674864263443" u="1"/>
        <n v="1.5531005078079227" u="1"/>
        <n v="0.91051816388726747" u="1"/>
        <n v="1.2988961712923244" u="1"/>
        <n v="1.2758281895064911" u="1"/>
        <n v="1.654143090794155" u="1"/>
        <n v="1.5849391454366557" u="1"/>
        <n v="1.5618711636508222" u="1"/>
        <n v="1.3911680984356569" u="1"/>
        <n v="1.4511448510788232" u="1"/>
        <n v="1.7639048893967499" u="1"/>
        <n v="1.6057244428653219" u="1"/>
        <n v="1.5793610351100842" u="1"/>
        <n v="0.79190805081624882" u="1"/>
        <n v="0.93131092040792551" u="1"/>
        <n v="0.90503777236142724" u="1"/>
        <n v="1.0479901563543579" u="1"/>
        <n v="0.69624965505391168" u="1"/>
        <n v="0.80273739954995582" u="1"/>
        <n v="1.1009350465957677" u="1"/>
        <n v="1.1680014855554901" u="1"/>
        <n v="0.87936693382559283" u="1"/>
        <n v="0.74993016150166891" u="1"/>
        <n v="0.71071378583754186" u="1"/>
        <n v="0.72940549667806609" u="1"/>
        <n v="0.90073948790130987" u="1"/>
        <n v="0.92185820198304258" u="1"/>
        <n v="0.78388848221766827" u="1"/>
        <n v="0.83051321527972655" u="1"/>
        <n v="0.81073786466674447" u="1"/>
        <n v="1.1990399416550772" u="1"/>
        <n v="1.2214488382470294" u="1"/>
        <n v="1.2438577348389819" u="1"/>
        <n v="1.2797119693861052" u="1"/>
        <n v="2.0590705695104856" u="1"/>
        <n v="2.0936725421892355" u="1"/>
        <n v="2.1282745148679854" u="1"/>
        <n v="2.1836376711539849" u="1"/>
        <n v="1.0912843352198258" u="1"/>
        <n v="1.1143523170056588" u="1"/>
        <n v="1.1374202987914921" u="1"/>
        <n v="1.1743290696488251" u="1"/>
        <n v="1.1021946065606969" u="1"/>
        <n v="1.1255921309434707" u="1"/>
        <n v="1.1489896553262444" u="1"/>
        <n v="1.1864256943386824" u="1"/>
        <n v="1.1466474915058253" u="1"/>
        <n v="1.1097387206484921" u="1"/>
        <n v="1.1328067024343254" u="1"/>
        <n v="1.1697154732916586" u="1"/>
        <n v="1.1604882805773251" u="1"/>
        <n v="1.1973970514346584" u="1"/>
        <n v="1.0914772380137063" u="1"/>
        <n v="1.1004407966504877" u="1"/>
        <n v="1.1228496932424397" u="1"/>
        <n v="1.1452585898343919" u="1"/>
        <n v="1.1811128243815157" u="1"/>
        <n v="1.1631857071079537" u="1"/>
        <n v="1.1855946036999059" u="1"/>
        <n v="1.2080035002918581" u="1"/>
        <n v="1.1835562623631581" u="1"/>
        <n v="1.2066242441489916" u="1"/>
        <n v="1.2296922259348249" u="1"/>
        <n v="1.1204367981383494" u="1"/>
        <n v="1.1418570669394801" u="1"/>
        <n v="1.1632773357406108" u="1"/>
        <n v="1.1975497658224201" u="1"/>
        <n v="1.2527602077206579" u="1"/>
        <n v="1.1604271948222202" u="1"/>
        <n v="1.122463887654678" u="1"/>
        <n v="1.146190954634392" u="1"/>
        <n v="1.1841542618019345" u="1"/>
        <n v="1.2419094158430388" u="1"/>
        <n v="1.0359211789338261" u="1"/>
        <n v="1.3209996391087526" u="1"/>
        <n v="1.1587039277895632" u="1"/>
        <n v="0.5478444790435677" u="1"/>
        <n v="1.3081233640066574" u="1"/>
        <n v="0.60530927866603879" u="1"/>
        <n v="0.59464531545404076" u="1"/>
        <n v="0.41701355319793582" u="1"/>
        <n v="0.52945013859541223" u="1"/>
        <n v="0.81808869959188968" u="1"/>
        <n v="0.80016158231832779" u="1"/>
        <n v="1.0928355968075876" u="1"/>
        <n v="0.60245476586593261" u="1"/>
        <n v="1.1558746842201584" u="1"/>
        <n v="1.1927834550774916" u="1"/>
        <n v="0.84869275622880336" u="1"/>
        <n v="0.86642375812477979" u="1"/>
        <n v="0.6990420504103223" u="1"/>
        <n v="1.1289771530183661" u="1"/>
        <n v="1.0926212688904193" u="1"/>
        <n v="1.5687988249859597" u="1"/>
        <n v="2.0232473765852927" u="1"/>
        <n v="1.3816729507979988" u="1"/>
        <n v="1.3282084153157248" u="1"/>
        <n v="1.4244445791838187" u="1"/>
        <n v="0.45482788972876442" u="1"/>
        <n v="0.4320962434552692" u="1"/>
        <n v="1.29612969402636" u="1"/>
        <n v="1.5634523714377326" u="1"/>
        <n v="0.83471208357232785" u="1"/>
        <n v="0.85342467099112385" u="1"/>
        <n v="0.90488428639281304" u="1"/>
        <n v="0.97505648921329802" u="1"/>
        <n v="1.1154008948542689" u="1"/>
        <n v="0.9002061395381139" u="1"/>
        <n v="0.80364027990429787" u="1"/>
        <n v="0.86098007514801045" u="1"/>
        <n v="0.75486870199647516" u="1"/>
        <n v="0.83132176232142541" u="1"/>
        <n v="0.90071761707791864" u="1"/>
        <n v="0.72703731161792606" u="1"/>
        <n v="0.77253437790934265" u="1"/>
        <n v="0.8118477407921233" u="1"/>
        <n v="0.74157838387580899" u="1"/>
        <n v="0.75939311457734449" u="1"/>
        <n v="0.86787784523125078" u="1"/>
        <n v="0.92720931169785747" u="1"/>
        <n v="0.72156567102604241" u="1"/>
        <n v="0.70620010498034158" u="1"/>
        <n v="0.58431214701871448" u="1"/>
        <n v="0.75350057855531605" u="1"/>
        <n v="0.55904688982837281" u="1"/>
        <n v="0.73798059280169348" u="1"/>
        <n v="0.74754637790934286" u="1"/>
        <n v="0.88808082587820603" u="1"/>
        <n v="0.77707072264343036" u="1"/>
        <n v="0.69420746806662392" u="1"/>
        <n v="1.1319387154173191" u="1"/>
        <n v="1.2190109242955744" u="1"/>
        <n v="9.3567646100601234" u="1"/>
        <n v="0.51453826455649099" u="1"/>
        <n v="0.59714005918836865" u="1"/>
        <n v="0.42878188713040921" u="1"/>
        <n v="1.0260514426984992" u="1"/>
        <n v="0.99878452960253938" u="1"/>
        <n v="1.0033290151185326" u="1"/>
        <n v="1.0078735006345259" u="1"/>
        <n v="1.0169624716665124" u="1"/>
        <n v="1.0351404137304858" u="1"/>
        <n v="1.0487738702784657" u="1"/>
        <n v="1.0714962978584326" u="1"/>
        <n v="0.95788415995859921" u="1"/>
        <n v="0.96697313099058602" u="1"/>
        <n v="0.98060658753856589" u="1"/>
        <n v="0.92152827583065267" u="1"/>
        <n v="0.93061724686263925" u="1"/>
        <n v="0.94425070341061923" u="1"/>
        <n v="0.92761773953370275" u="1"/>
        <n v="0.93724135592051216" u="1"/>
        <n v="0.95167678050072635" u="1"/>
        <n v="0.97573582146774995" u="1"/>
        <n v="0.84571281784582297" u="1"/>
        <n v="0.85506911155522092" u="1"/>
        <n v="0.86910355211931789" u="1"/>
        <n v="0.89249428639281303" u="1"/>
        <n v="0.83518305102677937" u="1"/>
        <n v="0.84427202205876595" u="1"/>
        <n v="0.85790547860674604" u="1"/>
        <n v="0.88062790618671272" u="1"/>
        <n v="0.86244996412273922" u="1"/>
        <n v="0.87153893515472591" u="1"/>
        <n v="0.88517239170270601" u="1"/>
        <n v="0.90789481928267268" u="1"/>
        <n v="0.95472050623772142" u="1"/>
        <n v="0.9634084932535909" u="1"/>
        <n v="0.97644047377739551" u="1"/>
        <n v="0.99816044131706938" u="1"/>
        <n v="1.0242244023646783" u="1"/>
        <n v="1.0329123893805479" u="1"/>
        <n v="1.0459443699043525" u="1"/>
        <n v="1.0676643374440264" u="1"/>
        <n v="1.0987632109543926" u="1"/>
        <n v="1.2071193443511756" u="1"/>
        <n v="1.1750406230618111" u="1"/>
        <n v="1.1803870766100384" u="1"/>
        <n v="1.1857335301582657" u="1"/>
        <n v="1.1964264372547204" u="1"/>
        <n v="1.2178122514476304" u="1"/>
        <n v="1.2338516120923126" u="1"/>
        <n v="1.2605838798334501" u="1"/>
        <n v="1.0791693374440263" u="1"/>
        <n v="1.0878573244598959" u="1"/>
        <n v="1.1008893049837001" u="1"/>
        <n v="1.1660492076027222" u="1"/>
        <n v="1.1747371946185918" u="1"/>
        <n v="1.1877691751423964" u="1"/>
        <n v="0.99228946728533007" u="1"/>
        <n v="1.0009774543011998" u="1"/>
        <n v="1.0140094348250039" u="1"/>
        <n v="1.0265161046149875" u="1"/>
        <n v="1.2744578879140356" u="1"/>
        <n v="1.2838141816234334" u="1"/>
        <n v="1.3072049158969286" u="1"/>
        <n v="0.90583858500575609" u="1"/>
        <n v="0.9004921314575286" u="1"/>
        <n v="0.91118503855398336" u="1"/>
        <n v="0.93791730629512071" u="1"/>
        <n v="1.3680208250080161" u="1"/>
        <n v="1.3773771187174138" u="1"/>
        <n v="1.4007678529909091" u="1"/>
        <n v="1.0074212024220777" u="1"/>
        <n v="0.86631365555522089" u="1"/>
        <n v="0.87500164257109048" u="1"/>
        <n v="0.88803362309489486" u="1"/>
        <n v="0.95319352571391702" u="1"/>
        <n v="0.96188151272978661" u="1"/>
        <n v="0.97491349325359089" u="1"/>
        <n v="0.87934563607902527" u="1"/>
        <n v="0.90106560361869936" u="1"/>
        <n v="0.96622550623772141" u="1"/>
        <n v="0.98794547377739539" u="1"/>
        <n v="1.0313854088567431" u="1"/>
        <n v="1.0400733958726129" u="1"/>
        <n v="1.0531053763964175" u="1"/>
        <n v="0.8653969930907528" u="1"/>
        <n v="0.87448596412273927" u="1"/>
        <n v="0.88811942067071914" u="1"/>
        <n v="0.90175287721869923" u="1"/>
        <n v="0.91084184825068604" u="1"/>
        <n v="0.92447530479866602" u="1"/>
        <n v="0.88357493515472596" u="1"/>
        <n v="0.89266390618671254" u="1"/>
        <n v="0.90629736273469252" u="1"/>
        <n v="0.93356427583065271" u="1"/>
        <n v="0.94265324686263929" u="1"/>
        <n v="0.95628670341061917" u="1"/>
        <n v="0.99264258753856593" u="1"/>
        <n v="1.1835109792102858" u="1"/>
        <n v="1.5743367335857126" u="1"/>
        <n v="0.92278557115837323" u="1"/>
        <n v="1.3165612096063266" u="1"/>
        <n v="1.2931704753328315" u="1"/>
        <n v="1.6767785174181509" u="1"/>
        <n v="1.6066063145976659" u="1"/>
        <n v="1.5832155803241705" u="1"/>
        <n v="1.4101241467003072" u="1"/>
        <n v="1.4709400558113939" u="1"/>
        <n v="1.7880034204632853" u="1"/>
        <n v="1.6276098140164619" u="1"/>
        <n v="1.6008775462753246" u="1"/>
        <n v="0.75644684656633043" u="1"/>
        <n v="0.9081594692156828" u="1"/>
        <n v="0.86451068179009183" u="1"/>
        <n v="1.0215680998332022" u="1"/>
        <n v="0.66411344481126366" u="1"/>
        <n v="0.78137894763320936" u="1"/>
        <n v="1.0564389979361657" u="1"/>
        <n v="1.1413099668640141" u="1"/>
        <n v="0.85573038783804112" u="1"/>
        <n v="0.72718596563502391" u="1"/>
        <n v="0.67689761026894435" u="1"/>
        <n v="0.70670738496668639" u="1"/>
        <n v="0.86362808114591727" u="1"/>
        <n v="0.89932969998278878" u="1"/>
        <n v="0.74914452414650445" u="1"/>
        <n v="0.80818981073592766" u="1"/>
        <n v="0.77628207694487927" u="1"/>
        <n v="1.2153223778222393" u="1"/>
        <n v="1.238044805402206" u="1"/>
        <n v="1.2607672329821726" u="1"/>
        <n v="1.2971231171101194" u="1"/>
        <n v="2.0871173389222664" u="1"/>
        <n v="2.122203440332509" u="1"/>
        <n v="2.1572895417427516" u="1"/>
        <n v="2.2134273039991399" u="1"/>
        <n v="1.1060446011448708" u="1"/>
        <n v="1.1294353354183657" u="1"/>
        <n v="1.1528260696918609" u="1"/>
        <n v="1.1902512445294531" u="1"/>
        <n v="1.1171002607800313" u="1"/>
        <n v="1.1408251484002909" u="1"/>
        <n v="1.1645500360205501" u="1"/>
        <n v="1.2025098562129648" u="1"/>
        <n v="1.1621823634012591" u="1"/>
        <n v="1.1247571885636671" u="1"/>
        <n v="1.148147922837162" u="1"/>
        <n v="1.1855730976747541" u="1"/>
        <n v="1.1762168039653562" u="1"/>
        <n v="1.2136419788029484" u="1"/>
        <n v="1.1062547254383992" u="1"/>
        <n v="1.115343696470386" u="1"/>
        <n v="1.1380661240503527" u="1"/>
        <n v="1.1607885516303194" u="1"/>
        <n v="1.1971444357582659" u="1"/>
        <n v="1.1789664936942927" u="1"/>
        <n v="1.2016889212742592" u="1"/>
        <n v="1.2244113488542259" u="1"/>
        <n v="1.1996075382388511" u="1"/>
        <n v="1.2229982725123463" u="1"/>
        <n v="1.2463890067858414" u="1"/>
        <n v="1.1356412530471787" u="1"/>
        <n v="1.1573612205868526" u="1"/>
        <n v="1.1790811881265268" u="1"/>
        <n v="1.213833136190005" u="1"/>
        <n v="1.2697797410593366" u="1"/>
        <n v="1.1761403410105333" u="1"/>
        <n v="1.1376458754632957" u="1"/>
        <n v="1.161704916430319" u="1"/>
        <n v="1.2001993819775567" u="1"/>
        <n v="1.2587045191887678" u="1"/>
        <n v="1.0499068388884825" u="1"/>
        <n v="1.3389013224121795" u="1"/>
        <n v="1.174422008178299" u="1"/>
        <n v="0.55507389375802896" u="1"/>
        <n v="1.3259175033157244" u="1"/>
        <n v="0.58686705846822884" u="1"/>
        <n v="0.57616821514199135" u="1"/>
        <n v="0.40306097032021454" u="1"/>
        <n v="0.51622686205436519" u="1"/>
        <n v="0.82904110896280603" u="1"/>
        <n v="0.81086316689883275" u="1"/>
        <n v="1.1076103057319275" u="1"/>
        <n v="0.5708319618724299" u="1"/>
        <n v="1.1715386571106572" u="1"/>
        <n v="1.208963831948249" u="1"/>
        <n v="0.86020406078110723" u="1"/>
        <n v="0.87797982817109033" u="1"/>
        <n v="0.66684926510720555" u="1"/>
        <n v="1.017939065" u="1"/>
        <n v="1.1289657290183659" u="1"/>
        <n v="1.0926098448904196" u="1"/>
        <n v="1.5687853849859597" u="1"/>
        <n v="2.0232339365852923" u="1"/>
        <n v="1.381659510797999" u="1"/>
        <n v="1.3281949753157245" u="1"/>
        <n v="1.4244311391838185" u="1"/>
        <n v="0.4548178097287644" u="1"/>
        <n v="0.43208784345526918" u="1"/>
        <n v="1.29611625402636" u="1"/>
        <n v="1.5634389314377326" u="1"/>
        <n v="0.83470032357232771" u="1"/>
        <n v="0.85341291099112382" u="1"/>
        <n v="0.90487252639281301" u="1"/>
        <n v="0.9750447292132981" u="1"/>
        <n v="1.1153891348542688" u="1"/>
        <n v="0.90019437953811399" u="1"/>
        <n v="0.80331618990429787" u="1"/>
        <n v="0.86065598514801056" u="1"/>
        <n v="0.75452965399647531" u="1"/>
        <n v="0.83098271432142545" u="1"/>
        <n v="0.9003785690779188" u="1"/>
        <n v="0.72671322161792617" u="1"/>
        <n v="0.77221028790934276" u="1"/>
        <n v="0.81152365079212341" u="1"/>
        <n v="0.7412542938758091" u="1"/>
        <n v="0.75904409457734456" u="1"/>
        <n v="0.8674789652312509" u="1"/>
        <n v="0.92686029169785755" u="1"/>
        <n v="0.72124158102604252" u="1"/>
        <n v="0.70587601498034169" u="1"/>
        <n v="0.58396312701871433" u="1"/>
        <n v="0.75315155855531613" u="1"/>
        <n v="0.55869786982837266" u="1"/>
        <n v="0.73765650280169359" u="1"/>
        <n v="0.7473469379093427" u="1"/>
        <n v="0.88768194587820615" u="1"/>
        <n v="0.77672170264343043" u="1"/>
        <n v="0.69388337806662403" u="1"/>
        <n v="1.1316146254173192" u="1"/>
        <n v="1.2186619042955746" u="1"/>
        <n v="9.3564155900601218" u="1"/>
        <n v="0.51423910455649102" u="1"/>
        <n v="0.59689075918836876" u="1"/>
        <n v="0.4285325871304092" u="1"/>
        <n v="1.026040018698499" u="1"/>
        <n v="0.9987731056025394" u="1"/>
        <n v="1.0033175911185326" u="1"/>
        <n v="1.0078620766345259" u="1"/>
        <n v="1.0169510476665125" u="1"/>
        <n v="1.0351289897304858" u="1"/>
        <n v="1.0487624462784657" u="1"/>
        <n v="1.0714848738584326" u="1"/>
        <n v="0.95787273595859923" u="1"/>
        <n v="0.96696170699058592" u="1"/>
        <n v="0.98059516353856591" u="1"/>
        <n v="0.92151685183065257" u="1"/>
        <n v="0.93060582286263926" u="1"/>
        <n v="0.94423927941061914" u="1"/>
        <n v="0.92760564353370256" u="1"/>
        <n v="0.9372292599205122" u="1"/>
        <n v="0.95166468450072639" u="1"/>
        <n v="0.97572372546774977" u="1"/>
        <n v="0.84570105784582295" u="1"/>
        <n v="0.85505735155522089" u="1"/>
        <n v="0.86909179211931786" u="1"/>
        <n v="0.892482526392813" u="1"/>
        <n v="0.83517162702677938" u="1"/>
        <n v="0.84426059805876597" u="1"/>
        <n v="0.85789405460674595" u="1"/>
        <n v="0.88061648218671262" u="1"/>
        <n v="0.86243854012273924" u="1"/>
        <n v="0.87152751115472593" u="1"/>
        <n v="0.88516096770270591" u="1"/>
        <n v="0.90788339528267259" u="1"/>
        <n v="0.9547095862377214" u="1"/>
        <n v="0.96339757325359088" u="1"/>
        <n v="0.97642955377739538" u="1"/>
        <n v="0.99814952131706935" u="1"/>
        <n v="1.0242134823646782" u="1"/>
        <n v="1.0329014693805478" u="1"/>
        <n v="1.045933449904352" u="1"/>
        <n v="1.0676534174440262" u="1"/>
        <n v="1.0987517869543928" u="1"/>
        <n v="1.2071059043511754" u="1"/>
        <n v="1.1750271830618111" u="1"/>
        <n v="1.1803736366100384" u="1"/>
        <n v="1.1857200901582656" u="1"/>
        <n v="1.1964129972547206" u="1"/>
        <n v="1.2177988114476304" u="1"/>
        <n v="1.2338381720923126" u="1"/>
        <n v="1.2605704398334503" u="1"/>
        <n v="1.0791584174440263" u="1"/>
        <n v="1.0878464044598959" u="1"/>
        <n v="1.1008783849837003" u="1"/>
        <n v="1.1660382876027222" u="1"/>
        <n v="1.1747262746185918" u="1"/>
        <n v="1.1877582551423964" u="1"/>
        <n v="0.99227854728533005" u="1"/>
        <n v="1.0009665343011998" u="1"/>
        <n v="1.0139985148250039" u="1"/>
        <n v="1.0265043446149875" u="1"/>
        <n v="1.2744461279140353" u="1"/>
        <n v="1.2838024216234334" u="1"/>
        <n v="1.3071931558969283" u="1"/>
        <n v="0.90582514500575617" u="1"/>
        <n v="0.90047869145752857" u="1"/>
        <n v="0.91117159855398355" u="1"/>
        <n v="0.93790386629512068" u="1"/>
        <n v="1.3680090650080159" u="1"/>
        <n v="1.3773653587174137" u="1"/>
        <n v="1.4007560929909091" u="1"/>
        <n v="1.0074077624220776" u="1"/>
        <n v="0.86630273555522086" u="1"/>
        <n v="0.87499072257109045" u="1"/>
        <n v="0.88802270309489484" u="1"/>
        <n v="0.95318260571391689" u="1"/>
        <n v="0.96187059272978659" u="1"/>
        <n v="0.97490257325359087" u="1"/>
        <n v="0.87933471607902525" u="1"/>
        <n v="0.90105468361869934" u="1"/>
        <n v="0.96621458623772138" u="1"/>
        <n v="0.98793455377739536" u="1"/>
        <n v="1.0313744888567433" u="1"/>
        <n v="1.0400624758726129" u="1"/>
        <n v="1.0530944563964173" u="1"/>
        <n v="0.8653855690907527" u="1"/>
        <n v="0.87447454012273929" u="1"/>
        <n v="0.88810799667071916" u="1"/>
        <n v="0.90174145321869936" u="1"/>
        <n v="0.91083042425068594" u="1"/>
        <n v="0.92446388079866593" u="1"/>
        <n v="0.88356351115472598" u="1"/>
        <n v="0.89265248218671256" u="1"/>
        <n v="0.90628593873469254" u="1"/>
        <n v="0.93355285183065262" u="1"/>
        <n v="0.94264182286263931" u="1"/>
        <n v="0.95627527941061907" u="1"/>
        <n v="0.99263116353856595" u="1"/>
        <n v="1.1834995552102858" u="1"/>
        <n v="1.5743253095857124" u="1"/>
        <n v="0.9227746511583732" u="1"/>
        <n v="1.3165494496063266" u="1"/>
        <n v="1.2931587153328312" u="1"/>
        <n v="1.6767667574181508" u="1"/>
        <n v="1.6065945545976656" u="1"/>
        <n v="1.5832038203241705" u="1"/>
        <n v="1.4101123867003069" u="1"/>
        <n v="1.4709282958113938" u="1"/>
        <n v="1.7879899804632851" u="1"/>
        <n v="1.6275963740164618" u="1"/>
        <n v="1.6008641062753246" u="1"/>
        <n v="0.7560978265663304" u="1"/>
        <n v="0.90781044921568277" u="1"/>
        <n v="0.86411180179009184" u="1"/>
        <n v="1.0211692198332023" u="1"/>
        <n v="0.66378935481126378" u="1"/>
        <n v="0.78105485763320948" u="1"/>
        <n v="1.0560401179361658" u="1"/>
        <n v="1.1409110868640142" u="1"/>
        <n v="0.85537139583804123" u="1"/>
        <n v="0.72683694563502399" u="1"/>
        <n v="0.67654859026894443" u="1"/>
        <n v="0.70635836496668625" u="1"/>
        <n v="0.86328903314591721" u="1"/>
        <n v="0.89899065198278882" u="1"/>
        <n v="0.74880547614650461" u="1"/>
        <n v="0.80785076273592782" u="1"/>
        <n v="0.77595798694487939" u="1"/>
        <n v="1.2153109538222391" u="1"/>
        <n v="1.2380333814022058" u="1"/>
        <n v="1.2607558089821727" u="1"/>
        <n v="1.2971116931101192" u="1"/>
        <n v="2.0870996989222657" u="1"/>
        <n v="2.1221858003325087" u="1"/>
        <n v="2.1572719017427513" u="1"/>
        <n v="2.2134096639991396" u="1"/>
        <n v="1.1060328411448708" u="1"/>
        <n v="1.1294235754183657" u="1"/>
        <n v="1.152814309691861" u="1"/>
        <n v="1.1902394845294533" u="1"/>
        <n v="1.1170883327800312" u="1"/>
        <n v="1.140813220400291" u="1"/>
        <n v="1.1645381080205497" u="1"/>
        <n v="1.2024979282129649" u="1"/>
        <n v="1.1621706034012591" u="1"/>
        <n v="1.1247454285636671" u="1"/>
        <n v="1.1481361628371618" u="1"/>
        <n v="1.185561337674754" u="1"/>
        <n v="1.1762050439653562" u="1"/>
        <n v="1.2136302188029482" u="1"/>
        <n v="1.106243301438399" u="1"/>
        <n v="1.1153322724703856" u="1"/>
        <n v="1.1380547000503525" u="1"/>
        <n v="1.1607771276303191" u="1"/>
        <n v="1.1971330117582659" u="1"/>
        <n v="1.1789550696942925" u="1"/>
        <n v="1.2016774972742592" u="1"/>
        <n v="1.2243999248542261" u="1"/>
        <n v="1.1995957782388511" u="1"/>
        <n v="1.2229865125123465" u="1"/>
        <n v="1.2463772467858412" u="1"/>
        <n v="1.1356303330471789" u="1"/>
        <n v="1.1573503005868526" u="1"/>
        <n v="1.1790702681265266" u="1"/>
        <n v="1.213822216190005" u="1"/>
        <n v="1.2697679810593363" u="1"/>
        <n v="1.1761282450105335" u="1"/>
        <n v="1.1376337794632956" u="1"/>
        <n v="1.1616928204303192" u="1"/>
        <n v="1.2001872859775569" u="1"/>
        <n v="1.2586910791887675" u="1"/>
        <n v="1.0498950788884824" u="1"/>
        <n v="1.3388878824121795" u="1"/>
        <n v="1.174410584178299" u="1"/>
        <n v="0.55506381375802905" u="1"/>
        <n v="1.3259057433157242" u="1"/>
        <n v="0.58653465846822894" u="1"/>
        <n v="0.57583581514199134" u="1"/>
        <n v="0.40281167032021459" u="1"/>
        <n v="0.51602742205436525" u="1"/>
        <n v="0.82902968496280605" u="1"/>
        <n v="0.81085174289883266" u="1"/>
        <n v="1.1075983777319274" u="1"/>
        <n v="0.57048294187242987" u="1"/>
        <n v="1.1715268971106569" u="1"/>
        <n v="1.2089520719482492" u="1"/>
        <n v="0.8601956607811071" u="1"/>
        <n v="0.87796672417109034" u="1"/>
        <n v="0.66652517510720566" u="1"/>
        <n v="1.128979274618366" u="1"/>
        <n v="1.0926233904904195" u="1"/>
        <n v="1.5688013209859597" u="1"/>
        <n v="2.0232498725852928" u="1"/>
        <n v="1.381675446797999" u="1"/>
        <n v="1.3282109113157248" u="1"/>
        <n v="1.4244470751838185" u="1"/>
        <n v="0.45482976172876438" u="1"/>
        <n v="0.43209780345526927" u="1"/>
        <n v="1.2961321900263598" u="1"/>
        <n v="1.5634548674377324" u="1"/>
        <n v="0.83471426757232781" u="1"/>
        <n v="0.85342685499112392" u="1"/>
        <n v="0.904886470392813" u="1"/>
        <n v="0.9750586732132982" u="1"/>
        <n v="1.1154030788542688" u="1"/>
        <n v="0.90020832353811397" u="1"/>
        <n v="0.80357709990429793" u="1"/>
        <n v="0.86091689514801062" u="1"/>
        <n v="0.75480260599647531" u="1"/>
        <n v="0.83125566632142545" u="1"/>
        <n v="0.90065152107791879" u="1"/>
        <n v="0.72697413161792623" u="1"/>
        <n v="0.77247119790934282" u="1"/>
        <n v="0.81178456079212324" u="1"/>
        <n v="0.74151520387580905" u="1"/>
        <n v="0.75932507457734455" u="1"/>
        <n v="0.86780008523125085" u="1"/>
        <n v="0.92714127169785754" u="1"/>
        <n v="0.72150249102604258" u="1"/>
        <n v="0.70613692498034175" u="1"/>
        <n v="0.58424410701871454" u="1"/>
        <n v="0.753432538555316" u="1"/>
        <n v="0.55897884982837276" u="1"/>
        <n v="0.73791741280169365" u="1"/>
        <n v="0.74750749790934279" u="1"/>
        <n v="0.88800306587820621" u="1"/>
        <n v="0.77700268264343042" u="1"/>
        <n v="0.69414428806662409" u="1"/>
        <n v="1.1318755354173193" u="1"/>
        <n v="1.2189428842955745" u="1"/>
        <n v="9.356696570060123" u="1"/>
        <n v="0.51447994455649104" u="1"/>
        <n v="0.59709145918836892" u="1"/>
        <n v="0.4287332871304092" u="1"/>
        <n v="1.0260535642984994" u="1"/>
        <n v="0.9987866512025394" u="1"/>
        <n v="1.0033311367185327" u="1"/>
        <n v="1.0078756222345258" u="1"/>
        <n v="1.0169645932665123" u="1"/>
        <n v="1.0351425353304859" u="1"/>
        <n v="1.0487759918784658" u="1"/>
        <n v="1.0714984194584325" u="1"/>
        <n v="0.95788628155859923" u="1"/>
        <n v="0.96697525259058603" u="1"/>
        <n v="0.9806087091385659" u="1"/>
        <n v="0.92153039743065257" u="1"/>
        <n v="0.93061936846263948" u="1"/>
        <n v="0.94425282501061925" u="1"/>
        <n v="0.92761998593370276" u="1"/>
        <n v="0.93724360232051218" u="1"/>
        <n v="0.95167902690072637" u="1"/>
        <n v="0.97573806786774986" u="1"/>
        <n v="0.84571500184582293" u="1"/>
        <n v="0.85507129555522099" u="1"/>
        <n v="0.86910573611931796" u="1"/>
        <n v="0.8924964703928131" u="1"/>
        <n v="0.83518517262677938" u="1"/>
        <n v="0.84427414365876607" u="1"/>
        <n v="0.85790760020674595" u="1"/>
        <n v="0.88063002778671273" u="1"/>
        <n v="0.86245208572273924" u="1"/>
        <n v="0.87154105675472615" u="1"/>
        <n v="0.88517451330270602" u="1"/>
        <n v="0.9078969408826727" u="1"/>
        <n v="0.95472253423772147" u="1"/>
        <n v="0.96341052125359083" u="1"/>
        <n v="0.97644250177739556" u="1"/>
        <n v="0.99816246931706942" u="1"/>
        <n v="1.0242264303646782" u="1"/>
        <n v="1.032914417380548" u="1"/>
        <n v="1.0459463979043522" u="1"/>
        <n v="1.0676663654440264" u="1"/>
        <n v="1.0987653325543929" u="1"/>
        <n v="1.2071218403511756" u="1"/>
        <n v="1.1750431190618111" u="1"/>
        <n v="1.1803895726100384" u="1"/>
        <n v="1.1857360261582657" u="1"/>
        <n v="1.1964289332547204" u="1"/>
        <n v="1.2178147474476304" u="1"/>
        <n v="1.2338541080923129" u="1"/>
        <n v="1.2605863758334501" u="1"/>
        <n v="1.0791713654440265" u="1"/>
        <n v="1.0878593524598958" u="1"/>
        <n v="1.1008913329837002" u="1"/>
        <n v="1.1660512356027222" u="1"/>
        <n v="1.174739222618592" u="1"/>
        <n v="1.1877712031423961" u="1"/>
        <n v="0.99229149528533023" u="1"/>
        <n v="1.0009794823011997" u="1"/>
        <n v="1.0140114628250041" u="1"/>
        <n v="1.0265182886149875" u="1"/>
        <n v="1.2744600719140353" u="1"/>
        <n v="1.2838163656234334" u="1"/>
        <n v="1.3072070998969285" u="1"/>
        <n v="0.90584108100575611" u="1"/>
        <n v="0.90049462745752862" u="1"/>
        <n v="0.91118753455398371" u="1"/>
        <n v="0.93791980229512073" u="1"/>
        <n v="1.3680230090080159" u="1"/>
        <n v="1.3773793027174137" u="1"/>
        <n v="1.4007700369909089" u="1"/>
        <n v="1.0074236984220777" u="1"/>
        <n v="0.86631568355522082" u="1"/>
        <n v="0.87500367057109052" u="1"/>
        <n v="0.88803565109489491" u="1"/>
        <n v="0.95319555371391695" u="1"/>
        <n v="0.96188354072978655" u="1"/>
        <n v="0.97491552125359093" u="1"/>
        <n v="0.87934766407902543" u="1"/>
        <n v="0.90106763161869941" u="1"/>
        <n v="0.96622753423772145" u="1"/>
        <n v="0.98794750177739543" u="1"/>
        <n v="1.0313874368567431" u="1"/>
        <n v="1.0400754238726131" u="1"/>
        <n v="1.0531074043964173" u="1"/>
        <n v="0.86539911469075281" u="1"/>
        <n v="0.87448808572273928" u="1"/>
        <n v="0.88812154227071916" u="1"/>
        <n v="0.90175499881869936" u="1"/>
        <n v="0.91084396985068605" u="1"/>
        <n v="0.92447742639866604" u="1"/>
        <n v="0.88357705675472598" u="1"/>
        <n v="0.89266602778671267" u="1"/>
        <n v="0.90629948433469254" u="1"/>
        <n v="0.93356639743065262" u="1"/>
        <n v="0.94265536846263931" u="1"/>
        <n v="0.95628882501061918" u="1"/>
        <n v="0.99264470913856595" u="1"/>
        <n v="1.1835131008102859" u="1"/>
        <n v="1.5743388551857123" u="1"/>
        <n v="0.92278759915837316" u="1"/>
        <n v="1.3165633936063268" u="1"/>
        <n v="1.2931726593328314" u="1"/>
        <n v="1.6767807014181506" u="1"/>
        <n v="1.6066084985976659" u="1"/>
        <n v="1.5832177643241705" u="1"/>
        <n v="1.4101263307003069" u="1"/>
        <n v="1.470942239811394" u="1"/>
        <n v="1.7880059164632847" u="1"/>
        <n v="1.6276123100164617" u="1"/>
        <n v="1.6008800422753244" u="1"/>
        <n v="0.75637880656633039" u="1"/>
        <n v="0.90809142921568287" u="1"/>
        <n v="0.8644329217900919" u="1"/>
        <n v="1.0214903398332023" u="1"/>
        <n v="0.66405026481126372" u="1"/>
        <n v="0.78131576763320965" u="1"/>
        <n v="1.0563612379361658" u="1"/>
        <n v="1.1412322068640139" u="1"/>
        <n v="0.85566040383804121" u="1"/>
        <n v="0.72711792563502398" u="1"/>
        <n v="0.67682957026894452" u="1"/>
        <n v="0.70663934496668623" u="1"/>
        <n v="0.8635619851459172" u="1"/>
        <n v="0.89926360398278871" u="1"/>
        <n v="0.7490784281465046" u="1"/>
        <n v="0.80812371473592781" u="1"/>
        <n v="0.77621889694487956" u="1"/>
        <n v="1.2153244994222394" u="1"/>
        <n v="1.2380469270022056" u="1"/>
        <n v="1.2607693545821728" u="1"/>
        <n v="1.2971252387101191" u="1"/>
        <n v="2.0871206149222661" u="1"/>
        <n v="2.1222067163325091" u="1"/>
        <n v="2.1572928177427513" u="1"/>
        <n v="2.2134305799991401" u="1"/>
        <n v="1.106046785144871" u="1"/>
        <n v="1.1294375194183659" u="1"/>
        <n v="1.1528282536918613" u="1"/>
        <n v="1.190253428529453" u="1"/>
        <n v="1.1171024759800314" u="1"/>
        <n v="1.1408273636002908" u="1"/>
        <n v="1.1645522512205499" u="1"/>
        <n v="1.2025120714129649" u="1"/>
        <n v="1.1621845474012591" u="1"/>
        <n v="1.1247593725636671" u="1"/>
        <n v="1.1481501068371618" u="1"/>
        <n v="1.1855752816747542" u="1"/>
        <n v="1.1762189879653562" u="1"/>
        <n v="1.2136441628029482" u="1"/>
        <n v="1.1062568470383991" u="1"/>
        <n v="1.1153458180703859" u="1"/>
        <n v="1.1380682456503526" u="1"/>
        <n v="1.1607906732303193" u="1"/>
        <n v="1.197146557358266" u="1"/>
        <n v="1.1789686152942924" u="1"/>
        <n v="1.2016910428742593" u="1"/>
        <n v="1.224413470454226" u="1"/>
        <n v="1.1996097222388511" u="1"/>
        <n v="1.2230004565123462" u="1"/>
        <n v="1.2463911907858412" u="1"/>
        <n v="1.1356432810471788" u="1"/>
        <n v="1.1573632485868524" u="1"/>
        <n v="1.1790832161265266" u="1"/>
        <n v="1.2138351641900049" u="1"/>
        <n v="1.2697819250593363" u="1"/>
        <n v="1.1761425874105336" u="1"/>
        <n v="1.1376481218632959" u="1"/>
        <n v="1.1617071628303193" u="1"/>
        <n v="1.200201628377557" u="1"/>
        <n v="1.2587070151887678" u="1"/>
        <n v="1.0499090228884824" u="1"/>
        <n v="1.3389038184121795" u="1"/>
        <n v="1.1744241297782994" u="1"/>
        <n v="0.55507576575802897" u="1"/>
        <n v="1.3259196873157244" u="1"/>
        <n v="0.58680225846822887" u="1"/>
        <n v="0.57610341514199137" u="1"/>
        <n v="0.40301237032021459" u="1"/>
        <n v="0.49804877046886759" u="1"/>
        <n v="0.82904323056280604" u="1"/>
        <n v="0.81086528849883277" u="1"/>
        <n v="1.1076125209319274" u="1"/>
        <n v="0.57076392187242986" u="1"/>
        <n v="1.1715408411106571" u="1"/>
        <n v="1.2089660159482492" u="1"/>
        <n v="0.86020562078110729" u="1"/>
        <n v="0.8779822617710904" u="1"/>
        <n v="0.66678608510720561" u="1"/>
        <n v="1.1289361898183661" u="1"/>
        <n v="1.0925803056904193" u="1"/>
        <n v="1.5687506329859597" u="1"/>
        <n v="2.0231991845852928" u="1"/>
        <n v="1.3816247587979991" u="1"/>
        <n v="1.3281602233157246" u="1"/>
        <n v="1.4243963871838183" u="1"/>
        <n v="0.45479174572876441" u="1"/>
        <n v="0.43206612345526924" u="1"/>
        <n v="1.2960815020263601" u="1"/>
        <n v="1.5634041794377325" u="1"/>
        <n v="0.83466991557232773" u="1"/>
        <n v="0.85338250299112395" u="1"/>
        <n v="0.90484211839281303" u="1"/>
        <n v="0.97501432121329823" u="1"/>
        <n v="1.1153587268542688" u="1"/>
        <n v="0.90016397153811389" u="1"/>
        <n v="0.80329044990429788" u="1"/>
        <n v="0.86063024514801045" u="1"/>
        <n v="0.75450272599647517" u="1"/>
        <n v="0.83095578632142553" u="1"/>
        <n v="0.90035164107791865" u="1"/>
        <n v="0.72668748161792618" u="1"/>
        <n v="0.77218454790934277" u="1"/>
        <n v="0.8114979107921233" u="1"/>
        <n v="0.7412285538758091" u="1"/>
        <n v="0.75901637457734461" u="1"/>
        <n v="0.86744728523125092" u="1"/>
        <n v="0.92683257169785749" u="1"/>
        <n v="0.72121584102604241" u="1"/>
        <n v="0.7058502749803417" u="1"/>
        <n v="0.58393540701871438" u="1"/>
        <n v="0.75312383855531606" u="1"/>
        <n v="0.55867014982837271" u="1"/>
        <n v="0.7376307628016936" u="1"/>
        <n v="0.74733109790934282" u="1"/>
        <n v="0.88765026587820606" u="1"/>
        <n v="0.77669398264343037" u="1"/>
        <n v="0.69385763806662404" u="1"/>
        <n v="1.1315888854173193" u="1"/>
        <n v="1.2186341842955746" u="1"/>
        <n v="9.3563878700601233" u="1"/>
        <n v="0.51421534455649098" u="1"/>
        <n v="0.59687095918836885" u="1"/>
        <n v="0.42851278713040919" u="1"/>
        <n v="1.0260104794984992" u="1"/>
        <n v="0.99874356640253925" u="1"/>
        <n v="1.0032880519185325" u="1"/>
        <n v="1.0078325374345258" u="1"/>
        <n v="1.0169215084665124" u="1"/>
        <n v="1.0350994505304858" u="1"/>
        <n v="1.0487329070784659" u="1"/>
        <n v="1.0714553346584326" u="1"/>
        <n v="0.9578431967585993" u="1"/>
        <n v="0.96693216779058599" u="1"/>
        <n v="0.98056562433856598" u="1"/>
        <n v="0.92148731263065264" u="1"/>
        <n v="0.93057628366263934" u="1"/>
        <n v="0.9442097402106191" u="1"/>
        <n v="0.92757436673370264" u="1"/>
        <n v="0.93719798312051217" u="1"/>
        <n v="0.95163340770072646" u="1"/>
        <n v="0.97569244866774985" u="1"/>
        <n v="0.84567064984582296" u="1"/>
        <n v="0.85502694355522091" u="1"/>
        <n v="0.86906138411931799" u="1"/>
        <n v="0.89245211839281313" u="1"/>
        <n v="0.83514208782677946" u="1"/>
        <n v="0.84423105885876604" u="1"/>
        <n v="0.85786451540674591" u="1"/>
        <n v="0.88058694298671258" u="1"/>
        <n v="0.86240900092273931" u="1"/>
        <n v="0.871497971954726" u="1"/>
        <n v="0.88513142850270587" u="1"/>
        <n v="0.90785385608267266" u="1"/>
        <n v="0.95468135023772138" u="1"/>
        <n v="0.96336933725359086" u="1"/>
        <n v="0.97640131777739547" u="1"/>
        <n v="0.99812128531706945" u="1"/>
        <n v="1.0241852463646781" u="1"/>
        <n v="1.0328732333805479" u="1"/>
        <n v="1.0459052139043521" u="1"/>
        <n v="1.0676251814440263" u="1"/>
        <n v="1.0987222477543928" u="1"/>
        <n v="1.2070711523511755" u="1"/>
        <n v="1.1749924310618109" u="1"/>
        <n v="1.1803388846100384" u="1"/>
        <n v="1.1856853381582657" u="1"/>
        <n v="1.1963782452547207" u="1"/>
        <n v="1.2177640594476304" u="1"/>
        <n v="1.2338034200923127" u="1"/>
        <n v="1.2605356878334502" u="1"/>
        <n v="1.0791301814440264" u="1"/>
        <n v="1.0878181684598958" u="1"/>
        <n v="1.1008501489837004" u="1"/>
        <n v="1.1660100516027223" u="1"/>
        <n v="1.1746980386185919" u="1"/>
        <n v="1.1877300191423963" u="1"/>
        <n v="0.99225031128533014" u="1"/>
        <n v="1.0009382983011996" u="1"/>
        <n v="1.013970278825004" u="1"/>
        <n v="1.0264739366149873" u="1"/>
        <n v="1.2744157199140356" u="1"/>
        <n v="1.2837720136234334" u="1"/>
        <n v="1.3071627478969283" u="1"/>
        <n v="0.90579039300575626" u="1"/>
        <n v="0.90044393945752865" u="1"/>
        <n v="0.91113684655398364" u="1"/>
        <n v="0.93786911429512076" u="1"/>
        <n v="1.3679786570080159" u="1"/>
        <n v="1.3773349507174137" u="1"/>
        <n v="1.4007256849909089" u="1"/>
        <n v="1.0073730104220777" u="1"/>
        <n v="0.86627449955522084" u="1"/>
        <n v="0.87496248657109055" u="1"/>
        <n v="0.88799446709489482" u="1"/>
        <n v="0.95315436971391687" u="1"/>
        <n v="0.96184235672978668" u="1"/>
        <n v="0.97487433725359085" u="1"/>
        <n v="0.87930648007902534" u="1"/>
        <n v="0.90102644761869943" u="1"/>
        <n v="0.96618635023772137" u="1"/>
        <n v="0.98790631777739546" u="1"/>
        <n v="1.0313462528567432" u="1"/>
        <n v="1.040034239872613" u="1"/>
        <n v="1.0530662203964174" u="1"/>
        <n v="0.86535602989075278" u="1"/>
        <n v="0.87444500092273925" u="1"/>
        <n v="0.88807845747071923" u="1"/>
        <n v="0.90171191401869932" u="1"/>
        <n v="0.91080088505068602" u="1"/>
        <n v="0.924434341598666" u="1"/>
        <n v="0.88353397195472605" u="1"/>
        <n v="0.89262294298671263" u="1"/>
        <n v="0.9062563995346925" u="1"/>
        <n v="0.93352331263065258" u="1"/>
        <n v="0.94261228366263938" u="1"/>
        <n v="0.95624574021061914" u="1"/>
        <n v="0.99260162433856591" u="1"/>
        <n v="1.1834700160102858" u="1"/>
        <n v="1.5742957703857126" u="1"/>
        <n v="0.92274641515837319" u="1"/>
        <n v="1.3165190416063266" u="1"/>
        <n v="1.2931283073328315" u="1"/>
        <n v="1.6767363494181506" u="1"/>
        <n v="1.6065641465976657" u="1"/>
        <n v="1.5831734123241705" u="1"/>
        <n v="1.4100819787003069" u="1"/>
        <n v="1.4708978878113939" u="1"/>
        <n v="1.7879552284632849" u="1"/>
        <n v="1.6275616220164615" u="1"/>
        <n v="1.6008293542753242" u="1"/>
        <n v="0.75607010656633045" u="1"/>
        <n v="0.90778272921568282" u="1"/>
        <n v="0.86408012179009186" u="1"/>
        <n v="1.0211375398332021" u="1"/>
        <n v="0.66376361481126378" u="1"/>
        <n v="0.78102911763320959" u="1"/>
        <n v="1.0560084379361658" u="1"/>
        <n v="1.140879406864014" u="1"/>
        <n v="0.85534288383804125" u="1"/>
        <n v="0.72680922563502404" u="1"/>
        <n v="0.67652087026894447" u="1"/>
        <n v="0.70633064496668629" u="1"/>
        <n v="0.86326210514591728" u="1"/>
        <n v="0.89896372398278879" u="1"/>
        <n v="0.74877854814650457" u="1"/>
        <n v="0.80782383473592778" u="1"/>
        <n v="0.7759322469448795" u="1"/>
        <n v="1.2152814146222393" u="1"/>
        <n v="1.2380038422022062" u="1"/>
        <n v="1.2607262697821726" u="1"/>
        <n v="1.2970821539101192" u="1"/>
        <n v="2.087054086922266" u="1"/>
        <n v="2.1221401883325086" u="1"/>
        <n v="2.1572262897427512" u="1"/>
        <n v="2.21336405199914" u="1"/>
        <n v="1.1060024331448708" u="1"/>
        <n v="1.1293931674183659" u="1"/>
        <n v="1.1527839016918611" u="1"/>
        <n v="1.1902090765294531" u="1"/>
        <n v="1.1170574903800312" u="1"/>
        <n v="1.1407823780002908" u="1"/>
        <n v="1.1645072656205497" u="1"/>
        <n v="1.2024670858129649" u="1"/>
        <n v="1.1621401954012591" u="1"/>
        <n v="1.1247150205636669" u="1"/>
        <n v="1.1481057548371618" u="1"/>
        <n v="1.185530929674754" u="1"/>
        <n v="1.1761746359653562" u="1"/>
        <n v="1.213599810802948" u="1"/>
        <n v="1.1062137622383992" u="1"/>
        <n v="1.1153027332703858" u="1"/>
        <n v="1.1380251608503527" u="1"/>
        <n v="1.1607475884303191" u="1"/>
        <n v="1.1971034725582661" u="1"/>
        <n v="1.1789255304942925" u="1"/>
        <n v="1.2016479580742592" u="1"/>
        <n v="1.2243703856542258" u="1"/>
        <n v="1.1995653702388511" u="1"/>
        <n v="1.2229561045123463" u="1"/>
        <n v="1.246346838785841" u="1"/>
        <n v="1.1356020970471787" u="1"/>
        <n v="1.1573220645868525" u="1"/>
        <n v="1.1790420321265267" u="1"/>
        <n v="1.2137939801900051" u="1"/>
        <n v="1.2697375730593363" u="1"/>
        <n v="1.1760969682105336" u="1"/>
        <n v="1.1376025026632957" u="1"/>
        <n v="1.1616615436303193" u="1"/>
        <n v="1.2001560091775569" u="1"/>
        <n v="1.2586563271887676" u="1"/>
        <n v="1.0498646708884825" u="1"/>
        <n v="1.3388531304121796" u="1"/>
        <n v="1.1743810449782992" u="1"/>
        <n v="0.55503774975802911" u="1"/>
        <n v="1.3258753353157244" u="1"/>
        <n v="0.58650825846822896" u="1"/>
        <n v="0.57580941514199135" u="1"/>
        <n v="0.40279187032021452" u="1"/>
        <n v="0.49785032046886762" u="1"/>
        <n v="0.82900014576280612" u="1"/>
        <n v="0.81082220369883273" u="1"/>
        <n v="1.1075675353319276" u="1"/>
        <n v="1.1714964891106572" u="1"/>
        <n v="1.2089216639482492" u="1"/>
        <n v="0.8601739407811072" u="1"/>
        <n v="0.87793284097109048" u="1"/>
        <n v="0.66649943510720555" u="1"/>
        <n v="0.79674611990429789" u="1"/>
        <n v="0.85408591514801047" u="1"/>
        <n v="0.74765634999647523" u="1"/>
        <n v="0.82410941032142537" u="1"/>
        <n v="0.89350526507791872" u="1"/>
        <n v="0.72014315161792608" u="1"/>
        <n v="0.76564021790934267" u="1"/>
        <n v="0.80495358079212331" u="1"/>
        <n v="0.73468422387580901" u="1"/>
        <n v="0.75196863457734442" u="1"/>
        <n v="0.85939272523125076" u="1"/>
        <n v="0.91978483169785752" u="1"/>
        <n v="0.71467151102604243" u="1"/>
        <n v="0.6993059449803416" u="1"/>
        <n v="0.57688766701871441" u="1"/>
        <n v="0.74607609855531609" u="1"/>
        <n v="0.55162240982837274" u="1"/>
        <n v="0.7310864328016935" u="1"/>
        <n v="0.74330381790934275" u="1"/>
        <n v="0.87959570587820612" u="1"/>
        <n v="0.7696462426434304" u="1"/>
        <n v="0.68731330806662394" u="1"/>
        <n v="1.1250445554173192" u="1"/>
        <n v="1.2115864442955744" u="1"/>
        <n v="9.3493401300601242" u="1"/>
        <n v="0.50817442455649087" u="1"/>
        <n v="0.5918368591883687" u="1"/>
        <n v="0.42347868713040904" u="1"/>
        <n v="0.74902236656633037" u="1"/>
        <n v="0.90073498921568274" u="1"/>
        <n v="0.85602556179009182" u="1"/>
        <n v="1.0130829798332022" u="1"/>
        <n v="0.65721928481126368" u="1"/>
        <n v="0.77448478763320938" u="1"/>
        <n v="1.0479538779361657" u="1"/>
        <n v="1.1328248468640139" u="1"/>
        <n v="0.84809377983804113" u="1"/>
        <n v="0.71976148563502396" u="1"/>
        <n v="0.66947313026894439" u="1"/>
        <n v="0.69928290496668633" u="1"/>
        <n v="0.85641572914591713" u="1"/>
        <n v="0.89211734798278863" u="1"/>
        <n v="0.74193217214650453" u="1"/>
        <n v="0.80097745873592774" u="1"/>
        <n v="0.76938791694487929" u="1"/>
        <n v="0.58203350291267342" u="1"/>
        <n v="0.5713346595864357" u="1"/>
        <n v="0.39943580365354786" u="1"/>
        <n v="0.49331963046886756" u="1"/>
        <n v="0.65995510510720556" u="1"/>
        <n v="1.1288643818183661" u="1"/>
        <n v="1.0925084976904194" u="1"/>
        <n v="1.5686661529859598" u="1"/>
        <n v="2.0231147045852929" u="1"/>
        <n v="1.3815402787979991" u="1"/>
        <n v="1.3280757433157246" u="1"/>
        <n v="1.4243119071838186" u="1"/>
        <n v="0.45472838572876439" u="1"/>
        <n v="0.43201332345526916" u="1"/>
        <n v="1.2959970220263601" u="1"/>
        <n v="1.5633196994377327" u="1"/>
        <n v="0.83459599557232778" u="1"/>
        <n v="0.85330858299112389" u="1"/>
        <n v="0.90476819839281308" u="1"/>
        <n v="0.97494040121329806" u="1"/>
        <n v="1.1152848068542689" u="1"/>
        <n v="0.90009005153811394" u="1"/>
        <n v="0.79637067990429788" u="1"/>
        <n v="0.85371047514801057" u="1"/>
        <n v="0.74726358199647525" u="1"/>
        <n v="0.8237166423214255" u="1"/>
        <n v="0.89311249707791873" u="1"/>
        <n v="0.71976771161792619" u="1"/>
        <n v="0.76526477790934277" u="1"/>
        <n v="0.80457814079212331" u="1"/>
        <n v="0.734308783875809" u="1"/>
        <n v="0.75156431457734452" u="1"/>
        <n v="0.85893064523125084" u="1"/>
        <n v="0.91938051169785751" u="1"/>
        <n v="0.71429607102604253" u="1"/>
        <n v="0.6989305049803417" u="1"/>
        <n v="0.57648334701871451" u="1"/>
        <n v="0.74567177855531608" u="1"/>
        <n v="0.55121808982837273" u="1"/>
        <n v="0.7307109928016936" u="1"/>
        <n v="0.74307277790934279" u="1"/>
        <n v="0.8791336258782062" u="1"/>
        <n v="0.76924192264343039" u="1"/>
        <n v="0.68693786806662405" u="1"/>
        <n v="1.1246691154173192" u="1"/>
        <n v="1.2111821242955745" u="1"/>
        <n v="9.3489358100601212" u="1"/>
        <n v="0.50782786455649098" u="1"/>
        <n v="0.59154805918836884" u="1"/>
        <n v="0.42318988713040917" u="1"/>
        <n v="1.0259386714984993" u="1"/>
        <n v="0.9986717584025393" u="1"/>
        <n v="1.0032162439185326" u="1"/>
        <n v="1.0077607294345259" u="1"/>
        <n v="1.0168497004665125" u="1"/>
        <n v="1.0350276425304858" u="1"/>
        <n v="1.0486610990784657" u="1"/>
        <n v="1.0713835266584326" u="1"/>
        <n v="0.95777138875859924" u="1"/>
        <n v="0.96686035979058604" u="1"/>
        <n v="0.98049381633856592" u="1"/>
        <n v="0.92141550463065269" u="1"/>
        <n v="0.93050447566263927" u="1"/>
        <n v="0.94413793221061915" u="1"/>
        <n v="0.92749833473370258" u="1"/>
        <n v="0.93712195112051222" u="1"/>
        <n v="0.95155737570072629" u="1"/>
        <n v="0.9756164166677499" u="1"/>
        <n v="0.84559672984582301" u="1"/>
        <n v="0.85495302355522096" u="1"/>
        <n v="0.86898746411931793" u="1"/>
        <n v="0.89237819839281307" u="1"/>
        <n v="0.83507027982677939" u="1"/>
        <n v="0.84415925085876597" u="1"/>
        <n v="0.85779270740674607" u="1"/>
        <n v="0.88051513498671263" u="1"/>
        <n v="0.86233719292273925" u="1"/>
        <n v="0.87142616395472594" u="1"/>
        <n v="0.88505962050270592" u="1"/>
        <n v="0.90778204808267271" u="1"/>
        <n v="0.95461271023772143" u="1"/>
        <n v="0.96330069725359091" u="1"/>
        <n v="0.97633267777739541" u="1"/>
        <n v="0.99805264531706939" u="1"/>
        <n v="1.0241166063646783" u="1"/>
        <n v="1.0328045933805476" u="1"/>
        <n v="1.0458365739043523" u="1"/>
        <n v="1.0675565414440265" u="1"/>
        <n v="1.0986504397543926" u="1"/>
        <n v="1.2069866723511755" u="1"/>
        <n v="1.174907951061811" u="1"/>
        <n v="1.1802544046100385" u="1"/>
        <n v="1.1856008581582658" u="1"/>
        <n v="1.1962937652547205" u="1"/>
        <n v="1.2176795794476305" u="1"/>
        <n v="1.2337189400923125" u="1"/>
        <n v="1.2604512078334502" u="1"/>
        <n v="1.0790615414440263" u="1"/>
        <n v="1.0877495284598959" u="1"/>
        <n v="1.1007815089837001" u="1"/>
        <n v="1.1659414116027222" u="1"/>
        <n v="1.1746293986185918" u="1"/>
        <n v="1.1876613791423964" u="1"/>
        <n v="0.99218167128533008" u="1"/>
        <n v="1.0008696583011998" u="1"/>
        <n v="1.0139016388250039" u="1"/>
        <n v="1.0264000166149876" u="1"/>
        <n v="1.2743417999140352" u="1"/>
        <n v="1.2836980936234335" u="1"/>
        <n v="1.3070888278969284" u="1"/>
        <n v="0.90570591300575609" u="1"/>
        <n v="0.9003594594575286" u="1"/>
        <n v="0.91105236655398336" u="1"/>
        <n v="0.93778463429512071" u="1"/>
        <n v="1.3679047370080162" u="1"/>
        <n v="1.3772610307174138" u="1"/>
        <n v="1.4006517649909092" u="1"/>
        <n v="1.0072885304220776" u="1"/>
        <n v="0.86620585955522089" u="1"/>
        <n v="0.87489384657109048" u="1"/>
        <n v="0.88792582709489487" u="1"/>
        <n v="0.95308572971391703" u="1"/>
        <n v="0.96177371672978662" u="1"/>
        <n v="0.9748056972535909" u="1"/>
        <n v="0.87923784007902528" u="1"/>
        <n v="0.90095780761869937" u="1"/>
        <n v="0.96611771023772131" u="1"/>
        <n v="0.9878376777773954" u="1"/>
        <n v="1.0312776128567431" u="1"/>
        <n v="1.0399655998726127" u="1"/>
        <n v="1.0529975803964176" u="1"/>
        <n v="0.8652842218907526" u="1"/>
        <n v="0.8743731929227393" u="1"/>
        <n v="0.88800664947071917" u="1"/>
        <n v="0.90164010601869926" u="1"/>
        <n v="0.91072907705068595" u="1"/>
        <n v="0.92436253359866583" u="1"/>
        <n v="0.88346216395472599" u="1"/>
        <n v="0.89255113498671257" u="1"/>
        <n v="0.90618459153469255" u="1"/>
        <n v="0.93345150463065274" u="1"/>
        <n v="0.94254047566263932" u="1"/>
        <n v="0.95617393221061919" u="1"/>
        <n v="0.99252981633856596" u="1"/>
        <n v="1.1833982080102858" u="1"/>
        <n v="1.5742239623857126" u="1"/>
        <n v="0.92267777515837324" u="1"/>
        <n v="1.3164451216063267" u="1"/>
        <n v="1.2930543873328315" u="1"/>
        <n v="1.6766624294181509" u="1"/>
        <n v="1.6064902265976657" u="1"/>
        <n v="1.5830994923241706" u="1"/>
        <n v="1.410008058700307" u="1"/>
        <n v="1.4708239678113939" u="1"/>
        <n v="1.787870748463285" u="1"/>
        <n v="1.627477142016462" u="1"/>
        <n v="1.6007448742753247" u="1"/>
        <n v="0.74861804656633035" u="1"/>
        <n v="0.90033066921568283" u="1"/>
        <n v="0.8555634817900919" u="1"/>
        <n v="1.0126208998332022" u="1"/>
        <n v="0.65684384481126368" u="1"/>
        <n v="0.7741093476332096" u="1"/>
        <n v="1.0474917979361658" u="1"/>
        <n v="1.1323627668640142" u="1"/>
        <n v="0.8476779078380412" u="1"/>
        <n v="0.71935716563502394" u="1"/>
        <n v="0.66906881026894449" u="1"/>
        <n v="0.6988785849666862" u="1"/>
        <n v="0.85602296114591725" u="1"/>
        <n v="0.89172457998278876" u="1"/>
        <n v="0.74153940414650454" u="1"/>
        <n v="0.80058469073592786" u="1"/>
        <n v="0.76901247694487951" u="1"/>
        <n v="1.2152096066222393" u="1"/>
        <n v="1.2379320342022058" u="1"/>
        <n v="1.2606544617821727" u="1"/>
        <n v="1.2970103459101194" u="1"/>
        <n v="2.0869432069222662" u="1"/>
        <n v="2.1220293083325088" u="1"/>
        <n v="2.1571154097427514" u="1"/>
        <n v="2.2132531719991402" u="1"/>
        <n v="1.1059285131448708" u="1"/>
        <n v="1.129319247418366" u="1"/>
        <n v="1.1527099816918609" u="1"/>
        <n v="1.1901351565294531" u="1"/>
        <n v="1.1169825143800314" u="1"/>
        <n v="1.140707402000291" u="1"/>
        <n v="1.1644322896205499" u="1"/>
        <n v="1.2023921098129646" u="1"/>
        <n v="1.1620662754012592" u="1"/>
        <n v="1.124641100563667" u="1"/>
        <n v="1.1480318348371619" u="1"/>
        <n v="1.1854570096747539" u="1"/>
        <n v="1.1761007159653563" u="1"/>
        <n v="1.2135258908029483" u="1"/>
        <n v="1.1061419542383992" u="1"/>
        <n v="1.1152309252703858" u="1"/>
        <n v="1.1379533528503527" u="1"/>
        <n v="1.1606757804303189" u="1"/>
        <n v="1.1970316645582659" u="1"/>
        <n v="1.1788537224942928" u="1"/>
        <n v="1.201576150074259" u="1"/>
        <n v="1.2242985776542259" u="1"/>
        <n v="1.199491450238851" u="1"/>
        <n v="1.2228821845123463" u="1"/>
        <n v="1.2462729187858412" u="1"/>
        <n v="1.1355334570471787" u="1"/>
        <n v="1.1572534245868527" u="1"/>
        <n v="1.1789733921265269" u="1"/>
        <n v="1.213725340190005" u="1"/>
        <n v="1.2696636530593366" u="1"/>
        <n v="1.1760209362105334" u="1"/>
        <n v="1.1375264706632957" u="1"/>
        <n v="1.1615855116303193" u="1"/>
        <n v="1.2000799771775568" u="1"/>
        <n v="1.2585718471887677" u="1"/>
        <n v="1.0497907508884825" u="1"/>
        <n v="1.3387686504121796" u="1"/>
        <n v="1.1743092369782993" u="1"/>
        <n v="0.55497438975802904" u="1"/>
        <n v="1.3258014153157245" u="1"/>
        <n v="0.58163239180156223" u="1"/>
        <n v="0.57093354847532463" u="1"/>
        <n v="0.39913497032021455" u="1"/>
        <n v="0.4930597104688676" u="1"/>
        <n v="0.82892833776280606" u="1"/>
        <n v="0.81075039569883278" u="1"/>
        <n v="1.1074925593319276" u="1"/>
        <n v="1.1714225691106572" u="1"/>
        <n v="1.2088477439482492" u="1"/>
        <n v="0.86012114078110724" u="1"/>
        <n v="0.87785047297109031" u="1"/>
        <n v="0.65957966510720567" u="1"/>
        <n v="0.77585605250834855" u="1"/>
        <n v="0.84331463514801053" u="1"/>
        <n v="0.72697832657186601" u="1"/>
        <n v="0.81284099432142543" u="1"/>
        <n v="0.88223684907791866" u="1"/>
        <n v="0.7003024399519272" u="1"/>
        <n v="0.75486893790934273" u="1"/>
        <n v="0.78395108242510791" u="1"/>
        <n v="0.72391294387580896" u="1"/>
        <n v="0.730924593007792" u="1"/>
        <n v="0.83534239200890514" u="1"/>
        <n v="0.90818499169785749" u="1"/>
        <n v="0.69490575334075433" u="1"/>
        <n v="0.68853466498034177" u="1"/>
        <n v="0.56528782701871449" u="1"/>
        <n v="0.72511277665729801" u="1"/>
        <n v="0.53332283709099781" u="1"/>
        <n v="0.71109581317427317" u="1"/>
        <n v="0.73667533790934281" u="1"/>
        <n v="0.85526861949631305" u="1"/>
        <n v="0.74836004205927387" u="1"/>
        <n v="0.6679223202848894" u="1"/>
        <n v="1.0996572491787258" u="1"/>
        <n v="1.18424626834632" u="1"/>
        <n v="9.3377402900601236" u="1"/>
        <n v="0.49200475846667602" u="1"/>
        <n v="0.57605586111729512" u="1"/>
        <n v="0.41000396538889672" u="1"/>
        <n v="0.72801868483254506" u="1"/>
        <n v="0.88913514921568282" u="1"/>
        <n v="0.8320213540943372" u="1"/>
        <n v="0.99982601983320218" u="1"/>
        <n v="0.63824054392343821" u="1"/>
        <n v="0.76371350763320955" u="1"/>
        <n v="1.0213205152247116" u="1"/>
        <n v="1.1195678868640142" u="1"/>
        <n v="0.83616251583804113" u="1"/>
        <n v="0.70816164563502393" u="1"/>
        <n v="0.64955916410087677" u="1"/>
        <n v="0.6876830649666863" u="1"/>
        <n v="0.8342478512124113" u="1"/>
        <n v="0.8808489319827888" u="1"/>
        <n v="0.72133256211710051" u="1"/>
        <n v="0.78970904273592768" u="1"/>
        <n v="0.74887261945248373" u="1"/>
        <n v="0.56007414396553112" u="1"/>
        <n v="0.54958927750581821" u="1"/>
        <n v="0.38370807091381032" u="1"/>
        <n v="0.48586259046886754" u="1"/>
        <n v="0.6409388872290247" u="1"/>
        <n v="0.4186398242782291" u="1"/>
        <n v="1.128787025018366" u="1"/>
        <n v="1.0924311408904193" u="1"/>
        <n v="1.5685751449859597" u="1"/>
        <n v="2.0230236965852928" u="1"/>
        <n v="1.3814492707979991" u="1"/>
        <n v="1.3279847353157248" u="1"/>
        <n v="1.4242208991838186" u="1"/>
        <n v="0.43461092892291148" u="1"/>
        <n v="0.43195644345526923" u="1"/>
        <n v="1.2959060140263601" u="1"/>
        <n v="1.5632286914377327" u="1"/>
        <n v="0.83451636357232772" u="1"/>
        <n v="0.85322895099112395" u="1"/>
        <n v="0.90468856639281303" u="1"/>
        <n v="0.97486076921329812" u="1"/>
        <n v="1.1152051748542688" u="1"/>
        <n v="0.90001041953811389" u="1"/>
        <n v="0.77496414850834849" u="1"/>
        <n v="0.84242273114801047" u="1"/>
        <n v="0.72604525777186601" u="1"/>
        <n v="0.81190792552142543" u="1"/>
        <n v="0.88130378027791867" u="1"/>
        <n v="0.69941053595192726" u="1"/>
        <n v="0.75397703390934279" u="1"/>
        <n v="0.78305917842510797" u="1"/>
        <n v="0.72302103987580901" u="1"/>
        <n v="0.72996408100779187" u="1"/>
        <n v="0.83424466400890507" u="1"/>
        <n v="0.90722447969785747" u="1"/>
        <n v="0.69401384934075427" u="1"/>
        <n v="0.68764276098034172" u="1"/>
        <n v="0.56432731501871447" u="1"/>
        <n v="0.72415226465729798" u="1"/>
        <n v="0.53236232509099779" u="1"/>
        <n v="0.71020390917427323" u="1"/>
        <n v="0.73612647390934294" u="1"/>
        <n v="0.85417089149631298" u="1"/>
        <n v="0.74739953005927384" u="1"/>
        <n v="0.66703041628488946" u="1"/>
        <n v="1.0987653451787258" u="1"/>
        <n v="1.1832857563463199" u="1"/>
        <n v="9.3367797780601229" u="1"/>
        <n v="0.49118146246667599" u="1"/>
        <n v="0.5753697811172952" u="1"/>
        <n v="0.40931788538889669" u="1"/>
        <n v="1.0258613146984992" u="1"/>
        <n v="0.99859440160253932" u="1"/>
        <n v="1.0031388871185327" u="1"/>
        <n v="1.0076833726345258" u="1"/>
        <n v="1.0167723436665124" u="1"/>
        <n v="1.034950285730486" u="1"/>
        <n v="1.0485837422784658" u="1"/>
        <n v="1.0713061698584325" u="1"/>
        <n v="0.95769403195859926" u="1"/>
        <n v="0.96678300299058595" u="1"/>
        <n v="0.98041645953856593" u="1"/>
        <n v="0.92133814783065271" u="1"/>
        <n v="0.9304271188626394" u="1"/>
        <n v="0.94406057541061916" u="1"/>
        <n v="0.92741642753370268" u="1"/>
        <n v="0.9370400439205121" u="1"/>
        <n v="0.9514754685007264" u="1"/>
        <n v="0.97553450946775" u="1"/>
        <n v="0.84551709784582285" u="1"/>
        <n v="0.85487339155522102" u="1"/>
        <n v="0.86890783211931788" u="1"/>
        <n v="0.89229856639281313" u="1"/>
        <n v="0.83499292302677941" u="1"/>
        <n v="0.84408189405876599" u="1"/>
        <n v="0.85771535060674609" u="1"/>
        <n v="0.88043777818671265" u="1"/>
        <n v="0.86225983612273926" u="1"/>
        <n v="0.87134880715472596" u="1"/>
        <n v="0.88498226370270594" u="1"/>
        <n v="0.90770469128267262" u="1"/>
        <n v="0.95453876623772138" u="1"/>
        <n v="0.96322675325359086" u="1"/>
        <n v="0.97625873377739547" u="1"/>
        <n v="0.99797870131706945" u="1"/>
        <n v="1.0240426623646783" u="1"/>
        <n v="1.0327306493805477" u="1"/>
        <n v="1.0457626299043523" u="1"/>
        <n v="1.0674825974440263" u="1"/>
        <n v="1.0985730829543927" u="1"/>
        <n v="1.2068956643511755" u="1"/>
        <n v="1.1748169430618109" u="1"/>
        <n v="1.1801633966100384" u="1"/>
        <n v="1.1855098501582657" u="1"/>
        <n v="1.1962027572547205" u="1"/>
        <n v="1.2175885714476304" u="1"/>
        <n v="1.2336279320923127" u="1"/>
        <n v="1.2603601998334502" u="1"/>
        <n v="1.0789875974440264" u="1"/>
        <n v="1.087675584459896" u="1"/>
        <n v="1.1007075649837001" u="1"/>
        <n v="1.1658674676027223" u="1"/>
        <n v="1.1745554546185919" u="1"/>
        <n v="1.1875874351423965" u="1"/>
        <n v="0.99210772728533014" u="1"/>
        <n v="1.0007957143011996" u="1"/>
        <n v="1.013827694825004" u="1"/>
        <n v="1.0263203846149875" u="1"/>
        <n v="1.2742621679140353" u="1"/>
        <n v="1.2836184616234334" u="1"/>
        <n v="1.3070091958969285" u="1"/>
        <n v="0.90561490500575614" u="1"/>
        <n v="0.90026845145752865" u="1"/>
        <n v="0.91096135855398341" u="1"/>
        <n v="0.93769362629512076" u="1"/>
        <n v="1.3678251050080161" u="1"/>
        <n v="1.377181398717414" u="1"/>
        <n v="1.4005721329909091" u="1"/>
        <n v="1.0071975224220777" u="1"/>
        <n v="0.86613191555522084" u="1"/>
        <n v="0.87481990257109055" u="1"/>
        <n v="0.88785188309489482" u="1"/>
        <n v="0.95301178571391709" u="1"/>
        <n v="0.96169977272978657" u="1"/>
        <n v="0.97473175325359085" u="1"/>
        <n v="0.87916389607902534" u="1"/>
        <n v="0.90088386361869943" u="1"/>
        <n v="0.96604376623772137" u="1"/>
        <n v="0.98776373377739546" u="1"/>
        <n v="1.0312036688567432" u="1"/>
        <n v="1.0398916558726128" u="1"/>
        <n v="1.0529236363964176" u="1"/>
        <n v="0.86520686509075273" u="1"/>
        <n v="0.8742958361227392" u="1"/>
        <n v="0.88792929267071918" u="1"/>
        <n v="0.90156274921869917" u="1"/>
        <n v="0.91065172025068608" u="1"/>
        <n v="0.92428517679866595" u="1"/>
        <n v="0.883384807154726" u="1"/>
        <n v="0.89247377818671259" u="1"/>
        <n v="0.90610723473469257" u="1"/>
        <n v="0.93337414783065265" u="1"/>
        <n v="0.94246311886263934" u="1"/>
        <n v="0.9560965754106191" u="1"/>
        <n v="0.99245245953856587" u="1"/>
        <n v="1.183320851210286" u="1"/>
        <n v="1.5741466055857125" u="1"/>
        <n v="0.92260383115837319" u="1"/>
        <n v="1.3163654896063268" u="1"/>
        <n v="1.2929747553328315" u="1"/>
        <n v="1.6765827974181509" u="1"/>
        <n v="1.6064105945976659" u="1"/>
        <n v="1.5830198603241705" u="1"/>
        <n v="1.4099284267003072" u="1"/>
        <n v="1.4707443358113941" u="1"/>
        <n v="1.7877797404632849" u="1"/>
        <n v="1.6273861340164617" u="1"/>
        <n v="1.6006538662753247" u="1"/>
        <n v="0.72705817283254504" u="1"/>
        <n v="0.88817463721568279" u="1"/>
        <n v="0.83092362609433712" u="1"/>
        <n v="0.99872829183320211" u="1"/>
        <n v="0.63734863992343815" u="1"/>
        <n v="0.7628216036332095" u="1"/>
        <n v="1.0202227872247114" u="1"/>
        <n v="1.118470158864014" u="1"/>
        <n v="0.83517456063804119" u="1"/>
        <n v="0.70720113363502402" u="1"/>
        <n v="0.64859865210087675" u="1"/>
        <n v="0.68672255296668627" u="1"/>
        <n v="0.8333147824124113" u="1"/>
        <n v="0.87991586318278869" u="1"/>
        <n v="0.72039949331710051" u="1"/>
        <n v="0.7887759739359278" u="1"/>
        <n v="0.74798071545248379" u="1"/>
        <n v="1.2151322498222394" u="1"/>
        <n v="1.2378546774022057" u="1"/>
        <n v="1.2605771049821728" u="1"/>
        <n v="1.2969329891101191" u="1"/>
        <n v="2.0868237589222662" u="1"/>
        <n v="2.1219098603325088" u="1"/>
        <n v="2.1569959617427514" u="1"/>
        <n v="2.2131337239991402" u="1"/>
        <n v="1.105848881144871" u="1"/>
        <n v="1.1292396154183659" u="1"/>
        <n v="1.1526303496918611" u="1"/>
        <n v="1.1900555245294531" u="1"/>
        <n v="1.1169017447800313" u="1"/>
        <n v="1.1406266324002907" u="1"/>
        <n v="1.1643515200205499" u="1"/>
        <n v="1.2023113402129648" u="1"/>
        <n v="1.1619866434012591" u="1"/>
        <n v="1.1245614685636669" u="1"/>
        <n v="1.1479522028371618" u="1"/>
        <n v="1.185377377674754" u="1"/>
        <n v="1.1760210839653562" u="1"/>
        <n v="1.2134462588029482" u="1"/>
        <n v="1.1060645974383991" u="1"/>
        <n v="1.1151535684703859" u="1"/>
        <n v="1.1378759960503526" u="1"/>
        <n v="1.1605984236303191" u="1"/>
        <n v="1.1969543077582658" u="1"/>
        <n v="1.1787763656942924" u="1"/>
        <n v="1.2014987932742591" u="1"/>
        <n v="1.224221220854226" u="1"/>
        <n v="1.1994118182388511" u="1"/>
        <n v="1.2228025525123463" u="1"/>
        <n v="1.2461932867858412" u="1"/>
        <n v="1.1354595130471787" u="1"/>
        <n v="1.1571794805868525" u="1"/>
        <n v="1.1788994481265267" u="1"/>
        <n v="1.2136513961900051" u="1"/>
        <n v="1.2695840210593363" u="1"/>
        <n v="1.1759390290105334" u="1"/>
        <n v="1.1374445634632959" u="1"/>
        <n v="1.1615036044303193" u="1"/>
        <n v="1.199998069977557" u="1"/>
        <n v="1.2584808391887679" u="1"/>
        <n v="1.0497111188884825" u="1"/>
        <n v="1.3386776424121796" u="1"/>
        <n v="1.1742318801782994" u="1"/>
        <n v="0.554906133758029" u="1"/>
        <n v="1.3257217833157244" u="1"/>
        <n v="0.55912125507664223" u="1"/>
        <n v="0.54863638861692932" u="1"/>
        <n v="0.38299340424714362" u="1"/>
        <n v="0.48524511846886759" u="1"/>
        <n v="0.82885098096280607" u="1"/>
        <n v="0.81067303889883269" u="1"/>
        <n v="1.1074117897319276" u="1"/>
        <n v="1.1713429371106572" u="1"/>
        <n v="1.2087681119482492" u="1"/>
        <n v="0.86006426078110731" u="1"/>
        <n v="0.87776174017109043" u="1"/>
        <n v="0.64004698322902465" u="1"/>
        <n v="0.5067880518239819" u="1"/>
        <n v="0.36512577410242619" u="1"/>
        <n v="1.278755047046146" u="1"/>
        <n v="1.2560326194661791" u="1"/>
        <n v="1.3378333587540592" u="1"/>
        <n v="1.6286804317776324" u="1"/>
        <n v="1.5605131490377326" u="1"/>
        <n v="1.5377907214577657" u="1"/>
        <n v="1.3696447573660127" u="1"/>
        <n v="1.4287230690739257" u="1"/>
        <n v="1.2878440180781323" u="1"/>
        <n v="1.1269671315437222" u="1"/>
        <n v="1.090672713508009" u="1"/>
        <n v="1.5660273329348351" u="1"/>
        <n v="2.0197075583812527" u="1"/>
        <n v="1.3792178283392518" u="1"/>
        <n v="1.3258436841690848" u="1"/>
        <n v="1.421917143675385" u="1"/>
        <n v="0.50600934396978792" u="1"/>
        <n v="0.43129123382942758" u="1"/>
        <n v="1.2938191976669851" u="1"/>
        <n v="1.5606899185178187" u="1"/>
        <n v="0.83319659060567797" u="1"/>
        <n v="0.85187754106523639" u="1"/>
        <n v="0.90325015482902171" u="1"/>
        <n v="0.97330371905236568" u="1"/>
        <n v="1.1134108474990534" u="1"/>
        <n v="0.89857991721413233" u="1"/>
        <n v="0.79329980081416207" u="1"/>
        <n v="0.84295943642434923" u="1"/>
        <n v="0.74331466824428061" u="1"/>
        <n v="0.81258672785309383" u="1"/>
        <n v="0.88186525656701154" u="1"/>
        <n v="0.71603993584084147" u="1"/>
        <n v="0.75466327237719943" u="1"/>
        <n v="0.80157764348987504" u="1"/>
        <n v="0.72375961496069685" u="1"/>
        <n v="0.74734766475988457" u="1"/>
        <n v="0.8541116168684395" u="1"/>
        <n v="0.907802469995453" u="1"/>
        <n v="0.71052137405703297" u="1"/>
        <n v="0.68844114934183698" u="1"/>
        <n v="0.56548503399727179" u="1"/>
        <n v="0.74140459822347526" u="1"/>
        <n v="0.54528340252196938" u="1"/>
        <n v="0.72707705940845879" u="1"/>
        <n v="0.73608867237719955" u="1"/>
        <n v="0.87448784499327137" u="1"/>
        <n v="0.76517686436911247" u="1"/>
        <n v="0.68292856513798983" u="1"/>
        <n v="1.1244135078426787" u="1"/>
        <n v="1.2109068545998078" u="1"/>
        <n v="9.3231061049507424" u="1"/>
        <n v="0.50304417280871494" u="1"/>
        <n v="0.58900537838086087" u="1"/>
        <n v="0.41920347734059582" u="1"/>
        <n v="1.0242154354544386" u="1"/>
        <n v="0.99699462192765365" u="1"/>
        <n v="1.0015314241821178" u="1"/>
        <n v="1.0060682264365819" u="1"/>
        <n v="1.0151418309455102" u="1"/>
        <n v="1.033289039963367" u="1"/>
        <n v="1.0468994467267594" u="1"/>
        <n v="1.0695834579990804" u="1"/>
        <n v="0.95616340163747604" u="1"/>
        <n v="0.96523700614640451" u="1"/>
        <n v="0.97884741290979682" u="1"/>
        <n v="0.91986898360176272" u="1"/>
        <n v="0.92894258811069108" u="1"/>
        <n v="0.94255299487408351" u="1"/>
        <n v="0.92594219406048095" u="1"/>
        <n v="0.9355495400111109" u="1"/>
        <n v="0.949960558937056" u="1"/>
        <n v="0.97397892381363105" u="1"/>
        <n v="0.8441787261801259" u="1"/>
        <n v="0.85351920140990511" u="1"/>
        <n v="0.86752991425457404" u="1"/>
        <n v="0.89088110232902173" u="1"/>
        <n v="0.83366974076694333" u="1"/>
        <n v="0.84274334527587191" u="1"/>
        <n v="0.85635375203926423" u="1"/>
        <n v="0.87903776331158501" u="1"/>
        <n v="0.86089055429372852" u="1"/>
        <n v="0.86996415880265676" u="1"/>
        <n v="0.88357456556604919" u="1"/>
        <n v="0.90625857683837008" u="1"/>
        <n v="0.95300956507790413" u="1"/>
        <n v="0.96168286350555621" u="1"/>
        <n v="0.97469281114703443" u="1"/>
        <n v="0.99637605721616473" u="1"/>
        <n v="1.0223959524991211" u="1"/>
        <n v="1.0310692509267732" u="1"/>
        <n v="1.0440791985682512" u="1"/>
        <n v="1.0657624446373817" u="1"/>
        <n v="1.0968042715258657" u="1"/>
        <n v="1.2049593358287514" u="1"/>
        <n v="1.1729348493266514" u="1"/>
        <n v="1.178272263743668" u="1"/>
        <n v="1.1836096781606846" u="1"/>
        <n v="1.1942845069947181" u="1"/>
        <n v="1.2156341646627846" u="1"/>
        <n v="1.2316464079138345" u="1"/>
        <n v="1.2583334799989183" u="1"/>
        <n v="1.0772479933873815" u="1"/>
        <n v="1.0859212918150336" u="1"/>
        <n v="1.0989312394565118" u="1"/>
        <n v="1.1639809776639023" u="1"/>
        <n v="1.1726542760915544" u="1"/>
        <n v="1.1856642237330328" u="1"/>
        <n v="0.99051500911086043" u="1"/>
        <n v="0.99918830753851251" u="1"/>
        <n v="1.0121982551799906" u="1"/>
        <n v="1.0246763328161512" u="1"/>
        <n v="1.2721989264052995" u="1"/>
        <n v="1.2815394016350785" u="1"/>
        <n v="1.3048905897095262" u="1"/>
        <n v="0.90418794522476753" u="1"/>
        <n v="0.89885053080775079" u="1"/>
        <n v="0.90952535964178427" u="1"/>
        <n v="0.93621243172686763" u="1"/>
        <n v="1.3656036787030912" u="1"/>
        <n v="1.3749441539328706" u="1"/>
        <n v="1.3982953420073183" u="1"/>
        <n v="1.0055988191480845" u="1"/>
        <n v="0.8647521819099051" u="1"/>
        <n v="0.87342548033755729" u="1"/>
        <n v="0.88643542797903518" u="1"/>
        <n v="0.9514851661864262" u="1"/>
        <n v="0.96015846461407828" u="1"/>
        <n v="0.97316841225555628" u="1"/>
        <n v="0.87776212955138311" u="1"/>
        <n v="0.89944537562051352" u="1"/>
        <n v="0.9644951138279042" u="1"/>
        <n v="0.98617835989703451" u="1"/>
        <n v="1.0295448520352948" u="1"/>
        <n v="1.0382181504629469" u="1"/>
        <n v="1.0512280981044253" u="1"/>
        <n v="0.86383260078480018" u="1"/>
        <n v="0.87290620529372853" u="1"/>
        <n v="0.88651661205712096" u="1"/>
        <n v="0.90012701882051349" u="1"/>
        <n v="0.90920062332944174" u="1"/>
        <n v="0.92281103009283438" u="1"/>
        <n v="0.88197980980265678" u="1"/>
        <n v="0.89105341431158513" u="1"/>
        <n v="0.90466382107497756" u="1"/>
        <n v="0.93188463460176263" u="1"/>
        <n v="0.9409582391106911" u="1"/>
        <n v="0.95456864587408352" u="1"/>
        <n v="0.99086306390979684" u="1"/>
        <n v="1.1814087585972923" u="1"/>
        <n v="1.5715737524812112" u="1"/>
        <n v="0.92112862168964371" u="1"/>
        <n v="1.2766816059410397" u="1"/>
        <n v="1.253997594668719" u="1"/>
        <n v="1.3356600352490744" u="1"/>
        <n v="1.6260153795347809" u="1"/>
        <n v="1.5579633457178184" u="1"/>
        <n v="1.5352793344454978" u="1"/>
        <n v="1.3674176510303235" u="1"/>
        <n v="1.4263960803383575" u="1"/>
        <n v="1.7848613240325188" u="1"/>
        <n v="1.6247388915220184" u="1"/>
        <n v="1.5980518194369353" u="1"/>
        <n v="0.74437613149167992" u="1"/>
        <n v="0.8887848346622208" u="1"/>
        <n v="0.85071557884763416" u="1"/>
        <n v="0.99945326647119614" u="1"/>
        <n v="0.65257647532704255" u="1"/>
        <n v="0.76349288878191435" u="1"/>
        <n v="1.0442897460335361" u="1"/>
        <n v="1.118992688565799" u="1"/>
        <n v="0.83593470171012862" u="1"/>
        <n v="0.70811729899651399" u="1"/>
        <n v="0.66414473325015477" u="1"/>
        <n v="0.68767334101328936" u="1"/>
        <n v="0.85300669631629167" u="1"/>
        <n v="0.88047968599273319" u="1"/>
        <n v="0.73754140360891163" u="1"/>
        <n v="0.78949388494845474" u="1"/>
        <n v="0.76570699189511915" u="1"/>
        <n v="1.2131663743785415" u="1"/>
        <n v="1.2358503856508625" u="1"/>
        <n v="1.2585343969231833" u="1"/>
        <n v="1.2948288149588962" u="1"/>
        <n v="2.0834323001663089" u="1"/>
        <n v="2.118459082277981" u="1"/>
        <n v="2.1534858643896531" u="1"/>
        <n v="2.2095287157683279" u="1"/>
        <n v="1.1040703722692742" u="1"/>
        <n v="1.1274215603437221" u="1"/>
        <n v="1.15077274841817" u="1"/>
        <n v="1.1881346493372869" u="1"/>
        <n v="1.1151058508637328" u="1"/>
        <n v="1.1387906273392445" u="1"/>
        <n v="1.1624754038147558" u="1"/>
        <n v="1.2003710461755743" u="1"/>
        <n v="1.1601132236479492" u="1"/>
        <n v="1.1227513227288326" u="1"/>
        <n v="1.1461025108032805" u="1"/>
        <n v="1.1834644117223974" u="1"/>
        <n v="1.1741239364926179" u="1"/>
        <n v="1.2114858374117348" u="1"/>
        <n v="1.1042831202714012" u="1"/>
        <n v="1.1133567247803295" u="1"/>
        <n v="1.1360407360526505" u="1"/>
        <n v="1.1587247473249713" u="1"/>
        <n v="1.1950191653606845" u="1"/>
        <n v="1.176871956342828" u="1"/>
        <n v="1.1995559676151488" u="1"/>
        <n v="1.2222399788874698" u="1"/>
        <n v="1.1974751245670661" u="1"/>
        <n v="1.2208263126415138" u="1"/>
        <n v="1.2441775007159619" u="1"/>
        <n v="1.1336244331671199" u="1"/>
        <n v="1.1553076792362502" u="1"/>
        <n v="1.1769909253053807" u="1"/>
        <n v="1.2116841190159886" u="1"/>
        <n v="1.26752868879041" u="1"/>
        <n v="1.1740446238509163" u="1"/>
        <n v="1.1356152400483963" u="1"/>
        <n v="1.1596336049249714" u="1"/>
        <n v="1.1980629887274916" u="1"/>
        <n v="1.256457296747868" u="1"/>
        <n v="1.0480275208905991" u="1"/>
        <n v="1.3365185130031181" u="1"/>
        <n v="1.172335154088364" u="1"/>
        <n v="0.55404607372293824" u="1"/>
        <n v="1.2857552104499683" u="1"/>
        <n v="0.55491629142770271" u="1"/>
        <n v="0.54414669492440582" u="1"/>
        <n v="0.37885261735934778" u="1"/>
        <n v="0.48578232042616803" u="1"/>
        <n v="0.82753818274908686" u="1"/>
        <n v="0.80939097373123003" u="1"/>
        <n v="1.1056319402735282" u="1"/>
        <n v="1.1694536988777284" u="1"/>
        <n v="1.2068155997968453" u="1"/>
        <n v="1.3142310649393056" u="1"/>
        <n v="1.2908798768648577" u="1"/>
        <n v="0.85867525870139683" u="1"/>
        <n v="0.87637926753755702" u="1"/>
        <n v="0.65533575621894691" u="1"/>
        <n v="1.0179585162499998" u="1"/>
        <n v="1.1564213717124501" u="1"/>
        <n v="1.1191744603226557" u="1"/>
        <n v="1.6069826450353444" u="1"/>
        <n v="2.072569037407773" u="1"/>
        <n v="1.4152706011172855" u="1"/>
        <n v="1.3604957314264119" u="1"/>
        <n v="1.4590904968699847" u="1"/>
        <n v="0.51918174089831204" u="1"/>
        <n v="0.44252060945995264" u="1"/>
        <n v="1.3276308096118874" u="1"/>
        <n v="1.6015051580662574" u="1"/>
        <n v="0.85493768814150717" u="1"/>
        <n v="0.87410889253331314" u="1"/>
        <n v="0.92682970461077907" u="1"/>
        <n v="0.99872172108005131" u="1"/>
        <n v="1.1425057540185954" u="1"/>
        <n v="0.92203690351282774" u="1"/>
        <n v="0.81802486853361212" u="1"/>
        <n v="0.86545561124740067" u="1"/>
        <n v="0.76649765783638468" u="1"/>
        <n v="0.83430307508340462" u="1"/>
        <n v="0.90539971638189609" u="1"/>
        <n v="0.73837113695234879" u="1"/>
        <n v="0.77484224488657838" u="1"/>
        <n v="0.82655919691731905" u="1"/>
        <n v="0.74312756666029056" u="1"/>
        <n v="0.77066007623137123" u="1"/>
        <n v="0.88075437283585289" u="1"/>
        <n v="0.932029119804893" u="1"/>
        <n v="0.7326815846965441" u="1"/>
        <n v="0.70688222011596147" u="1"/>
        <n v="0.58072806868293581" u="1"/>
        <n v="0.7645328661097357" u="1"/>
        <n v="0.56233493209575924" u="1"/>
        <n v="0.74975024146395775" u="1"/>
        <n v="0.75563635488657854" u="1"/>
        <n v="0.90176195039574658" u="1"/>
        <n v="0.78904170659627826" u="1"/>
        <n v="0.7042338234175215" u="1"/>
        <n v="1.1593980038818843" u="1"/>
        <n v="1.2485824657189522" u="1"/>
        <n v="9.5681799598863417" u="1"/>
        <n v="0.51876463109760751" u="1"/>
        <n v="0.60736700558045342" u="1"/>
        <n v="0.43230385924800629" u="1"/>
        <n v="1.0509731092379642" u="1"/>
        <n v="1.0230379256956184" u="1"/>
        <n v="1.0276937896193425" u="1"/>
        <n v="1.032349653543067" u="1"/>
        <n v="1.0416613813905156" u="1"/>
        <n v="1.0602848370854128" u="1"/>
        <n v="1.0742524288565856" u="1"/>
        <n v="1.097531748475207" u="1"/>
        <n v="0.98113515038209997" u="1"/>
        <n v="0.99044687822954847" u="1"/>
        <n v="1.0044144700007211" u="1"/>
        <n v="0.94388823899230545" u="1"/>
        <n v="0.95319996683975416" u="1"/>
        <n v="0.96716755861092696" u="1"/>
        <n v="0.95011369385830169" u="1"/>
        <n v="0.95997317040265884" u="1"/>
        <n v="0.974762385219195" u="1"/>
        <n v="0.9994110765800881" u="1"/>
        <n v="0.86620803363126453" u="1"/>
        <n v="0.87579363582716752" u="1"/>
        <n v="0.89017203912102205" u="1"/>
        <n v="0.91413604461077913" u="1"/>
        <n v="0.85542682444154428" u="1"/>
        <n v="0.86473855228899277" u="1"/>
        <n v="0.87870614406016545" u="1"/>
        <n v="0.90198546367878685" u="1"/>
        <n v="0.88336200798388986" u="1"/>
        <n v="0.89267373583133836" u="1"/>
        <n v="0.90664132760251115" u="1"/>
        <n v="0.92992064722113277" u="1"/>
        <n v="0.9779038995619882" u="1"/>
        <n v="0.98680481588675517" u="1"/>
        <n v="1.0001561903739058" u="1"/>
        <n v="1.0224084811858232" u="1"/>
        <n v="1.0491112301601244" u="1"/>
        <n v="1.0580121464848913" u="1"/>
        <n v="1.0713635209720418" u="1"/>
        <n v="1.0936158117839596" u="1"/>
        <n v="1.125466932017553" u="1"/>
        <n v="1.2364389520446637" u="1"/>
        <n v="1.2035740302301392" u="1"/>
        <n v="1.2090515171992267" u="1"/>
        <n v="1.2145290041683141" u="1"/>
        <n v="1.2254839781064888" u="1"/>
        <n v="1.2473939259828384" u="1"/>
        <n v="1.2638263868901007" u="1"/>
        <n v="1.2912138217355376" u="1"/>
        <n v="1.1054027817839596" u="1"/>
        <n v="1.1143036981087266" u="1"/>
        <n v="1.1276550725958769" u="1"/>
        <n v="1.1944119450316297" u="1"/>
        <n v="1.2033128613563966" u="1"/>
        <n v="1.2166642358435473" u="1"/>
        <n v="1.0163936185362894" u="1"/>
        <n v="1.0252945348610563" u="1"/>
        <n v="1.0386459093482068" u="1"/>
        <n v="1.0514425331575175" u="1"/>
        <n v="1.3054609913489454" u="1"/>
        <n v="1.3150465935448485" u="1"/>
        <n v="1.3390105990346057" u="1"/>
        <n v="0.92777426086850712" u="1"/>
        <n v="0.92229677389941989" u="1"/>
        <n v="0.93325174783759479" u="1"/>
        <n v="0.96063918268303172" u="1"/>
        <n v="1.4013170133079751" u="1"/>
        <n v="1.4109026155038777" u="1"/>
        <n v="1.4348666209936349" u="1"/>
        <n v="1.0318465132811681" u="1"/>
        <n v="0.88733033182716747" u="1"/>
        <n v="0.89623124815193456" u="1"/>
        <n v="0.90958262263908496" u="1"/>
        <n v="0.97633949507483764" u="1"/>
        <n v="0.98524041139960483" u="1"/>
        <n v="0.99859178588675523" u="1"/>
        <n v="0.90068170631431799" u="1"/>
        <n v="0.92293399712623558" u="1"/>
        <n v="0.98969086956198826" u="1"/>
        <n v="1.0119431603739057" u="1"/>
        <n v="1.0564477419977407" u="1"/>
        <n v="1.0653486583225078" u="1"/>
        <n v="1.0787000328096585" u="1"/>
        <n v="0.88638126413644125" u="1"/>
        <n v="0.89569299198388985" u="1"/>
        <n v="0.90966058375506287" u="1"/>
        <n v="0.92362817552623555" u="1"/>
        <n v="0.93293990337368415" u="1"/>
        <n v="0.94690749514485695" u="1"/>
        <n v="0.90500471983133823" u="1"/>
        <n v="0.91431644767878695" u="1"/>
        <n v="0.92828403944995985" u="1"/>
        <n v="0.95621922299230544" u="1"/>
        <n v="0.96553095083975415" u="1"/>
        <n v="0.97949854261092706" u="1"/>
        <n v="1.0167454540007212" u="1"/>
        <n v="1.2122917387971412" u="1"/>
        <n v="1.6126960362374299" u="1"/>
        <n v="0.94518628793815307" u="1"/>
        <n v="1.3100648811953512" u="1"/>
        <n v="1.2867855615767299" u="1"/>
        <n v="1.3705911122037671" u="1"/>
        <n v="1.6685664033221212" u="1"/>
        <n v="1.5987284444662568" u="1"/>
        <n v="1.5754491248476354" u="1"/>
        <n v="1.4031821596698371" u="1"/>
        <n v="1.4637083906782526" u="1"/>
        <n v="1.8315596107679277" u="1"/>
        <n v="1.6672350016953059" u="1"/>
        <n v="1.6398475668498684" u="1"/>
        <n v="0.76759647117055341" u="1"/>
        <n v="0.91251239474256207" u="1"/>
        <n v="0.87725310990920391" u="1"/>
        <n v="1.0261426867952157" u="1"/>
        <n v="0.67294128601059655" u="1"/>
        <n v="0.7839035815226606" u="1"/>
        <n v="1.0768250967281938" u="1"/>
        <n v="1.1488192443298675" u="1"/>
        <n v="0.85828679433590216" u="1"/>
        <n v="0.72710350665041801" u="1"/>
        <n v="0.68487913452847227" u="1"/>
        <n v="0.70612302720841202" u="1"/>
        <n v="0.8795884503671455" u="1"/>
        <n v="0.90397778355592628" u="1"/>
        <n v="0.76054551086108135" u="1"/>
        <n v="0.81060419465057421" u="1"/>
        <n v="0.78957710725458952" u="1"/>
        <n v="1.2448827862632112" u="1"/>
        <n v="1.2681621058818326" u="1"/>
        <n v="1.2914414255004545" u="1"/>
        <n v="1.3286883368902485" u="1"/>
        <n v="2.1379215281965984" u="1"/>
        <n v="2.173867536431235" u="1"/>
        <n v="2.2098135446658707" u="1"/>
        <n v="2.2673271578412884" u="1"/>
        <n v="1.1329201518226923" u="1"/>
        <n v="1.15688415731245" u="1"/>
        <n v="1.1808481628022074" u="1"/>
        <n v="1.2191905715858189" u="1"/>
        <n v="1.1442434557350945" u="1"/>
        <n v="1.1685498041604201" u="1"/>
        <n v="1.1928561525857453" u="1"/>
        <n v="1.2317463100662656" u="1"/>
        <n v="1.1904337649981103" u="1"/>
        <n v="1.1520913562144985" u="1"/>
        <n v="1.176055361704256" u="1"/>
        <n v="1.2143977704878675" u="1"/>
        <n v="1.2048121682919646" u="1"/>
        <n v="1.2431545770755763" u="1"/>
        <n v="1.1331420520938287" u="1"/>
        <n v="1.1424537799412773" u="1"/>
        <n v="1.1657330995598987" u="1"/>
        <n v="1.1890124191785201" u="1"/>
        <n v="1.226259330568314" u="1"/>
        <n v="1.2076358748734171" u="1"/>
        <n v="1.2309151944920385" u="1"/>
        <n v="1.2541945141106599" u="1"/>
        <n v="1.228776173781722" u="1"/>
        <n v="1.2527401792714792" u="1"/>
        <n v="1.2767041847612366" u="1"/>
        <n v="1.163258737894945" u="1"/>
        <n v="1.1855110287068626" u="1"/>
        <n v="1.2077633195187802" u="1"/>
        <n v="1.2433669848178481" u="1"/>
        <n v="1.3006681902509942" u="1"/>
        <n v="1.2047272051950559" u="1"/>
        <n v="1.1652892990176265" u="1"/>
        <n v="1.1899379903785201" u="1"/>
        <n v="1.2293758965559494" u="1"/>
        <n v="1.2892884008282754" u="1"/>
        <n v="1.0754065386472749" u="1"/>
        <n v="1.3714507053645866" u="1"/>
        <n v="1.2029800109496926" u="1"/>
        <n v="0.56847912362009867" u="1"/>
        <n v="1.3193766090427996" u="1"/>
        <n v="0.57664197185706179" u="1"/>
        <n v="0.56544759982177162" u="1"/>
        <n v="0.39367432250379053" u="1"/>
        <n v="0.49878984812544336" u="1"/>
        <n v="0.84913435274664706" u="1"/>
        <n v="0.83051089705174985" u="1"/>
        <n v="1.1345209163649643" u="1"/>
        <n v="1.2000193671940134" u="1"/>
        <n v="1.2383617759776249" u="1"/>
        <n v="1.3485962012305086" u="1"/>
        <n v="1.3246321957407514" u="1"/>
        <n v="0.8811206963426238" u="1"/>
        <n v="0.87241367236526834" u="1"/>
        <n v="0.94225163122113276" u="1"/>
        <n v="1.1377979160175529" u="1"/>
        <n v="1.5382022134578412" u="1"/>
        <n v="0.94073582977576964" u="1"/>
        <n v="0.87397895734001696" u="1"/>
        <n v="1.0074927022115221" u="1"/>
        <n v="1.3473117925851454" u="1"/>
        <n v="1.7220098713861796" u="1"/>
        <n v="1.5302978274681209" u="1"/>
        <n v="1.5576852623135578" u="1"/>
        <n v="1.5193428535299462" u="1"/>
        <n v="5.6226573451905724" u="1"/>
        <n v="1.2910825880550911" u="1"/>
        <n v="1.1249637917556534" u="1"/>
        <n v="1.2180810702301395" u="1"/>
        <n v="1.1531703393547077" u="1"/>
        <n v="1.1160295841235335" u="1"/>
        <n v="1.6024553970941904" u="1"/>
        <n v="2.0667148374838673" u="1"/>
        <n v="1.4112897451690296" u="1"/>
        <n v="1.3566709874761269" u="1"/>
        <n v="1.454984751323352" u="1"/>
        <n v="0.51774160771703126" u="1"/>
        <n v="0.44130098447580557" u="1"/>
        <n v="1.3238997328603848" u="1"/>
        <n v="1.5969935213249005" u="1"/>
        <n v="0.85254722317257903" u="1"/>
        <n v="0.87166378836509517" u="1"/>
        <n v="0.92423434264451432" u="1"/>
        <n v="0.99592146211644972" u="1"/>
        <n v="1.1392957010603206" u="1"/>
        <n v="0.91945520134638536" u="1"/>
        <n v="0.81570624645512757" u="1"/>
        <n v="0.86299381059474345" u="1"/>
        <n v="0.76434153747622124" u="1"/>
        <n v="0.83194227138060006" u="1"/>
        <n v="0.90282429416065468" u="1"/>
        <n v="0.73629296457089222" u="1"/>
        <n v="0.77265397763977195" u="1"/>
        <n v="0.82421481237129579" u="1"/>
        <n v="0.74103503610553201" u="1"/>
        <n v="0.76849602895811897" u="1"/>
        <n v="0.87828117595213595" u="1"/>
        <n v="0.92937794987126221" u="1"/>
        <n v="0.73062058729344681" u="1"/>
        <n v="0.70489910292354319" u="1"/>
        <n v="0.57913736672275729" u="1"/>
        <n v="0.76238731496702417" u="1"/>
        <n v="0.56079975326088793" u="1"/>
        <n v="0.74763771912578303" u="1"/>
        <n v="0.75344808763977211" u="1"/>
        <n v="0.89922533820731909" u="1"/>
        <n v="0.78682217093140427" u="1"/>
        <n v="0.70225870090621989" u="1"/>
        <n v="1.1560488831018512" u="1"/>
        <n v="1.2449757202635319" u="1"/>
        <n v="9.539458952272005" u="1"/>
        <n v="0.51733778674161701" u="1"/>
        <n v="0.60564950774453896" u="1"/>
        <n v="0.43111482228468084" u="1"/>
        <n v="1.0479874672767722" u="1"/>
        <n v="1.0201319008533916" u="1"/>
        <n v="1.0247744952572884" u="1"/>
        <n v="1.0294170896611852" u="1"/>
        <n v="1.0387022784689786" u="1"/>
        <n v="1.0572726560845658" u="1"/>
        <n v="1.071200439296256" u="1"/>
        <n v="1.09441341131574" u="1"/>
        <n v="0.97834855121832076" u="1"/>
        <n v="0.98763374002611426" u="1"/>
        <n v="1.0015615232378046" u="1"/>
        <n v="0.94120779598714654" u="1"/>
        <n v="0.95049298479494027" u="1"/>
        <n v="0.96442076800663024" u="1"/>
        <n v="0.94741607853336596" u="1"/>
        <n v="0.95724745491808849" u="1"/>
        <n v="0.97199451949517224" u="1"/>
        <n v="0.99657296045697863" u="1"/>
        <n v="0.8637492696632243" u="1"/>
        <n v="0.87330755225948231" u="1"/>
        <n v="0.88764497615386917" u="1"/>
        <n v="0.91154068264451427" u="1"/>
        <n v="0.85299850231310803" u="1"/>
        <n v="0.86228369112090153" u="1"/>
        <n v="0.87621147433259183" u="1"/>
        <n v="0.89942444635207563" u="1"/>
        <n v="0.88085406873648853" u="1"/>
        <n v="0.89013925754428214" u="1"/>
        <n v="0.90406704075597244" u="1"/>
        <n v="0.92728001277545624" u="1"/>
        <n v="0.97512608169809489" u="1"/>
        <n v="0.98400162982319161" u="1"/>
        <n v="0.99731495201083697" u="1"/>
        <n v="1.0195038223235786" u="1"/>
        <n v="1.0461304666988691" u="1"/>
        <n v="1.0550060148239657" u="1"/>
        <n v="1.0683193370116109" u="1"/>
        <n v="1.0905082073243528" u="1"/>
        <n v="1.1222689777391204" u="1"/>
        <n v="1.2329264320903202" u="1"/>
        <n v="1.2001551774745782" u="1"/>
        <n v="1.2056170532438686" u="1"/>
        <n v="1.2110789290131589" u="1"/>
        <n v="1.2220026805517394" u="1"/>
        <n v="1.2438501836289009" u="1"/>
        <n v="1.2602358109367717" u="1"/>
        <n v="1.2875451897832235" u="1"/>
        <n v="1.102295177324353" u="1"/>
        <n v="1.1111707254494496" u="1"/>
        <n v="1.1244840476370948" u="1"/>
        <n v="1.1910506585753207" u="1"/>
        <n v="1.1999262067004171" u="1"/>
        <n v="1.2132395288880626" u="1"/>
        <n v="1.0135396960733851" u="1"/>
        <n v="1.022415244198482" u="1"/>
        <n v="1.0357285663861271" u="1"/>
        <n v="1.0484920163958689" u="1"/>
        <n v="1.3017865051967075" u="1"/>
        <n v="1.3113447877929654" u="1"/>
        <n v="1.3352404942836105" u="1"/>
        <n v="0.92518280170219169" u="1"/>
        <n v="0.91972092593290145" u="1"/>
        <n v="0.93064467747148205" u="1"/>
        <n v="0.95795405631793351" u="1"/>
        <n v="1.3973693311592879" u="1"/>
        <n v="1.406927613755546" u="1"/>
        <n v="1.4308233202461909" u="1"/>
        <n v="1.0289584413187078" u="1"/>
        <n v="0.88484424825948205" u="1"/>
        <n v="0.89371979638457888" u="1"/>
        <n v="0.90703311857222402" u="1"/>
        <n v="0.97359972951044971" u="1"/>
        <n v="0.98247527763554654" u="1"/>
        <n v="0.99578859982319157" u="1"/>
        <n v="0.8981575704471273" u="1"/>
        <n v="0.92034644075986927" u="1"/>
        <n v="0.98691305169809485" u="1"/>
        <n v="1.009101922010837" u="1"/>
        <n v="1.0534796626363208" u="1"/>
        <n v="1.0623552107614174" u="1"/>
        <n v="1.0756685329490625" u="1"/>
        <n v="0.88389986392869513" u="1"/>
        <n v="0.89318505273648863" u="1"/>
        <n v="0.90711283594817893" u="1"/>
        <n v="0.92104061915986934" u="1"/>
        <n v="0.93032580796766284" u="1"/>
        <n v="0.94425359117935304" u="1"/>
        <n v="0.90247024154428224" u="1"/>
        <n v="0.91175543035207574" u="1"/>
        <n v="0.92568321356376593" u="1"/>
        <n v="0.95353877998714642" u="1"/>
        <n v="0.96282396879494025" u="1"/>
        <n v="0.97675175200663034" u="1"/>
        <n v="0.84675910869752102" u="1"/>
        <n v="0.86997208071700483" u="1"/>
        <n v="0.93961099677545634" u="1"/>
        <n v="1.1345999617391205" u="1"/>
        <n v="1.5338630804742421" u="1"/>
        <n v="0.93809753701006271" u="1"/>
        <n v="0.87153092607183702" u="1"/>
        <n v="1.0046641479482883" u="1"/>
        <n v="1.2506648218365397" u="1"/>
        <n v="1.2274518498170559" u="1"/>
        <n v="1.3667296819339589" u="1"/>
        <n v="1.6638557237833518" u="1"/>
        <n v="1.5942168077249002" u="1"/>
        <n v="1.5710038357054166" u="1"/>
        <n v="1.3435167099144749" u="1"/>
        <n v="1.4595815700118941" u="1"/>
        <n v="1.717154788249287" u="1"/>
        <n v="1.5259891363241262" u="1"/>
        <n v="1.5532985151705778" u="1"/>
        <n v="1.5150653847855458" u="1"/>
        <n v="0.76544167196257151" u="1"/>
        <n v="0.90992013969634522" u="1"/>
        <n v="0.87479048224293887" u="1"/>
        <n v="1.0232306080744655" u="1"/>
        <n v="0.67106062588027005" u="1"/>
        <n v="0.78168796093526915" u="1"/>
        <n v="1.0737600236671772" u="1"/>
        <n v="1.1455368434596578" u="1"/>
        <n v="0.85586286753943963" u="1"/>
        <n v="0.72507094303463426" u="1"/>
        <n v="0.6829740330827887" u="1"/>
        <n v="0.70415379709659853" u="1"/>
        <n v="0.87709094428328971" u="1"/>
        <n v="0.90140665370505346" u="1"/>
        <n v="0.75840735817058613" u="1"/>
        <n v="0.80831493045391523" u="1"/>
        <n v="0.78734436006790065" u="1"/>
        <n v="1.2413796330287459" u="1"/>
        <n v="1.2645926050482301" u="1"/>
        <n v="1.2878055770677139" u="1"/>
        <n v="1.3249463322988879" u="1"/>
        <n v="2.1318975564748994" u="1"/>
        <n v="2.1677411162108675" u="1"/>
        <n v="2.2035846759468347" u="1"/>
        <n v="2.260934371524383" u="1"/>
        <n v="1.1297374184640627" u="1"/>
        <n v="1.1536331249547076" u="1"/>
        <n v="1.1775288314453525" u="1"/>
        <n v="1.2157619618303848" u="1"/>
        <n v="1.141029109696875" u="1"/>
        <n v="1.1652661834231013" u="1"/>
        <n v="1.1895032571493269" u="1"/>
        <n v="1.228282575111288" u="1"/>
        <n v="1.187087114041611" u="1"/>
        <n v="1.1488539836565788" u="1"/>
        <n v="1.1727496901472239" u="1"/>
        <n v="1.2109828205322557" u="1"/>
        <n v="1.2014245379359976" u="1"/>
        <n v="1.2396576683210299" u="1"/>
        <n v="1.1299573673352237" u="1"/>
        <n v="1.1392425561430173" u="1"/>
        <n v="1.1624555281625011" u="1"/>
        <n v="1.1856685001819849" u="1"/>
        <n v="1.2228092554131591" u="1"/>
        <n v="1.2042388777975719" u="1"/>
        <n v="1.2253202444266429" u="1"/>
        <n v="1.249215950917288" u="1"/>
        <n v="1.2731116574079331" u="1"/>
        <n v="1.1599862401374819" u="1"/>
        <n v="1.1821751104502236" u="1"/>
        <n v="1.2043639807629656" u="1"/>
        <n v="1.2398661732633527" u="1"/>
        <n v="1.2970073638985782" u="1"/>
        <n v="1.2013411359590689" u="1"/>
        <n v="1.1620156304201787" u="1"/>
        <n v="1.1865940713819849" u="1"/>
        <n v="1.2259195769208753" u="1"/>
        <n v="1.1218103293966428" u="1"/>
        <n v="1.072387722886514" u="1"/>
        <n v="1.2146622174745783" u="1"/>
        <n v="1.6625360305563839" u="1"/>
        <n v="1.1995962833936751" u="1"/>
        <n v="0.56689848964064415" u="1"/>
        <n v="1.3156611434910943" u="1"/>
        <n v="0.49738851544623852" u="1"/>
        <n v="0.82818873108193392" u="1"/>
        <n v="1.1313342802063848" u="1"/>
        <n v="5.6058350407307467" u="1"/>
        <n v="1.1966453966378687" u="1"/>
        <n v="1.2348785270229008" u="1"/>
        <n v="1.2874490813023203" u="1"/>
        <n v="0.87864241837483714" u="1"/>
        <n v="1.225585969013159" u="1"/>
        <n v="1.1530995105547077" u="1"/>
        <n v="1.1159587553235335" u="1"/>
        <n v="1.6023720690941903" u="1"/>
        <n v="2.0666315094838672" u="1"/>
        <n v="1.4112064171690295" u="1"/>
        <n v="1.3565876594761268" u="1"/>
        <n v="1.4549014233233519" u="1"/>
        <n v="0.51767911171703129" u="1"/>
        <n v="0.44124890447580561" u="1"/>
        <n v="1.3238164048603847" u="1"/>
        <n v="1.5969101933249006" u="1"/>
        <n v="0.85247431117257899" u="1"/>
        <n v="0.87159087636509502" u="1"/>
        <n v="0.92416143064451428" u="1"/>
        <n v="0.99584855011644968" u="1"/>
        <n v="1.1392227890603204" u="1"/>
        <n v="0.91938228934638522" u="1"/>
        <n v="0.81558612645512762" u="1"/>
        <n v="0.8628736905947435" u="1"/>
        <n v="0.76421587347622133" u="1"/>
        <n v="0.83181660738060004" u="1"/>
        <n v="0.90269863016065466" u="1"/>
        <n v="0.73617284457089216" u="1"/>
        <n v="0.772533857639772" u="1"/>
        <n v="0.82409469237129584" u="1"/>
        <n v="0.74091491610553195" u="1"/>
        <n v="0.76836666895811911" u="1"/>
        <n v="0.87813333595213605" u="1"/>
        <n v="0.92924858987126213" u="1"/>
        <n v="0.73050046729344686" u="1"/>
        <n v="0.70477898292354324" u="1"/>
        <n v="0.57900800672275721" u="1"/>
        <n v="0.56067039326088797" u="1"/>
        <n v="0.74751759912578308" u="1"/>
        <n v="0.75337416763977205" u="1"/>
        <n v="0.89907749820731919" u="1"/>
        <n v="0.78669281093140431" u="1"/>
        <n v="0.70213858090621994" u="1"/>
        <n v="1.1559287631018511" u="1"/>
        <n v="1.244846360263532" u="1"/>
        <n v="9.5393295922720061" u="1"/>
        <n v="0.51722690674161698" u="1"/>
        <n v="0.43102242228468085" u="1"/>
        <n v="1.0479166384767722" u="1"/>
        <n v="1.0200610720533916" u="1"/>
        <n v="1.0247036664572884" u="1"/>
        <n v="1.029346260861185" u="1"/>
        <n v="1.0386314496689786" u="1"/>
        <n v="1.0572018272845656" u="1"/>
        <n v="1.0711296104962558" u="1"/>
        <n v="1.0943425825157398" u="1"/>
        <n v="0.97827772241832078" u="1"/>
        <n v="0.98756291122611417" u="1"/>
        <n v="1.0014906944378046" u="1"/>
        <n v="0.94113696718714646" u="1"/>
        <n v="0.95042215599494018" u="1"/>
        <n v="0.96434993920663037" u="1"/>
        <n v="0.94734108333336586" u="1"/>
        <n v="0.9571724597180884" u="1"/>
        <n v="0.97191952429517237" u="1"/>
        <n v="0.99649796525697854" u="1"/>
        <n v="0.86367635766322415" u="1"/>
        <n v="0.87323464025948216" u="1"/>
        <n v="0.88757206415386924" u="1"/>
        <n v="0.91146777064451423" u="1"/>
        <n v="0.85292767351310805" u="1"/>
        <n v="0.86221286232090155" u="1"/>
        <n v="0.87614064553259174" u="1"/>
        <n v="0.89935361755207566" u="1"/>
        <n v="0.88078323993648855" u="1"/>
        <n v="0.89006842874428216" u="1"/>
        <n v="0.90399621195597235" u="1"/>
        <n v="0.92720918397545626" u="1"/>
        <n v="0.97505837769809478" u="1"/>
        <n v="0.9839339258231915" u="1"/>
        <n v="0.99724724801083686" u="1"/>
        <n v="1.0194361183235785" u="1"/>
        <n v="1.046062762698869" u="1"/>
        <n v="1.0549383108239658" u="1"/>
        <n v="1.068251633011611" u="1"/>
        <n v="1.0904405033243529" u="1"/>
        <n v="1.1221981489391204" u="1"/>
        <n v="1.2328431040903201" u="1"/>
        <n v="1.2000718494745781" u="1"/>
        <n v="1.2055337252438685" u="1"/>
        <n v="1.2109956010131588" u="1"/>
        <n v="1.2219193525517393" u="1"/>
        <n v="1.2437668556289008" u="1"/>
        <n v="1.2601524829367716" u="1"/>
        <n v="1.2874618617832234" u="1"/>
        <n v="1.1022274733243529" u="1"/>
        <n v="1.1111030214494495" u="1"/>
        <n v="1.1244163436370946" u="1"/>
        <n v="1.1909829545753206" u="1"/>
        <n v="1.1998585027004169" u="1"/>
        <n v="1.2131718248880625" u="1"/>
        <n v="1.0134719920733852" u="1"/>
        <n v="1.0223475401984818" u="1"/>
        <n v="1.035660862386127" u="1"/>
        <n v="1.0484191043958688" u="1"/>
        <n v="1.3017135931967074" u="1"/>
        <n v="1.3112718757929653" u="1"/>
        <n v="1.3351675822836104" u="1"/>
        <n v="0.9250994737021917" u="1"/>
        <n v="0.91963759793290134" u="1"/>
        <n v="0.93056134947148195" u="1"/>
        <n v="0.95787072831793352" u="1"/>
        <n v="1.397296419159288" u="1"/>
        <n v="1.4068547017555459" u="1"/>
        <n v="1.4307504082461906" u="1"/>
        <n v="1.0288751133187077" u="1"/>
        <n v="0.88477654425948205" u="1"/>
        <n v="0.89365209238457888" u="1"/>
        <n v="0.90696541457222402" u="1"/>
        <n v="0.97353202551044971" u="1"/>
        <n v="0.98240757363554654" u="1"/>
        <n v="0.99572089582319168" u="1"/>
        <n v="0.89808986644712729" u="1"/>
        <n v="0.92027873675986926" u="1"/>
        <n v="0.98684534769809495" u="1"/>
        <n v="1.0090342180108369" u="1"/>
        <n v="1.0534119586363206" u="1"/>
        <n v="1.0622875067614175" u="1"/>
        <n v="1.0756008289490624" u="1"/>
        <n v="0.88382903512869504" u="1"/>
        <n v="0.89311422393648854" u="1"/>
        <n v="0.90704200714817895" u="1"/>
        <n v="0.92096979035986926" u="1"/>
        <n v="0.93025497916766275" u="1"/>
        <n v="0.94418276237935284" u="1"/>
        <n v="0.90239941274428215" u="1"/>
        <n v="0.91168460155207565" u="1"/>
        <n v="0.92561238476376584" u="1"/>
        <n v="0.95346795118714633" u="1"/>
        <n v="0.96275313999494005" u="1"/>
        <n v="0.97668092320663025" u="1"/>
        <n v="0.84668827989752093" u="1"/>
        <n v="0.86990125191700485" u="1"/>
        <n v="0.93954016797545625" u="1"/>
        <n v="1.1345291329391205" u="1"/>
        <n v="1.5337922516742422" u="1"/>
        <n v="0.93802983301006271" u="1"/>
        <n v="0.87146322207183702" u="1"/>
        <n v="1.0045964439482884" u="1"/>
        <n v="1.2505939930365397" u="1"/>
        <n v="1.2273810210170559" u="1"/>
        <n v="1.3666588531339587" u="1"/>
        <n v="1.6637848949833518" u="1"/>
        <n v="1.5941459789249002" u="1"/>
        <n v="1.5709330069054166" u="1"/>
        <n v="1.3434458811144747" u="1"/>
        <n v="1.4595107412118939" u="1"/>
        <n v="1.7170714602492869" u="1"/>
        <n v="1.5259058083241261" u="1"/>
        <n v="1.5532151871705779" u="1"/>
        <n v="1.5149820567855456" u="1"/>
        <n v="0.76531231196257166" u="1"/>
        <n v="0.90979077969634525" u="1"/>
        <n v="0.87464264224293897" u="1"/>
        <n v="1.0230827680744656" u="1"/>
        <n v="0.6709405058802701" u="1"/>
        <n v="0.78156784093526932" u="1"/>
        <n v="1.0736121836671773" u="1"/>
        <n v="1.1453890034596579" u="1"/>
        <n v="0.85572981153943972" u="1"/>
        <n v="0.7622579549670242" u="1"/>
        <n v="0.7249415830346343" u="1"/>
        <n v="0.68284467308278873" u="1"/>
        <n v="0.70402443709659868" u="1"/>
        <n v="0.87696528028328979" u="1"/>
        <n v="0.90128098970505355" u="1"/>
        <n v="0.75828169417058622" u="1"/>
        <n v="0.80818926645391531" u="1"/>
        <n v="0.7872242400679007" u="1"/>
        <n v="1.2413088042287459" u="1"/>
        <n v="1.2645217762482301" u="1"/>
        <n v="1.2877347482677139" u="1"/>
        <n v="1.3248755034988877" u="1"/>
        <n v="2.131788188474899" u="1"/>
        <n v="2.1676317482108671" u="1"/>
        <n v="2.2034753079468343" u="1"/>
        <n v="2.2608250035243826" u="1"/>
        <n v="1.1296645064640627" u="1"/>
        <n v="1.1535602129547073" u="1"/>
        <n v="1.1774559194453524" u="1"/>
        <n v="1.2156890498303847" u="1"/>
        <n v="1.1409551560968751" u="1"/>
        <n v="1.1651922298231012" u="1"/>
        <n v="1.1894293035493269" u="1"/>
        <n v="1.228208621511288" u="1"/>
        <n v="1.1870142020416108" u="1"/>
        <n v="1.1487810716565785" u="1"/>
        <n v="1.1726767781472236" u="1"/>
        <n v="1.2109099085322557" u="1"/>
        <n v="1.2013516259359978" u="1"/>
        <n v="1.23958475632103" u="1"/>
        <n v="1.1298865385352239" u="1"/>
        <n v="1.1391717273430173" u="1"/>
        <n v="1.1623846993625011" u="1"/>
        <n v="1.1855976713819851" u="1"/>
        <n v="1.2227384266131593" u="1"/>
        <n v="1.2041680489975721" u="1"/>
        <n v="1.2252473324266429" u="1"/>
        <n v="1.249143038917288" u="1"/>
        <n v="1.273038745407933" u="1"/>
        <n v="1.1599185361374817" u="1"/>
        <n v="1.1821074064502235" u="1"/>
        <n v="1.2042962767629655" u="1"/>
        <n v="1.2397984692633526" u="1"/>
        <n v="1.2969344518985781" u="1"/>
        <n v="1.2012661407590688" u="1"/>
        <n v="1.1619406352201787" u="1"/>
        <n v="1.1865190761819848" u="1"/>
        <n v="1.2258445817208752" u="1"/>
        <n v="1.1217270013966427" u="1"/>
        <n v="1.0723148108865141" u="1"/>
        <n v="1.2145788894745784" u="1"/>
        <n v="1.662452702556384" u="1"/>
        <n v="1.1995254545936751" u="1"/>
        <n v="0.56683599364064408" u="1"/>
        <n v="1.3155903146910941" u="1"/>
        <n v="0.57657041630150629" u="1"/>
        <n v="0.56537604426621613" u="1"/>
        <n v="0.39362065583712386" u="1"/>
        <n v="0.4973053554462385" u="1"/>
        <n v="1.2255026410131589" u="1"/>
        <n v="0.82811790228193383" u="1"/>
        <n v="1.1312603266063848" u="1"/>
        <n v="5.6057149207307457" u="1"/>
        <n v="1.1965724846378687" u="1"/>
        <n v="1.2348056150229008" u="1"/>
        <n v="1.2873761693023202" u="1"/>
        <n v="0.87859033837483713" u="1"/>
        <n v="1.1532623841547078" u="1"/>
        <n v="1.1161216289235334" u="1"/>
        <n v="1.6025636850941902" u="1"/>
        <n v="2.0668231254838672" u="1"/>
        <n v="1.4113980331690295" u="1"/>
        <n v="1.3567792754761268" u="1"/>
        <n v="1.4550930393233519" u="1"/>
        <n v="0.51782282371703126" u="1"/>
        <n v="0.44136866447580558" u="1"/>
        <n v="1.324008020860385" u="1"/>
        <n v="1.5971018093249003" u="1"/>
        <n v="0.852641975172579" u="1"/>
        <n v="0.87175854036509515" u="1"/>
        <n v="0.92432909464451429" u="1"/>
        <n v="0.99601621411644958" u="1"/>
        <n v="1.1393904530603205" u="1"/>
        <n v="0.91954995334638523" u="1"/>
        <n v="0.81668436645512765" u="1"/>
        <n v="0.86397193059474353" u="1"/>
        <n v="0.76536480147622121" u="1"/>
        <n v="0.83296553538060003" u="1"/>
        <n v="0.90384755816065476" u="1"/>
        <n v="0.73727108457089219" u="1"/>
        <n v="0.77363209763977192" u="1"/>
        <n v="0.82519293237129576" u="1"/>
        <n v="0.74201315610553198" u="1"/>
        <n v="0.76954938895811897" u="1"/>
        <n v="0.87948501595213602" u="1"/>
        <n v="0.93043130987126221" u="1"/>
        <n v="0.73159870729344678" u="1"/>
        <n v="0.70587722292354316" u="1"/>
        <n v="0.58019072672275718" u="1"/>
        <n v="0.56185311326088805" u="1"/>
        <n v="0.748615839125783" u="1"/>
        <n v="0.75405000763977215" u="1"/>
        <n v="0.90042917820731916" u="1"/>
        <n v="0.78787553093140428" u="1"/>
        <n v="0.70323682090621986" u="1"/>
        <n v="1.157027003101851" u="1"/>
        <n v="1.2460290802635319" u="1"/>
        <n v="9.540512312272007" u="1"/>
        <n v="0.51824066674161695" u="1"/>
        <n v="0.43186722228468077" u="1"/>
        <n v="1.0480795120767721" u="1"/>
        <n v="1.0202239456533917" u="1"/>
        <n v="1.0248665400572885" u="1"/>
        <n v="1.0295091344611851" u="1"/>
        <n v="1.0387943232689785" u="1"/>
        <n v="1.0573647008845657" u="1"/>
        <n v="1.0712924840962559" u="1"/>
        <n v="1.0945054561157397" u="1"/>
        <n v="0.97844059601832079" u="1"/>
        <n v="0.98772578482611417" u="1"/>
        <n v="1.0016535680378045" u="1"/>
        <n v="0.94129984078714668" u="1"/>
        <n v="0.95058502959494029" u="1"/>
        <n v="0.96451281280663026" u="1"/>
        <n v="0.94751353773336588" u="1"/>
        <n v="0.95734491411808842" u="1"/>
        <n v="0.97209197869517228" u="1"/>
        <n v="0.99667041965697878" u="1"/>
        <n v="0.86384402166322416" u="1"/>
        <n v="0.87340230425948229" u="1"/>
        <n v="0.88773972815386926" u="1"/>
        <n v="0.91163543464451435" u="1"/>
        <n v="0.85309054711310806" u="1"/>
        <n v="0.86237573592090155" u="1"/>
        <n v="0.87630351913259186" u="1"/>
        <n v="0.89951649115207555" u="1"/>
        <n v="0.88094611353648855" u="1"/>
        <n v="0.89023130234428205" u="1"/>
        <n v="0.90415908555597246" u="1"/>
        <n v="0.92737205757545627" u="1"/>
        <n v="0.97521406569809488" u="1"/>
        <n v="0.9840896138231916" u="1"/>
        <n v="0.99740293601083685" u="1"/>
        <n v="1.0195918063235787" u="1"/>
        <n v="1.046218450698869" u="1"/>
        <n v="1.0550939988239658" u="1"/>
        <n v="1.068407321011611" u="1"/>
        <n v="1.0905961913243531" u="1"/>
        <n v="1.1223610225391205" u="1"/>
        <n v="1.2330347200903202" u="1"/>
        <n v="1.2002634654745783" u="1"/>
        <n v="1.2057253412438687" u="1"/>
        <n v="1.211187217013159" u="1"/>
        <n v="1.2221109685517395" u="1"/>
        <n v="1.2439584716289007" u="1"/>
        <n v="1.2603440989367718" u="1"/>
        <n v="1.2876534777832234" u="1"/>
        <n v="1.1023831613243531" u="1"/>
        <n v="1.1112587094494499" u="1"/>
        <n v="1.1245720316370946" u="1"/>
        <n v="1.1911386425753203" u="1"/>
        <n v="1.2000141907004169" u="1"/>
        <n v="1.2133275128880623" u="1"/>
        <n v="1.0136276800733852" u="1"/>
        <n v="1.0225032281984821" u="1"/>
        <n v="1.035816550386127" u="1"/>
        <n v="1.048586768395869" u="1"/>
        <n v="1.3018812571967073" u="1"/>
        <n v="1.3114395397929652" u="1"/>
        <n v="1.3353352462836103" u="1"/>
        <n v="0.92529108970219165" u="1"/>
        <n v="0.9198292139329014" u="1"/>
        <n v="0.93075296547148201" u="1"/>
        <n v="0.95806234431793358" u="1"/>
        <n v="1.3974640831592877" u="1"/>
        <n v="1.4070223657555456" u="1"/>
        <n v="1.4309180722461907" u="1"/>
        <n v="1.0290667293187079" u="1"/>
        <n v="0.88493223225948214" u="1"/>
        <n v="0.89380778038457898" u="1"/>
        <n v="0.907121102572224" u="1"/>
        <n v="0.9736877135104498" u="1"/>
        <n v="0.98256326163554664" u="1"/>
        <n v="0.99587658382319155" u="1"/>
        <n v="0.89824555444712728" u="1"/>
        <n v="0.92043442475986936" u="1"/>
        <n v="0.98700103569809494" u="1"/>
        <n v="1.0091899060108369" u="1"/>
        <n v="1.0535676466363204" u="1"/>
        <n v="1.0624431947614175" u="1"/>
        <n v="1.0757565169490628" u="1"/>
        <n v="0.88399190872869504" u="1"/>
        <n v="0.89327709753648854" u="1"/>
        <n v="0.90720488074817895" u="1"/>
        <n v="0.92113266395986915" u="1"/>
        <n v="0.93041785276766265" u="1"/>
        <n v="0.94434563597935295" u="1"/>
        <n v="0.90256228634428193" u="1"/>
        <n v="0.91184747515207543" u="1"/>
        <n v="0.92577525836376584" u="1"/>
        <n v="0.95363082478714656" u="1"/>
        <n v="0.96291601359494017" u="1"/>
        <n v="0.97684379680663025" u="1"/>
        <n v="0.84685115349752105" u="1"/>
        <n v="0.87006412551700485" u="1"/>
        <n v="0.93970304157545614" u="1"/>
        <n v="1.1346920065391206" u="1"/>
        <n v="1.533955125274242" u="1"/>
        <n v="0.93818552101006281" u="1"/>
        <n v="0.87161891007183689" u="1"/>
        <n v="1.0047521319482884" u="1"/>
        <n v="1.2507568666365394" u="1"/>
        <n v="1.2275438946170558" u="1"/>
        <n v="1.3668217267339586" u="1"/>
        <n v="1.6639477685833517" u="1"/>
        <n v="1.5943088525249001" u="1"/>
        <n v="1.5710958805054165" u="1"/>
        <n v="1.3436087547144746" u="1"/>
        <n v="1.4596736148118938" u="1"/>
        <n v="1.7172630762492869" u="1"/>
        <n v="1.5260974243241261" u="1"/>
        <n v="1.5534068031705779" u="1"/>
        <n v="1.5151736727855456" u="1"/>
        <n v="0.76649503196257163" u="1"/>
        <n v="0.91097349969634522" u="1"/>
        <n v="0.87599432224293894" u="1"/>
        <n v="1.0244344480744656" u="1"/>
        <n v="0.67203874588027013" u="1"/>
        <n v="0.78266608093526924" u="1"/>
        <n v="1.0749638636671772" u="1"/>
        <n v="1.1467406834596576" u="1"/>
        <n v="0.85694632353943967" u="1"/>
        <n v="0.76344067496702417" u="1"/>
        <n v="0.72612430303463427" u="1"/>
        <n v="0.6840273930827887" u="1"/>
        <n v="0.70520715709659854" u="1"/>
        <n v="0.87811420828328968" u="1"/>
        <n v="0.90242991770505354" u="1"/>
        <n v="0.75943062217058621" u="1"/>
        <n v="0.80933819445391531" u="1"/>
        <n v="0.78832248006790073" u="1"/>
        <n v="1.2414716778287462" u="1"/>
        <n v="1.2646846498482298" u="1"/>
        <n v="1.2878976218677136" u="1"/>
        <n v="1.3250383770988876" u="1"/>
        <n v="2.1320396844748992" u="1"/>
        <n v="2.1678832442108669" u="1"/>
        <n v="2.2037268039468345" u="1"/>
        <n v="2.2610764995243828" u="1"/>
        <n v="1.1298321704640624" u="1"/>
        <n v="1.1537278769547075" u="1"/>
        <n v="1.1776235834453528" u="1"/>
        <n v="1.2158567138303846" u="1"/>
        <n v="1.1411252152968754" u="1"/>
        <n v="1.165362289023101" u="1"/>
        <n v="1.1895993627493266" u="1"/>
        <n v="1.228378680711288" u="1"/>
        <n v="1.1871818660416109" u="1"/>
        <n v="1.1489487356565784" u="1"/>
        <n v="1.1728444421472235" u="1"/>
        <n v="1.2110775725322558" u="1"/>
        <n v="1.2015192899359979" u="1"/>
        <n v="1.2397524203210302" u="1"/>
        <n v="1.1300494121352238" u="1"/>
        <n v="1.1393346009430172" u="1"/>
        <n v="1.1625475729625014" u="1"/>
        <n v="1.1857605449819852" u="1"/>
        <n v="1.2229013002131592" u="1"/>
        <n v="1.2043309225975722" u="1"/>
        <n v="1.2254149964266428" u="1"/>
        <n v="1.2493107029172881" u="1"/>
        <n v="1.2732064094079329" u="1"/>
        <n v="1.1600742241374817" u="1"/>
        <n v="1.1822630944502235" u="1"/>
        <n v="1.2044519647629655" u="1"/>
        <n v="1.2399541572633523" u="1"/>
        <n v="1.2971021158985783" u="1"/>
        <n v="1.2014385951590689" u="1"/>
        <n v="1.1621130896201786" u="1"/>
        <n v="1.186691530581985" u="1"/>
        <n v="1.2260170361208753" u="1"/>
        <n v="1.1219186173966431" u="1"/>
        <n v="1.072482474886514" u="1"/>
        <n v="1.2147705054745783" u="1"/>
        <n v="1.6626443185563837" u="1"/>
        <n v="1.1996883281936752" u="1"/>
        <n v="0.56697970564064415" u="1"/>
        <n v="1.315753188291094" u="1"/>
        <n v="0.57722463852372852" u="1"/>
        <n v="0.56603026648843846" u="1"/>
        <n v="0.39411132250379055" u="1"/>
        <n v="0.49806567544623853" u="1"/>
        <n v="1.2256942570131588" u="1"/>
        <n v="0.82828077588193394" u="1"/>
        <n v="1.131430385806385" u="1"/>
        <n v="5.6068131607307459" u="1"/>
        <n v="1.196740148637869" u="1"/>
        <n v="1.2349732790229009" u="1"/>
        <n v="1.2875438333023201" u="1"/>
        <n v="0.87871009837483705" u="1"/>
        <n v="1.985328" u="1"/>
        <n v="1.7461440000000001" u="1"/>
        <n v="1.2455288000000002" u="1"/>
        <n v="1.1257741999999999" u="1"/>
        <n v="1.1593411999999998" u="1"/>
        <n v="1.7244480000000002" u="1"/>
        <n v="1.4501279999999999" u="1"/>
        <n v="1.8899680000000001" u="1"/>
        <n v="1.6705280000000002" u="1"/>
        <n v="1.8949280000000002" u="1"/>
        <n v="0.63939600000000008" u="1"/>
        <n v="1.1055680000000001" u="1"/>
        <n v="0.96737200000000012" u="1"/>
        <n v="1.1766447999999998" u="1"/>
        <n v="1.1725732023855358" u="1"/>
        <n v="1.1348018898243752" u="1"/>
        <n v="1.6294551006377205" u="1"/>
        <n v="2.1015965076522249" u="1"/>
        <n v="1.4350439330435127" u="1"/>
        <n v="1.3794978851594539" u="1"/>
        <n v="1.4794807713507605" u="1"/>
        <n v="0.52637707573044734" u="1"/>
        <n v="0.44866443020532459" u="1"/>
        <n v="1.3461702564290181" u="1"/>
        <n v="1.6239004958493148" u="1"/>
        <n v="0.86684110622465838" u="1"/>
        <n v="0.88628222298407933" u="1"/>
        <n v="0.9397452940724863" u="1"/>
        <n v="1.0126494819203142" u="1"/>
        <n v="1.1584578576159701" u="1"/>
        <n v="0.9348850148826312" u="1"/>
        <n v="0.81040672862828711" u="1"/>
        <n v="0.87777563468057385" u="1"/>
        <n v="0.75952713484750123" u="1"/>
        <n v="0.84620293365778121" u="1"/>
        <n v="0.91828835628121575" u="1"/>
        <n v="0.73164446103720548" u="1"/>
        <n v="0.78590205682717695" u="1"/>
        <n v="0.8188455430130458" u="1"/>
        <n v="0.7537463045784879" u="1"/>
        <n v="0.76369026031973453" u="1"/>
        <n v="0.87278886893683949" u="1"/>
        <n v="0.94529683734831038" u="1"/>
        <n v="0.72601858478069969" u="1"/>
        <n v="0.71699687343712892" u="1"/>
        <n v="0.5891100432089863" u="1"/>
        <n v="0.55769663738921349" u="1"/>
        <n v="0.74289621355021718" u="1"/>
        <n v="0.76631996682717707" u="1"/>
        <n v="0.89356133511470737" u="1"/>
        <n v="0.78186616822536892" u="1"/>
        <n v="0.69788920349817052" u="1"/>
        <n v="1.1479593040186371" u="1"/>
        <n v="1.2362638658662246" u="1"/>
        <n v="9.7015555266066986" u="1"/>
        <n v="0.51437750500202284" u="1"/>
        <n v="0.42864792083501907" u="1"/>
        <n v="1.0231118610179959" u="1"/>
        <n v="0.99478337659712557" u="1"/>
        <n v="0.99950479066727071" u="1"/>
        <n v="1.0042262047374158" u="1"/>
        <n v="1.0136690328777058" u="1"/>
        <n v="1.032554689158286" u="1"/>
        <n v="1.0467189313687211" u="1"/>
        <n v="1.0703260017194463" u="1"/>
        <n v="0.95701206403596528" u="1"/>
        <n v="0.96645489217625535" u="1"/>
        <n v="0.98061913438669035" u="1"/>
        <n v="0.91832314945045701" u="1"/>
        <n v="0.92832143806958778" u="1"/>
        <n v="0.94331887099828371" u="1"/>
        <n v="0.96831459254611041" u="1"/>
        <n v="0.83935110198842611" u="1"/>
        <n v="0.84907166036813653" u="1"/>
        <n v="0.86365249793770216" u="1"/>
        <n v="0.88795389388697799" u="1"/>
        <n v="0.82953388414204909" u="1"/>
        <n v="0.83897671228233928" u="1"/>
        <n v="0.85314095449277427" u="1"/>
        <n v="0.87674802484349956" u="1"/>
        <n v="0.85786236856291942" u="1"/>
        <n v="0.86730519670320938" u="1"/>
        <n v="0.8814694389136446" u="1"/>
        <n v="0.90507650926436978" u="1"/>
        <n v="0.95540899107900878" u="1"/>
        <n v="0.96443522386016833" u="1"/>
        <n v="0.97797457303190793" u="1"/>
        <n v="1.0005401549848068" u="1"/>
        <n v="1.027618853328286" u="1"/>
        <n v="1.0366450861094454" u="1"/>
        <n v="1.0501844352811849" u="1"/>
        <n v="1.072750017234084" u="1"/>
        <n v="1.141147212771622" u="1"/>
        <n v="1.2036610129623482" u="1"/>
        <n v="1.1703333842319124" u="1"/>
        <n v="1.1758879890203184" u="1"/>
        <n v="1.1814425938087245" u="1"/>
        <n v="1.1925518033855362" u="1"/>
        <n v="1.2147702225391599" u="1"/>
        <n v="1.2314340369043777" u="1"/>
        <n v="1.2592070608464074" u="1"/>
        <n v="1.1343813808637955" u="1"/>
        <n v="1.1434076136449551" u="1"/>
        <n v="1.1659731955978541" u="1"/>
        <n v="1.2246437086753921" u="1"/>
        <n v="1.2336699414565515" u="1"/>
        <n v="1.2562355234094504" u="1"/>
        <n v="1.0441190530521991" u="1"/>
        <n v="1.0531452858333588" u="1"/>
        <n v="1.0757108677862579" u="1"/>
        <n v="1.0661125530087214" u="1"/>
        <n v="1.0515317154391557" u="1"/>
        <n v="1.0612522738188661" u="1"/>
        <n v="1.085553669768142" u="1"/>
        <n v="0.94068410687538473" u="1"/>
        <n v="1.0462215978550975" u="1"/>
        <n v="1.0573308074319092" u="1"/>
        <n v="1.085103831373939" u="1"/>
        <n v="1.1487372992362597" u="1"/>
        <n v="1.2459428830333634" u="1"/>
        <n v="1.4889568425261226" u="1"/>
        <n v="0.91323867772538414" u="1"/>
        <n v="0.92226491050654391" u="1"/>
        <n v="0.94483049245944295" u="1"/>
        <n v="1.0035010055369806" u="1"/>
        <n v="1.0125272383181403" u="1"/>
        <n v="1.0350928202710392" u="1"/>
        <n v="0.92677802689712374" u="1"/>
        <n v="0.9358042596782834" u="1"/>
        <n v="0.95836984163118233" u="1"/>
        <n v="1.0170403547087201" u="1"/>
        <n v="1.02606658748988" u="1"/>
        <n v="1.0486321694427789" u="1"/>
        <n v="1.0666846350050982" u="1"/>
        <n v="1.0982764497391571" u="1"/>
        <n v="0.89400977224697797" u="1"/>
        <n v="0.90345260038726805" u="1"/>
        <n v="0.92705967073799322" u="1"/>
        <n v="0.93178108480813837" u="1"/>
        <n v="0.94122391294842833" u="1"/>
        <n v="0.96483098329915362" u="1"/>
        <n v="0.91289542852755812" u="1"/>
        <n v="0.92233825666784819" u="1"/>
        <n v="0.94594532701857337" u="1"/>
        <n v="0.97427381143944369" u="1"/>
        <n v="0.99788088179016898" u="1"/>
        <n v="0.86095987375596272" u="1"/>
        <n v="0.88456694410668801" u="1"/>
        <n v="0.95538815515886344" u="1"/>
        <n v="1.1536875461049556" u="1"/>
        <n v="1.5597291561374289" u="1"/>
        <n v="0.95385672524060261" u="1"/>
        <n v="0.88615997938190538" u="1"/>
        <n v="1.0215534710992999" u="1"/>
        <n v="1.2717228978585815" u="1"/>
        <n v="1.2481158275078561" u="1"/>
        <n v="1.3897582496122076" u="1"/>
        <n v="1.6919287501014901" u="1"/>
        <n v="1.6211075390493146" u="1"/>
        <n v="1.5975004686985894" u="1"/>
        <n v="1.366151179261482" u="1"/>
        <n v="1.4841865310151083" u="1"/>
        <n v="1.7461018011942451" u="1"/>
        <n v="1.5516906336000371" u="1"/>
        <n v="1.5794636575420671" u="1"/>
        <n v="1.5405814240232254" u="1"/>
        <n v="0.76066094233546222" u="1"/>
        <n v="0.92550868211834803" u="1"/>
        <n v="0.86932679124052825" u="1"/>
        <n v="1.0407629322238585" u="1"/>
        <n v="0.66694688408738834" u="1"/>
        <n v="0.7950894146125167" u="1"/>
        <n v="1.0666652199302713" u="1"/>
        <n v="1.1651456222407652" u="1"/>
        <n v="0.87053766294702672" u="1"/>
        <n v="0.75763162435118991" u="1"/>
        <n v="0.73752120743370464" u="1"/>
        <n v="0.67886935676010818" u="1"/>
        <n v="0.71624894056149491" u="1"/>
        <n v="0.87135224443835557" u="1"/>
        <n v="0.91684664782874714" u="1"/>
        <n v="0.75364160276377201" u="1"/>
        <n v="0.8221744594499697" u="1"/>
        <n v="0.78227734734575805" u="1"/>
        <n v="1.2622800697182914" u="1"/>
        <n v="1.2858871400690168" u="1"/>
        <n v="1.3094942104197416" u="1"/>
        <n v="1.3472655229809019" u="1"/>
        <n v="2.1678214947261396" u="1"/>
        <n v="2.2042735886500533" u="1"/>
        <n v="2.240725682573967" u="1"/>
        <n v="2.2990490328522291" u="1"/>
        <n v="1.1730386951855356" u="1"/>
        <n v="1.1973400911348115" u="1"/>
        <n v="1.236222324653653" u="1"/>
        <n v="1.1602181203327815" u="1"/>
        <n v="1.1848666790813329" u="1"/>
        <n v="1.2095152378298841" u="1"/>
        <n v="1.2489529318275663" u="1"/>
        <n v="1.2070606495145222" u="1"/>
        <n v="1.1681784159956803" u="1"/>
        <n v="1.1924798119449562" u="1"/>
        <n v="1.2313620454637977" u="1"/>
        <n v="1.2216414870840875" u="1"/>
        <n v="1.2605237206029289" u="1"/>
        <n v="1.1489661320348104" u="1"/>
        <n v="1.1584089601751004" u="1"/>
        <n v="1.1820160305258258" u="1"/>
        <n v="1.2056231008765508" u="1"/>
        <n v="1.2433944134377113" u="1"/>
        <n v="1.2245087571571311" u="1"/>
        <n v="1.2702442789826394" u="1"/>
        <n v="1.2945456749319153" u="1"/>
        <n v="1.3334279084507568" u="1"/>
        <n v="1.1795125447695936" u="1"/>
        <n v="1.2020781267224929" u="1"/>
        <n v="1.2607486398000303" u="1"/>
        <n v="1.3188470708811915" u="1"/>
        <n v="1.2215515194052471" u="1"/>
        <n v="1.1815583649287242" u="1"/>
        <n v="1.2065540864765509" u="1"/>
        <n v="1.2465472409530738" u="1"/>
        <n v="1.1406498792579984" u="1"/>
        <n v="1.0904139489579971" u="1"/>
        <n v="1.2350781606608991" u="1"/>
        <n v="1.6905557533101856" u="1"/>
        <n v="1.2197873430869859" u="1"/>
        <n v="0.57636851882610063" u="1"/>
        <n v="1.3378226948406118" u="1"/>
        <n v="0.57398817187928963" u="1"/>
        <n v="0.5628600605350822" u="1"/>
        <n v="0.39191367624954804" u="1"/>
        <n v="0.50592316854124975" u="1"/>
        <n v="1.2461873702377111" u="1"/>
        <n v="0.84207421747538247" u="1"/>
        <n v="1.150358696833361" u="1"/>
        <n v="5.7011384719839215" u="1"/>
        <n v="1.2167812078942324" u="1"/>
        <n v="1.2556634414130736" u="1"/>
        <n v="1.309126512501481" u="1"/>
        <n v="0.90384571413770298" u="1"/>
        <n v="1.2150659290168409" u="1"/>
        <n v="1.238672999367566" u="1"/>
        <n v="1.3000513822794519" u="1"/>
        <n v="2.0949173068783109" u="1"/>
        <n v="2.1313694008022255" u="1"/>
        <n v="2.2261448450044017" u="1"/>
        <n v="1.1001345073377076" u="1"/>
        <n v="1.1244359032869835" u="1"/>
        <n v="1.1876195327551013" u="1"/>
        <n v="1.1109210028356791" u="1"/>
        <n v="1.1355695615842303" u="1"/>
        <n v="1.1996558143304639" u="1"/>
        <n v="1.2119209287043773" u="1"/>
        <n v="1.1111948194736498" u="1"/>
        <n v="1.1961802727362607" u="1"/>
        <n v="1.1772946164556808" u="1"/>
        <n v="1.2009016868064057" u="1"/>
        <n v="1.2848251165522049" u="1"/>
        <n v="1.1569469628166946" u="1"/>
        <n v="1.2156174758942324" u="1"/>
        <n v="1.1715600763095935" u="1"/>
        <n v="1.0875877491229247" u="1"/>
        <n v="1.1195756240971284" u="1"/>
        <n v="1.0803392426837832" u="1"/>
        <n v="1.0351091735867262" u="1"/>
        <n v="1.1725805463855357" u="1"/>
        <n v="1.1348092338243752" u="1"/>
        <n v="1.6294637406377204" u="1"/>
        <n v="2.1016051476522248" u="1"/>
        <n v="1.4350525730435129" u="1"/>
        <n v="1.3795065251594538" u="1"/>
        <n v="1.4794894113507604" u="1"/>
        <n v="0.52638355573044726" u="1"/>
        <n v="0.44866983020532458" u="1"/>
        <n v="1.3461788964290178" u="1"/>
        <n v="1.6239091358493147" u="1"/>
        <n v="0.86684866622465828" u="1"/>
        <n v="0.88628978298407923" u="1"/>
        <n v="0.93975285407248621" u="1"/>
        <n v="1.012657041920314" u="1"/>
        <n v="1.1584654176159701" u="1"/>
        <n v="0.93489257488263111" u="1"/>
        <n v="0.81020509862828705" u="1"/>
        <n v="0.87757400468057389" u="1"/>
        <n v="0.75931619884750123" u="1"/>
        <n v="0.84599199765778121" u="1"/>
        <n v="0.91807742028121575" u="1"/>
        <n v="0.73144283103720542" u="1"/>
        <n v="0.785700426827177" u="1"/>
        <n v="0.81864391301304584" u="1"/>
        <n v="0.75354467457848784" u="1"/>
        <n v="0.76347312031973458" u="1"/>
        <n v="0.87254070893683955" u="1"/>
        <n v="0.94507969734831032" u="1"/>
        <n v="0.72581695478069974" u="1"/>
        <n v="0.71679524343712897" u="1"/>
        <n v="0.58889290320898624" u="1"/>
        <n v="0.55747949738921354" u="1"/>
        <n v="0.74269458355021722" u="1"/>
        <n v="0.76619588682717699" u="1"/>
        <n v="0.89331317511470731" u="1"/>
        <n v="0.78164902822536897" u="1"/>
        <n v="0.69768757349817045" u="1"/>
        <n v="1.1477576740186373" u="1"/>
        <n v="1.2360467258662247" u="1"/>
        <n v="9.7013383866066967" u="1"/>
        <n v="0.51419138500202277" u="1"/>
        <n v="0.42849282083501899" u="1"/>
        <n v="1.0231192050179958" u="1"/>
        <n v="0.99479072059712559" u="1"/>
        <n v="0.99951213466727062" u="1"/>
        <n v="1.0042335487374157" u="1"/>
        <n v="1.0136763768777057" u="1"/>
        <n v="1.0325620331582859" u="1"/>
        <n v="1.046726275368721" u="1"/>
        <n v="1.0703333457194462" u="1"/>
        <n v="0.95701940803596519" u="1"/>
        <n v="0.96646223617625526" u="1"/>
        <n v="0.98062647838669026" u="1"/>
        <n v="0.91833092545045714" u="1"/>
        <n v="0.92832921406958768" u="1"/>
        <n v="0.94332664699828361" u="1"/>
        <n v="0.96832236854611031" u="1"/>
        <n v="0.83935866198842612" u="1"/>
        <n v="0.84907922036813643" u="1"/>
        <n v="0.86366005793770206" u="1"/>
        <n v="0.88796145388697789" u="1"/>
        <n v="0.829541228142049" u="1"/>
        <n v="0.83898405628233919" u="1"/>
        <n v="0.85314829849277418" u="1"/>
        <n v="0.87675536884349947" u="1"/>
        <n v="0.85786971256291944" u="1"/>
        <n v="0.86731254070320951" u="1"/>
        <n v="0.88147678291364451" u="1"/>
        <n v="0.90508385326436969" u="1"/>
        <n v="0.95541601107900864" u="1"/>
        <n v="0.9644422438601683" u="1"/>
        <n v="0.97798159303190779" u="1"/>
        <n v="1.0005471749848069" u="1"/>
        <n v="1.0276258733282859" u="1"/>
        <n v="1.0366521061094454" u="1"/>
        <n v="1.0501914552811851" u="1"/>
        <n v="1.0727570372340842" u="1"/>
        <n v="1.1411545567716219" u="1"/>
        <n v="1.2036696529623481" u="1"/>
        <n v="1.1703420242319125" u="1"/>
        <n v="1.1758966290203183" u="1"/>
        <n v="1.1814512338087244" u="1"/>
        <n v="1.1925604433855361" u="1"/>
        <n v="1.21477886253916" u="1"/>
        <n v="1.2314426769043776" u="1"/>
        <n v="1.2592157008464073" u="1"/>
        <n v="1.1343884008637954" u="1"/>
        <n v="1.1434146336449551" u="1"/>
        <n v="1.1659802155978543" u="1"/>
        <n v="1.224650728675392" u="1"/>
        <n v="1.2336769614565517" u="1"/>
        <n v="1.2562425434094506" u="1"/>
        <n v="1.0441260730521988" u="1"/>
        <n v="1.0531523058333587" u="1"/>
        <n v="1.0757178877862579" u="1"/>
        <n v="1.0661201130087212" u="1"/>
        <n v="1.0515392754391557" u="1"/>
        <n v="1.0612598338188661" u="1"/>
        <n v="1.0855612297681418" u="1"/>
        <n v="0.94069274687538462" u="1"/>
        <n v="1.0462302378550974" u="1"/>
        <n v="1.0573394474319093" u="1"/>
        <n v="1.0851124713739388" u="1"/>
        <n v="1.1487448592362595" u="1"/>
        <n v="1.2459504430333632" u="1"/>
        <n v="1.4889644025261228" u="1"/>
        <n v="0.91324569772538411" u="1"/>
        <n v="0.92227193050654377" u="1"/>
        <n v="0.94483751245944292" u="1"/>
        <n v="1.0035080255369806" u="1"/>
        <n v="1.01253425831814" u="1"/>
        <n v="1.0350998402710392" u="1"/>
        <n v="0.92678504689712371" u="1"/>
        <n v="0.93581127967828326" u="1"/>
        <n v="0.95837686163118219" u="1"/>
        <n v="1.0170473747087201" u="1"/>
        <n v="1.02607360748988" u="1"/>
        <n v="1.0486391894427789" u="1"/>
        <n v="1.0666916550050982" u="1"/>
        <n v="1.0982834697391568" u="1"/>
        <n v="0.89401711624697799" u="1"/>
        <n v="0.90345994438726795" u="1"/>
        <n v="0.92706701473799313" u="1"/>
        <n v="0.93178842880813828" u="1"/>
        <n v="0.94123125694842824" u="1"/>
        <n v="0.96483832729915353" u="1"/>
        <n v="0.91290277252755803" u="1"/>
        <n v="0.9223456006678481" u="1"/>
        <n v="0.94595267101857328" u="1"/>
        <n v="0.9742811554394436" u="1"/>
        <n v="0.997888225790169" u="1"/>
        <n v="0.86096721775596263" u="1"/>
        <n v="0.88457428810668792" u="1"/>
        <n v="0.95539549915886346" u="1"/>
        <n v="1.1536948901049553" u="1"/>
        <n v="1.559736500137429" u="1"/>
        <n v="0.95386374524060269" u="1"/>
        <n v="0.88616699938190524" u="1"/>
        <n v="1.0215604910992999" u="1"/>
        <n v="1.2717302418585814" u="1"/>
        <n v="1.248123171507856" u="1"/>
        <n v="1.3897655936122075" u="1"/>
        <n v="1.6919360941014903" u="1"/>
        <n v="1.6211148830493147" u="1"/>
        <n v="1.5975078126985895" u="1"/>
        <n v="1.3661585232614823" u="1"/>
        <n v="1.4841938750151085" u="1"/>
        <n v="1.7461104411942452" u="1"/>
        <n v="1.5516992736000375" u="1"/>
        <n v="1.5794722975420672" u="1"/>
        <n v="1.5405900640232257" u="1"/>
        <n v="0.76044380233546227" u="1"/>
        <n v="0.92529154211834796" u="1"/>
        <n v="0.86907863124052831" u="1"/>
        <n v="1.0405147722238581" u="1"/>
        <n v="0.66674525408738827" u="1"/>
        <n v="0.79488778461251663" u="1"/>
        <n v="1.0664170599302714" u="1"/>
        <n v="1.0348610135867262" u="1"/>
        <n v="0.87031431894702682" u="1"/>
        <n v="0.75741448435118985" u="1"/>
        <n v="0.73730406743370447" u="1"/>
        <n v="0.67865221676010823" u="1"/>
        <n v="0.71603180056149496" u="1"/>
        <n v="0.87114130843835558" u="1"/>
        <n v="0.91663571182874704" u="1"/>
        <n v="0.75343066676377202" u="1"/>
        <n v="0.8219635234499697" u="1"/>
        <n v="0.78207571734575787" u="1"/>
        <n v="1.215073273016841" u="1"/>
        <n v="1.2386803433675662" u="1"/>
        <n v="1.2622874137182913" u="1"/>
        <n v="1.3000587262794518" u="1"/>
        <n v="2.0949286468783113" u="1"/>
        <n v="2.1313807408022254" u="1"/>
        <n v="2.1678328347261391" u="1"/>
        <n v="2.226156185004402" u="1"/>
        <n v="1.1001420673377076" u="1"/>
        <n v="1.1244434632869835" u="1"/>
        <n v="1.1876270927551011" u="1"/>
        <n v="1.1109286708356789" u="1"/>
        <n v="1.1355772295842301" u="1"/>
        <n v="1.1602257883327816" u="1"/>
        <n v="1.1996634823304635" u="1"/>
        <n v="1.1681859759956803" u="1"/>
        <n v="1.1924873719449562" u="1"/>
        <n v="1.2313696054637979" u="1"/>
        <n v="1.1730462551855354" u="1"/>
        <n v="1.2119284887043771" u="1"/>
        <n v="1.11120216347365" u="1"/>
        <n v="1.1584163041751003" u="1"/>
        <n v="1.1961876167362608" u="1"/>
        <n v="1.1773019604556807" u="1"/>
        <n v="1.2009090308064059" u="1"/>
        <n v="1.2245161011571311" u="1"/>
        <n v="1.1973476511348116" u="1"/>
        <n v="1.2216490470840875" u="1"/>
        <n v="1.2848326765522049" u="1"/>
        <n v="1.1569539828166946" u="1"/>
        <n v="1.1795195647695937" u="1"/>
        <n v="1.2156244958942324" u="1"/>
        <n v="1.3188546308811915" u="1"/>
        <n v="1.1715678523095936" u="1"/>
        <n v="1.1815661409287241" u="1"/>
        <n v="1.2065618624765508" u="1"/>
        <n v="1.2465550169530737" u="1"/>
        <n v="1.1406585192579983" u="1"/>
        <n v="1.0904215089579972" u="1"/>
        <n v="1.235086800660899" u="1"/>
        <n v="1.6905643933101857" u="1"/>
        <n v="1.0875950931229246" u="1"/>
        <n v="0.57637499882610066" u="1"/>
        <n v="1.3378300388406119" u="1"/>
        <n v="0.57386806076817853" u="1"/>
        <n v="0.5627399494239711" u="1"/>
        <n v="0.3918235929162146" u="1"/>
        <n v="0.50578357854124978" u="1"/>
        <n v="1.246196010237711" u="1"/>
        <n v="0.84208156147538238" u="1"/>
        <n v="5.7009368419839213" u="1"/>
        <n v="1.1195831840971282" u="1"/>
        <n v="1.3091340725014808" u="1"/>
        <n v="0.78021056262828714" u="1"/>
        <n v="0.84757946868057399" u="1"/>
        <n v="0.7279372996475012" u="1"/>
        <n v="0.81461309845778129" u="1"/>
        <n v="0.88669852108121583" u="1"/>
        <n v="0.70144829503720552" u="1"/>
        <n v="0.75570589082717698" u="1"/>
        <n v="0.78864937701304583" u="1"/>
        <n v="0.72355013857848793" u="1"/>
        <n v="0.73117131231973453" u="1"/>
        <n v="0.83562435693683945" u="1"/>
        <n v="0.9127778893483105" u="1"/>
        <n v="0.69582241878069973" u="1"/>
        <n v="0.68680070743712895" u="1"/>
        <n v="0.55659109520898631" u="1"/>
        <n v="0.5251776893892135" u="1"/>
        <n v="0.71270004755021721" u="1"/>
        <n v="0.74773771082717699" u="1"/>
        <n v="0.85639682311470733" u="1"/>
        <n v="0.74934722022536893" u="1"/>
        <n v="0.66769303749817055" u="1"/>
        <n v="1.117763138018637" u="1"/>
        <n v="1.2037449178662245" u="1"/>
        <n v="9.669036578606697" u="1"/>
        <n v="0.48650412100202278" u="1"/>
        <n v="0.405420100835019" u="1"/>
        <n v="0.91545145812321027" u="1"/>
        <n v="0.92517201650292069" u="1"/>
        <n v="0.94947341245219652" u="1"/>
        <n v="0.72814199433546223" u="1"/>
        <n v="0.89298973411834803" u="1"/>
        <n v="0.83216227924052821" u="1"/>
        <n v="1.0035984202238586" u="1"/>
        <n v="0.63675071808738837" u="1"/>
        <n v="0.76489324861251673" u="1"/>
        <n v="1.0295007079302714" u="1"/>
        <n v="0.99794466158672623" u="1"/>
        <n v="0.83708960214702677" u="1"/>
        <n v="0.72511267635119003" u="1"/>
        <n v="0.70500225943370465" u="1"/>
        <n v="0.64635040876010819" u="1"/>
        <n v="0.68372999256149503" u="1"/>
        <n v="0.83976240923835554" u="1"/>
        <n v="0.88525681262874722" u="1"/>
        <n v="0.7220517675637721" u="1"/>
        <n v="0.79058462424996967" u="1"/>
        <n v="0.75208118134575808" u="1"/>
        <n v="0.48501813054124976" u="1"/>
        <n v="1.1725944183855357" u="1"/>
        <n v="1.1348231058243752" u="1"/>
        <n v="1.6294800606377204" u="1"/>
        <n v="2.1016214676522247" u="1"/>
        <n v="1.4350688930435129" u="1"/>
        <n v="1.3795228451594537" u="1"/>
        <n v="1.4795057313507605" u="1"/>
        <n v="0.52639579573044726" u="1"/>
        <n v="0.4486800302053246" u="1"/>
        <n v="1.3461952164290178" u="1"/>
        <n v="1.6239254558493146" u="1"/>
        <n v="0.86686294622465832" u="1"/>
        <n v="0.88630406298407916" u="1"/>
        <n v="0.93976713407248624" u="1"/>
        <n v="1.0126713219203141" u="1"/>
        <n v="1.1584796976159701" u="1"/>
        <n v="0.93490685488263103" u="1"/>
        <n v="0.78000292662828719" u="1"/>
        <n v="0.84737183268057403" u="1"/>
        <n v="0.72772008044750125" u="1"/>
        <n v="0.81439587925778134" u="1"/>
        <n v="0.88648130188121588" u="1"/>
        <n v="0.70124065903720545" u="1"/>
        <n v="0.75549825482717692" u="1"/>
        <n v="0.78844174101304576" u="1"/>
        <n v="0.72334250257848798" u="1"/>
        <n v="0.73094770431973455" u="1"/>
        <n v="0.83536880493683952" u="1"/>
        <n v="0.91255428134831051" u="1"/>
        <n v="0.69561478278069966" u="1"/>
        <n v="0.686593071437129" u="1"/>
        <n v="0.55636748720898632" u="1"/>
        <n v="0.52495408138921351" u="1"/>
        <n v="0.71249241155021725" u="1"/>
        <n v="0.74760993482717708" u="1"/>
        <n v="0.85614127111470739" u="1"/>
        <n v="0.74912361222536894" u="1"/>
        <n v="0.66748540149817059" u="1"/>
        <n v="1.1175555020186374" u="1"/>
        <n v="1.2035213098662247" u="1"/>
        <n v="9.6688129706066981" u="1"/>
        <n v="0.48631245700202286" u="1"/>
        <n v="0.40526038083501909" u="1"/>
        <n v="1.0231330770179958" u="1"/>
        <n v="0.99480459259712561" u="1"/>
        <n v="0.99952600666727065" u="1"/>
        <n v="1.0042474207374157" u="1"/>
        <n v="1.0136902488777058" u="1"/>
        <n v="1.0325759051582859" u="1"/>
        <n v="1.0467401473687208" u="1"/>
        <n v="1.0703472177194462" u="1"/>
        <n v="0.95703328003596522" u="1"/>
        <n v="0.96647610817625529" u="1"/>
        <n v="0.98064035038669017" u="1"/>
        <n v="0.91834561345045718" u="1"/>
        <n v="0.92834390206958772" u="1"/>
        <n v="0.94334133499828365" u="1"/>
        <n v="0.96833705654611035" u="1"/>
        <n v="0.83937294198842605" u="1"/>
        <n v="0.84909350036813647" u="1"/>
        <n v="0.8636743379377021" u="1"/>
        <n v="0.88797573388697792" u="1"/>
        <n v="0.82955510014204892" u="1"/>
        <n v="0.83899792828233921" u="1"/>
        <n v="0.85316217049277421" u="1"/>
        <n v="0.8767692408434995" u="1"/>
        <n v="0.85788358456291947" u="1"/>
        <n v="0.86732641270320954" u="1"/>
        <n v="0.88149065491364453" u="1"/>
        <n v="0.90509772526436971" u="1"/>
        <n v="0.95542927107900866" u="1"/>
        <n v="0.96445550386016832" u="1"/>
        <n v="0.97799485303190781" u="1"/>
        <n v="1.0005604349848067" u="1"/>
        <n v="1.0276391333282859" u="1"/>
        <n v="1.0366653661094454" u="1"/>
        <n v="1.0502047152811851" u="1"/>
        <n v="1.0727702972340842" u="1"/>
        <n v="1.1411684287716219" u="1"/>
        <n v="1.2036859729623481" u="1"/>
        <n v="1.1703583442319125" u="1"/>
        <n v="1.1759129490203184" u="1"/>
        <n v="1.1814675538087243" u="1"/>
        <n v="1.1925767633855362" u="1"/>
        <n v="1.2147951825391599" u="1"/>
        <n v="1.2314589969043774" u="1"/>
        <n v="1.2592320208464072" u="1"/>
        <n v="1.1344016608637957" u="1"/>
        <n v="1.1434278936449551" u="1"/>
        <n v="1.1659934755978543" u="1"/>
        <n v="1.2246639886753921" u="1"/>
        <n v="1.2336902214565513" u="1"/>
        <n v="1.2562558034094506" u="1"/>
        <n v="1.0441393330521989" u="1"/>
        <n v="1.0531655658333587" u="1"/>
        <n v="1.0757311477862579" u="1"/>
        <n v="1.0661343930087213" u="1"/>
        <n v="1.0515535554391557" u="1"/>
        <n v="1.0612741138188662" u="1"/>
        <n v="1.0855755097681419" u="1"/>
        <n v="0.94070906687538469" u="1"/>
        <n v="1.0462465578550975" u="1"/>
        <n v="1.0573557674319094" u="1"/>
        <n v="1.0851287913739389" u="1"/>
        <n v="0.9154657381232103" u="1"/>
        <n v="0.92518629650292072" u="1"/>
        <n v="0.94948769245219655" u="1"/>
        <n v="0.91325895772538412" u="1"/>
        <n v="0.92228519050654378" u="1"/>
        <n v="0.94485077245944293" u="1"/>
        <n v="1.0035212855369806" u="1"/>
        <n v="1.01254751831814" u="1"/>
        <n v="1.0351131002710392" u="1"/>
        <n v="0.92679830689712372" u="1"/>
        <n v="0.93582453967828327" u="1"/>
        <n v="0.9583901216311822" u="1"/>
        <n v="1.0170606347087201" u="1"/>
        <n v="1.0260868674898798" u="1"/>
        <n v="1.0486524494427789" u="1"/>
        <n v="1.0667049150050982" u="1"/>
        <n v="1.0982967297391568" u="1"/>
        <n v="0.89403098824697802" u="1"/>
        <n v="0.90347381638726798" u="1"/>
        <n v="0.92708088673799316" u="1"/>
        <n v="0.93180230080813831" u="1"/>
        <n v="0.94124512894842827" u="1"/>
        <n v="0.96485219929915356" u="1"/>
        <n v="0.91291664452755805" u="1"/>
        <n v="0.92235947266784812" u="1"/>
        <n v="0.94596654301857319" u="1"/>
        <n v="0.97429502743944363" u="1"/>
        <n v="0.99790209779016892" u="1"/>
        <n v="0.86098108975596266" u="1"/>
        <n v="0.88458816010668784" u="1"/>
        <n v="0.95540937115886349" u="1"/>
        <n v="1.1537087621049553" u="1"/>
        <n v="1.5597503721374291" u="1"/>
        <n v="0.9538770052406027" u="1"/>
        <n v="0.88618025938190526" u="1"/>
        <n v="1.0215737510992999" u="1"/>
        <n v="1.2717441138585814" u="1"/>
        <n v="1.248137043507856" u="1"/>
        <n v="1.3897794656122076" u="1"/>
        <n v="1.6919499661014903" u="1"/>
        <n v="1.6211287550493148" u="1"/>
        <n v="1.5975216846985896" u="1"/>
        <n v="1.3661723952614824" u="1"/>
        <n v="1.4842077470151085" u="1"/>
        <n v="1.7461267611942453" u="1"/>
        <n v="1.5517155936000373" u="1"/>
        <n v="1.5794886175420673" u="1"/>
        <n v="1.5406063840232256" u="1"/>
        <n v="0.72791838633546224" u="1"/>
        <n v="0.89276612611834805" u="1"/>
        <n v="0.83190672724052828" u="1"/>
        <n v="1.0033428682238583" u="1"/>
        <n v="0.63654308208738841" u="1"/>
        <n v="0.76468561261251677" u="1"/>
        <n v="1.0292451559302713" u="1"/>
        <n v="0.9976891095867263" u="1"/>
        <n v="0.83685960534702675" u="1"/>
        <n v="0.72488906835119005" u="1"/>
        <n v="0.70477865143370455" u="1"/>
        <n v="0.6461268007601082" u="1"/>
        <n v="0.68350638456149504" u="1"/>
        <n v="0.83954519003835559" u="1"/>
        <n v="0.88503959342874716" u="1"/>
        <n v="0.72183454836377214" u="1"/>
        <n v="0.79036740504996972" u="1"/>
        <n v="0.75187354534575801" u="1"/>
        <n v="1.215087145016841" u="1"/>
        <n v="1.2386942153675662" u="1"/>
        <n v="1.2623012857182914" u="1"/>
        <n v="1.3000725982794521" u="1"/>
        <n v="2.0949500668783112" u="1"/>
        <n v="2.1314021608022253" u="1"/>
        <n v="2.1678542547261395" u="1"/>
        <n v="2.226177605004402" u="1"/>
        <n v="1.1001563473377076" u="1"/>
        <n v="1.1244577432869836" u="1"/>
        <n v="1.1487591392362595" u="1"/>
        <n v="1.1876413727551012" u="1"/>
        <n v="1.110943154835679" u="1"/>
        <n v="1.1355917135842302" u="1"/>
        <n v="1.1602402723327816" u="1"/>
        <n v="1.1996779663304635" u="1"/>
        <n v="1.1682002559956803" u="1"/>
        <n v="1.1925016519449563" u="1"/>
        <n v="1.231383885463798" u="1"/>
        <n v="1.1730605351855354" u="1"/>
        <n v="1.2119427687043771" u="1"/>
        <n v="1.11121603547365" u="1"/>
        <n v="1.1584301761751004" u="1"/>
        <n v="1.1962014887362609" u="1"/>
        <n v="1.1773158324556807" u="1"/>
        <n v="1.2009229028064059" u="1"/>
        <n v="1.2245299731571309" u="1"/>
        <n v="1.1973619311348116" u="1"/>
        <n v="1.2216633270840878" u="1"/>
        <n v="1.2459647230333633" u="1"/>
        <n v="1.2848469565522047" u="1"/>
        <n v="1.1569672428166946" u="1"/>
        <n v="1.1795328247695938" u="1"/>
        <n v="1.2156377558942324" u="1"/>
        <n v="1.3188689108811915" u="1"/>
        <n v="1.1715825403095936" u="1"/>
        <n v="1.1815808289287242" u="1"/>
        <n v="1.2065765504765507" u="1"/>
        <n v="1.2465697049530737" u="1"/>
        <n v="1.1406748392579984" u="1"/>
        <n v="1.090435788957997" u="1"/>
        <n v="1.2351031206608991" u="1"/>
        <n v="1.6905807133101858" u="1"/>
        <n v="1.0876089651229246" u="1"/>
        <n v="0.57638723882610066" u="1"/>
        <n v="1.3378439108406119" u="1"/>
        <n v="0.57349699410151178" u="1"/>
        <n v="0.56236888275730434" u="1"/>
        <n v="0.3915452929162147" u="1"/>
        <n v="0.48487438254124976" u="1"/>
        <n v="1.178924168397663" u="1"/>
        <n v="1.1409461701218209" u="1"/>
        <n v="1.6382945984697348" u="1"/>
        <n v="2.1130195769177607" u="1"/>
        <n v="1.4428196073440771" u="1"/>
        <n v="1.3869696098796036" u="1"/>
        <n v="1.4874996053156559" u="1"/>
        <n v="0.52919973060976888" u="1"/>
        <n v="0.45107145519120001" u="1"/>
        <n v="1.3534596114009192" u="1"/>
        <n v="1.6327095987232876" u="1"/>
        <n v="0.87151717417475205" u="1"/>
        <n v="0.89106467328731798" u="1"/>
        <n v="0.94482029584687366" u="1"/>
        <n v="1.0181234175189953" u="1"/>
        <n v="1.1647296608632387" u="1"/>
        <n v="0.93993342106873212" u="1"/>
        <n v="0.85189644655556795" u="1"/>
        <n v="0.81873486794815997" u="1"/>
        <n v="0.89121474408890189" u="1"/>
        <n v="0.75952013382717154" u="1"/>
        <n v="0.72718842437223274" u="1"/>
        <n v="0.91742694244445788" u="1"/>
        <n v="0.6902378992808742" u="1"/>
        <n v="0.5592910838666747" u="1"/>
        <n v="0.75163181382717159" u="1"/>
        <n v="9.7216001324816261" u="1"/>
        <n v="1.0286449702477354" u="1"/>
        <n v="1.000161471540854" u="1"/>
        <n v="1.004908721325334" u="1"/>
        <n v="1.0096559711098143" u="1"/>
        <n v="1.0191504706787748" u="1"/>
        <n v="1.0381394698166959" u="1"/>
        <n v="1.0523812191701367" u="1"/>
        <n v="1.0761174680925376" u="1"/>
        <n v="0.96218347326501175" u="1"/>
        <n v="0.97167797283397228" u="1"/>
        <n v="0.98591972218741297" u="1"/>
        <n v="0.92327900543988028" u="1"/>
        <n v="0.93333200498348556" u="1"/>
        <n v="0.94841150429889343" u="1"/>
        <n v="0.97354400315790646" u="1"/>
        <n v="0.84387674384032774" u="1"/>
        <n v="0.85365049339661048" u="1"/>
        <n v="0.86831111773103486" u="1"/>
        <n v="0.8927454916217421" u="1"/>
        <n v="0.83400772908404486" u="1"/>
        <n v="0.84350222865300528" u="1"/>
        <n v="0.85774397800644608" u="1"/>
        <n v="0.88148022692884753" u="1"/>
        <n v="0.86249122779092657" u="1"/>
        <n v="0.871985727359887" u="1"/>
        <n v="0.88622747671332758" u="1"/>
        <n v="0.9099637256357288" u="1"/>
        <n v="0.96057451303156927" u="1"/>
        <n v="0.96965013761954622" u="1"/>
        <n v="0.98326357450151181" u="1"/>
        <n v="1.0059526359714541" u="1"/>
        <n v="1.0331795097353851" u="1"/>
        <n v="1.0422551343233621" u="1"/>
        <n v="1.0558685712053275" u="1"/>
        <n v="1.0785576326752699" u="1"/>
        <n v="1.1473262148597421" u="1"/>
        <n v="1.2101705532326299" u="1"/>
        <n v="1.1766605547539457" u="1"/>
        <n v="1.1822455545003929" u="1"/>
        <n v="1.1878305542468404" u="1"/>
        <n v="1.1990005537397352" u="1"/>
        <n v="1.2213405527255248" u="1"/>
        <n v="1.2380955519648666" u="1"/>
        <n v="1.2660205506971032" u="1"/>
        <n v="1.1405262449091433" u="1"/>
        <n v="1.1496018694971202" u="1"/>
        <n v="1.1722909309670626" u="1"/>
        <n v="1.2312824907889131" u="1"/>
        <n v="1.2403581153768899" u="1"/>
        <n v="1.2630471768468321" u="1"/>
        <n v="1.0497699990293734" u="1"/>
        <n v="1.0588456236173505" u="1"/>
        <n v="1.0815346850872931" u="1"/>
        <n v="1.0718790400785512" u="1"/>
        <n v="1.0572184157441269" u="1"/>
        <n v="1.0669921653004095" u="1"/>
        <n v="1.0914265391911171" u="1"/>
        <n v="0.94575462991026193" u="1"/>
        <n v="1.0518696250927619" u="1"/>
        <n v="1.0630396245856564" u="1"/>
        <n v="1.0909646233178933" u="1"/>
        <n v="0.92038592195616664" u="1"/>
        <n v="0.93015967151244938" u="1"/>
        <n v="0.95459404540315662" u="1"/>
        <n v="0.91817344250370747" u="1"/>
        <n v="0.92724906709168453" u="1"/>
        <n v="0.94993812856162696" u="1"/>
        <n v="1.0089296883834771" u="1"/>
        <n v="1.0180053129714541" u="1"/>
        <n v="1.0406943744413966" u="1"/>
        <n v="0.93178687938567317" u="1"/>
        <n v="0.94086250397365001" u="1"/>
        <n v="0.96355156544359233" u="1"/>
        <n v="1.0225431252654427" u="1"/>
        <n v="1.0316187498534197" u="1"/>
        <n v="1.0543078113233622" u="1"/>
        <n v="1.0724590604993163" u="1"/>
        <n v="1.1042237465572355" u="1"/>
        <n v="0.89883643111332767" u="1"/>
        <n v="0.90833093068228821" u="1"/>
        <n v="0.93206717960468943" u="1"/>
        <n v="0.9368144293891697" u="1"/>
        <n v="0.94630892895813035" u="1"/>
        <n v="0.97004517788053157" u="1"/>
        <n v="0.91782543025124874" u="1"/>
        <n v="0.92731992982020928" u="1"/>
        <n v="0.9510561787426105" u="1"/>
        <n v="0.979539677449492" u="1"/>
        <n v="1.0032759263718933" u="1"/>
        <n v="0.86560568262196602" u="1"/>
        <n v="0.88934193154436725" u="1"/>
        <n v="0.96055067831157093" u="1"/>
        <n v="1.1599351692597419" u="1"/>
        <n v="1.5681986507250441" u="1"/>
        <n v="0.95901375314960391" u="1"/>
        <n v="0.89094656873977673" u="1"/>
        <n v="1.0270809375594312" u="1"/>
        <n v="1.2786164138717484" u="1"/>
        <n v="1.2548801649493471" u="1"/>
        <n v="1.3972976584837551" u="1"/>
        <n v="1.7011216446904911" u="1"/>
        <n v="1.6299128979232873" u="1"/>
        <n v="1.6061766490008862" u="1"/>
        <n v="1.3735614095613535" u="1"/>
        <n v="1.4922426541733596" u="1"/>
        <n v="1.755579593145129" u="1"/>
        <n v="1.5601046020194715" u="1"/>
        <n v="1.5880296007517085" u="1"/>
        <n v="1.5489346025265771" u="1"/>
        <n v="0.89753050585680327" u="1"/>
        <n v="1.0086950610469283" u="1"/>
        <n v="0.76875776510001115" u="1"/>
        <n v="1.0030103648790269" u="1"/>
        <n v="0.84131460977778993" u="1"/>
        <n v="0.70851435827408427" u="1"/>
        <n v="0.68712568894235571" u="1"/>
        <n v="0.88976514656608707" u="1"/>
        <n v="0.79457490923457941" u="1"/>
        <n v="1.2216494164579854" u="1"/>
        <n v="1.2453856653803863" u="1"/>
        <n v="1.2691219143027879" u="1"/>
        <n v="1.30709991257863" u="1"/>
        <n v="2.1062797874882535" u="1"/>
        <n v="2.1429313483243151" u="1"/>
        <n v="2.1795829091603753" u="1"/>
        <n v="2.2382254064980729" u="1"/>
        <n v="1.1060871635255412" u="1"/>
        <n v="1.1305215374162483" u="1"/>
        <n v="1.1549559113069561" u="1"/>
        <n v="1.1940509095320873" u="1"/>
        <n v="1.1169317214437913" u="1"/>
        <n v="1.1417151578186515" u="1"/>
        <n v="1.1664985941935118" u="1"/>
        <n v="1.206152092393288" u="1"/>
        <n v="1.1745034104195216" u="1"/>
        <n v="1.1989377843102287" u="1"/>
        <n v="1.2380327825353603" u="1"/>
        <n v="1.1793902851976628" u="1"/>
        <n v="1.2184852834227944" u="1"/>
        <n v="1.1172099211994198" u="1"/>
        <n v="1.164682419044222" u="1"/>
        <n v="1.2026604173200641" u="1"/>
        <n v="1.1836714181821431" u="1"/>
        <n v="1.2074076671045444" u="1"/>
        <n v="1.231143916026946" u="1"/>
        <n v="1.2038246590883703" u="1"/>
        <n v="1.2282590329790775" u="1"/>
        <n v="1.2526934068697846" u="1"/>
        <n v="1.291788405094916" u="1"/>
        <n v="1.1632153063790855" u="1"/>
        <n v="1.1859043678490284" u="1"/>
        <n v="1.222206866200936" u="1"/>
        <n v="1.3259965285419064" u="1"/>
        <n v="1.1779016520864063" u="1"/>
        <n v="1.1879546516300119" u="1"/>
        <n v="1.2130871504890246" u="1"/>
        <n v="1.2532991486634457" u="1"/>
        <n v="1.1468146207823668" u="1"/>
        <n v="1.0963134139692583" u="1"/>
        <n v="1.2417596164719717" u="1"/>
        <n v="1.6997295956806557" u="1"/>
        <n v="1.0934736722770184" u="1"/>
        <n v="0.57946472832779516" u="1"/>
        <n v="1.3450779108544717" u="1"/>
        <n v="0.57538208979217698" u="1"/>
        <n v="0.56421538458715059" u="1"/>
        <n v="0.39282532263337466" u="1"/>
        <n v="0.4874499319777848" u="1"/>
        <n v="1.1790116435976632" u="1"/>
        <n v="1.1410336453218211" u="1"/>
        <n v="1.6383975104697348" u="1"/>
        <n v="2.1131224889177607" u="1"/>
        <n v="1.4429225193440769" u="1"/>
        <n v="1.3870725218796038" u="1"/>
        <n v="1.487602517315656" u="1"/>
        <n v="0.52927691460976889" u="1"/>
        <n v="0.45113577519120002" u="1"/>
        <n v="1.3535625234009194" u="1"/>
        <n v="1.6328125107232876" u="1"/>
        <n v="0.87160722217475195" u="1"/>
        <n v="0.89115472128731787" u="1"/>
        <n v="0.94491034384687367" u="1"/>
        <n v="1.0182134655189952" u="1"/>
        <n v="1.1648197088632386" u="1"/>
        <n v="0.94002346906873224" u="1"/>
        <n v="0.78001751262828711" u="1"/>
        <n v="0.85191103255556788" u="1"/>
        <n v="0.72773533964750114" u="1"/>
        <n v="0.81875012714815987" u="1"/>
        <n v="0.89123000328890178" u="1"/>
        <n v="0.70125524503720538" u="1"/>
        <n v="0.75953471982717147" u="1"/>
        <n v="0.78845632701304569" u="1"/>
        <n v="0.72720301037223256" u="1"/>
        <n v="0.7309634123197345" u="1"/>
        <n v="0.83538675693683939" u="1"/>
        <n v="0.91744265044445772" u="1"/>
        <n v="0.69562936878069959" u="1"/>
        <n v="0.69025248528087391" u="1"/>
        <n v="0.55930679186667476" u="1"/>
        <n v="0.52496978938921346" u="1"/>
        <n v="0.71250699755021718" u="1"/>
        <n v="0.75164078982717153" u="1"/>
        <n v="0.85615922311470727" u="1"/>
        <n v="0.74913932022536878" u="1"/>
        <n v="0.66749998749817041" u="1"/>
        <n v="1.117570088018637" u="1"/>
        <n v="1.2035370178662246" u="1"/>
        <n v="9.7216158404816255" u="1"/>
        <n v="0.48632592100202288" u="1"/>
        <n v="0.40527160083501906" u="1"/>
        <n v="1.0287324454477356" u="1"/>
        <n v="1.0002489467408537" u="1"/>
        <n v="1.004996196525334" u="1"/>
        <n v="1.0097434463098143" u="1"/>
        <n v="1.019237945878775" u="1"/>
        <n v="1.0382269450166961" u="1"/>
        <n v="1.0524686943701367" u="1"/>
        <n v="1.0762049432925378" u="1"/>
        <n v="0.9622709484650116" u="1"/>
        <n v="0.97176544803397236" u="1"/>
        <n v="0.98600719738741294" u="1"/>
        <n v="0.92337162623988034" u="1"/>
        <n v="0.93342462578348551" u="1"/>
        <n v="0.94850412509889337" u="1"/>
        <n v="0.9736366239579064" u="1"/>
        <n v="0.84396679184032775" u="1"/>
        <n v="0.85374054139661049" u="1"/>
        <n v="0.86840116573103476" u="1"/>
        <n v="0.89283553962174211" u="1"/>
        <n v="0.83409520428404471" u="1"/>
        <n v="0.84358970385300525" u="1"/>
        <n v="0.85783145320644605" u="1"/>
        <n v="0.8815677021288475" u="1"/>
        <n v="0.86257870299092654" u="1"/>
        <n v="0.87207320255988696" u="1"/>
        <n v="0.88631495191332754" u="1"/>
        <n v="0.91005120083572877" u="1"/>
        <n v="0.96065812903156922" u="1"/>
        <n v="0.96973375361954617" u="1"/>
        <n v="0.98334719050151187" u="1"/>
        <n v="1.0060362519714541" u="1"/>
        <n v="1.033263125735385" u="1"/>
        <n v="1.0423387503233623" u="1"/>
        <n v="1.0559521872053275" u="1"/>
        <n v="1.0786412486752701" u="1"/>
        <n v="1.1474136900597418" u="1"/>
        <n v="1.2102734652326299" u="1"/>
        <n v="1.1767634667539455" u="1"/>
        <n v="1.1823484665003929" u="1"/>
        <n v="1.1879334662468404" u="1"/>
        <n v="1.1991034657397353" u="1"/>
        <n v="1.2214434647255248" u="1"/>
        <n v="1.2381984639648667" u="1"/>
        <n v="1.2661234626971032" u="1"/>
        <n v="1.1406098609091433" u="1"/>
        <n v="1.1496854854971201" u="1"/>
        <n v="1.1723745469670626" u="1"/>
        <n v="1.2313661067889132" u="1"/>
        <n v="1.2404417313768898" u="1"/>
        <n v="1.2631307928468321" u="1"/>
        <n v="1.0498536150293734" u="1"/>
        <n v="1.0589292396173506" u="1"/>
        <n v="1.0816183010872931" u="1"/>
        <n v="1.0719690880785513" u="1"/>
        <n v="1.0573084637441268" u="1"/>
        <n v="1.0670822133004096" u="1"/>
        <n v="1.091516587191117" u="1"/>
        <n v="0.94585754191026195" u="1"/>
        <n v="1.051972537092762" u="1"/>
        <n v="1.0631425365856564" u="1"/>
        <n v="1.0910675353178931" u="1"/>
        <n v="0.92047596995616665" u="1"/>
        <n v="0.93024971951244939" u="1"/>
        <n v="0.95468409340315652" u="1"/>
        <n v="0.91825705850370754" u="1"/>
        <n v="0.9273326830916846" u="1"/>
        <n v="0.95002174456162702" u="1"/>
        <n v="1.009013304383477" u="1"/>
        <n v="1.0180889289714541" u="1"/>
        <n v="1.0407779904413965" u="1"/>
        <n v="0.93187049538567301" u="1"/>
        <n v="0.94094611997364996" u="1"/>
        <n v="0.96363518144359239" u="1"/>
        <n v="1.0226267412654428" u="1"/>
        <n v="1.0317023658534197" u="1"/>
        <n v="1.0543914273233623" u="1"/>
        <n v="1.0725426764993162" u="1"/>
        <n v="1.1043073625572353" u="1"/>
        <n v="0.89892390631332764" u="1"/>
        <n v="0.90841840588228817" u="1"/>
        <n v="0.93215465480468929" u="1"/>
        <n v="0.93690190458916967" u="1"/>
        <n v="0.94639640415813031" u="1"/>
        <n v="0.97013265308053154" u="1"/>
        <n v="0.91791290545124871" u="1"/>
        <n v="0.92740740502020924" u="1"/>
        <n v="0.95114365394261047" u="1"/>
        <n v="0.97962715264949196" u="1"/>
        <n v="1.0033634015718933" u="1"/>
        <n v="0.86569315782196599" u="1"/>
        <n v="0.88942940674436721" u="1"/>
        <n v="0.96063815351157089" u="1"/>
        <n v="1.1600226444597419" u="1"/>
        <n v="1.5682861259250442" u="1"/>
        <n v="0.95909736914960397" u="1"/>
        <n v="0.89103018473977658" u="1"/>
        <n v="1.0271645535594311" u="1"/>
        <n v="1.2787038890717486" u="1"/>
        <n v="1.2549676401493473" u="1"/>
        <n v="1.3973851336837553" u="1"/>
        <n v="1.7012091198904911" u="1"/>
        <n v="1.6300003731232875" u="1"/>
        <n v="1.6062641242008864" u="1"/>
        <n v="1.3736488847613535" u="1"/>
        <n v="1.4923301293733597" u="1"/>
        <n v="1.755682505145129" u="1"/>
        <n v="1.5602075140194716" u="1"/>
        <n v="1.5881325127517087" u="1"/>
        <n v="1.5490375145265771" u="1"/>
        <n v="0.72793409433546219" u="1"/>
        <n v="0.89754621385680311" u="1"/>
        <n v="0.83192467924052826" u="1"/>
        <n v="1.0087130130469282" u="1"/>
        <n v="0.63655766808738834" u="1"/>
        <n v="0.76877235110001096" u="1"/>
        <n v="1.0292631079302712" u="1"/>
        <n v="1.0030283168790268" u="1"/>
        <n v="0.84133076657778982" u="1"/>
        <n v="0.72490477635118988" u="1"/>
        <n v="0.7085300662740841" u="1"/>
        <n v="0.64614250876010826" u="1"/>
        <n v="0.68714139694235554" u="1"/>
        <n v="0.83956044923835549" u="1"/>
        <n v="0.88978040576608697" u="1"/>
        <n v="0.72184980756377204" u="1"/>
        <n v="0.7945901684345793" u="1"/>
        <n v="0.75188813134575805" u="1"/>
        <n v="1.2217368916579852" u="1"/>
        <n v="1.2454731405803865" u="1"/>
        <n v="1.2692093895027878" u="1"/>
        <n v="1.30718738777863" u="1"/>
        <n v="2.1064148594882539" u="1"/>
        <n v="2.143066420324315" u="1"/>
        <n v="2.1797179811603757" u="1"/>
        <n v="2.2383604784980733" u="1"/>
        <n v="1.1061772115255413" u="1"/>
        <n v="1.1306115854162484" u="1"/>
        <n v="1.155045959306956" u="1"/>
        <n v="1.1941409575320872" u="1"/>
        <n v="1.1170230558437915" u="1"/>
        <n v="1.1418064922186515" u="1"/>
        <n v="1.1665899285935117" u="1"/>
        <n v="1.2062434267932878" u="1"/>
        <n v="1.1745934584195217" u="1"/>
        <n v="1.1990278323102286" u="1"/>
        <n v="1.23812283053536" u="1"/>
        <n v="1.1794803331976629" u="1"/>
        <n v="1.2185753314227945" u="1"/>
        <n v="1.1172973963994197" u="1"/>
        <n v="1.1647698942442219" u="1"/>
        <n v="1.2027478925200641" u="1"/>
        <n v="1.1837588933821432" u="1"/>
        <n v="1.2074951423045444" u="1"/>
        <n v="1.2312313912269457" u="1"/>
        <n v="1.2039147070883702" u="1"/>
        <n v="1.2283490809790774" u="1"/>
        <n v="1.2527834548697843" u="1"/>
        <n v="1.2918784530949161" u="1"/>
        <n v="1.1632989223790855" u="1"/>
        <n v="1.1859879838490281" u="1"/>
        <n v="1.2222904822009362" u="1"/>
        <n v="1.3260865765419065" u="1"/>
        <n v="1.1779942728864063" u="1"/>
        <n v="1.1880472724300117" u="1"/>
        <n v="1.2131797712890247" u="1"/>
        <n v="1.2533917694634458" u="1"/>
        <n v="1.1469175327823669" u="1"/>
        <n v="1.0964034619692582" u="1"/>
        <n v="1.2418625284719718" u="1"/>
        <n v="1.699832507680656" u="1"/>
        <n v="1.0935611474770184" u="1"/>
        <n v="0.57954191232779528" u="1"/>
        <n v="1.3451653860544719" u="1"/>
        <n v="0.57540815645884358" u="1"/>
        <n v="0.56424145125381731" u="1"/>
        <n v="0.3928448726333747" u="1"/>
        <n v="0.48746002997778481" u="1"/>
        <n v="1.1949108998711058" u="1"/>
        <n v="1.1564137422067431" u="1"/>
        <n v="1.6605381314507597" u="1"/>
        <n v="2.1417526022552926" u="1"/>
        <n v="1.4623909964135986" u="1"/>
        <n v="1.4057775292601242" u="1"/>
        <n v="1.5076817701363785" u="1"/>
        <n v="0.53631992249080174" u="1"/>
        <n v="0.45714262832699537" u="1"/>
        <n v="1.3718094489680399" u="1"/>
        <n v="1.6548767847354124" u="1"/>
        <n v="0.88329785178757758" u="1"/>
        <n v="0.9031125652912938" u="1"/>
        <n v="0.95760302742651282" u="1"/>
        <n v="1.0319082030654481" u="1"/>
        <n v="1.1805185543433185" u="1"/>
        <n v="0.95264934905058374" u="1"/>
        <n v="0.79327874685771615" u="1"/>
        <n v="0.86327609363998259" u="1"/>
        <n v="0.74006715404204726" u="1"/>
        <n v="0.82964892931629097" u="1"/>
        <n v="0.90311960565413563" u="1"/>
        <n v="0.71314124016136027" u="1"/>
        <n v="0.76963699634665117" u="1"/>
        <n v="0.80186490828946866" u="1"/>
        <n v="0.73686331229398527" u="1"/>
        <n v="0.74334056426720174" u="1"/>
        <n v="0.84953207344823056" u="1"/>
        <n v="0.92968194699690432" u="1"/>
        <n v="0.70741713254019223" u="1"/>
        <n v="0.69940767337665255" u="1"/>
        <n v="0.56665036979814243" u="1"/>
        <n v="0.53375016213827142" u="1"/>
        <n v="0.72458945540369701" u="1"/>
        <n v="0.76174306634665123" u="1"/>
        <n v="0.87066724004946738" u="1"/>
        <n v="0.76183383504328395" u="1"/>
        <n v="0.67879659443435081" u="1"/>
        <n v="1.1367252041278124" u="1"/>
        <n v="1.2241656044453364" u="1"/>
        <n v="9.854208219799796" u="1"/>
        <n v="0.4944866805278253" u="1"/>
        <n v="0.41207223377318775" u="1"/>
        <n v="1.0425773844806483" u="1"/>
        <n v="1.0137045162323761" u="1"/>
        <n v="1.0185166609404215" u="1"/>
        <n v="1.0233288056484668" u="1"/>
        <n v="1.0329530950645576" u="1"/>
        <n v="1.0522016738967388" u="1"/>
        <n v="1.0666381080208749" u="1"/>
        <n v="1.0906988315611015" u="1"/>
        <n v="0.97520735856801366" u="1"/>
        <n v="0.98483164798410427" u="1"/>
        <n v="0.99926808210824025" u="1"/>
        <n v="0.93576346847486735" u="1"/>
        <n v="0.94595389256249263" u="1"/>
        <n v="0.96123952869393081" u="1"/>
        <n v="0.98671558891299416" u="1"/>
        <n v="0.85527957665979049" u="1"/>
        <n v="0.86518693341164865" u="1"/>
        <n v="0.88004796853943568" u="1"/>
        <n v="0.90481636041908076" u="1"/>
        <n v="0.84527945145078964" u="1"/>
        <n v="0.85490374086688037" u="1"/>
        <n v="0.86934017499101635" u="1"/>
        <n v="0.89340089853124305" u="1"/>
        <n v="0.87415231969906182" u="1"/>
        <n v="0.88377660911515243" u="1"/>
        <n v="0.8982130432392883" u="1"/>
        <n v="0.92227376677951489" u="1"/>
        <n v="0.97358210236952059" u="1"/>
        <n v="0.98278179078196015" u="1"/>
        <n v="0.99658132340061967" u="1"/>
        <n v="1.0195805444317185" u="1"/>
        <n v="1.0471796096690373" u="1"/>
        <n v="1.0563792980814772" u="1"/>
        <n v="1.0701788307001365" u="1"/>
        <n v="1.0931780517312355" u="1"/>
        <n v="1.1628810021817817" u="1"/>
        <n v="1.2265616288007626" u="1"/>
        <n v="1.1925935485086778" u="1"/>
        <n v="1.1982548952240253" u="1"/>
        <n v="1.203916241939373" u="1"/>
        <n v="1.2152389353700677" u="1"/>
        <n v="1.2378843222314575" u="1"/>
        <n v="1.2548683623774997" u="1"/>
        <n v="1.283175095954237" u="1"/>
        <n v="1.1559937751425102" u="1"/>
        <n v="1.1651934635549499" u="1"/>
        <n v="1.1881926845860489" u="1"/>
        <n v="1.2479906592669066" u="1"/>
        <n v="1.257190347679346" u="1"/>
        <n v="1.280189568710445" u="1"/>
        <n v="1.0639968910181143" u="1"/>
        <n v="1.0731965794305538" u="1"/>
        <n v="1.096195800461653" u="1"/>
        <n v="1.0863986652006674" u="1"/>
        <n v="1.0715376300728801" u="1"/>
        <n v="1.0814449868247382" u="1"/>
        <n v="1.1062133787043833" u="1"/>
        <n v="0.95853113874767581" u="1"/>
        <n v="1.0660967263392775" u="1"/>
        <n v="1.0774194197699725" u="1"/>
        <n v="1.1057261533467095" u="1"/>
        <n v="0.93283463554686774" u="1"/>
        <n v="0.94274199229872591" u="1"/>
        <n v="0.96751038417837087" u="1"/>
        <n v="0.93060140903774002" u="1"/>
        <n v="0.93980109745017959" u="1"/>
        <n v="0.96280031848127867" u="1"/>
        <n v="1.022598293162136" u="1"/>
        <n v="1.0317979815745757" u="1"/>
        <n v="1.0547972026056749" u="1"/>
        <n v="0.94440094165639954" u="1"/>
        <n v="0.95360063006883911" u="1"/>
        <n v="0.97659985109993797" u="1"/>
        <n v="1.0363978257807955" u="1"/>
        <n v="1.0455975141932352" u="1"/>
        <n v="1.0685967352243344" u="1"/>
        <n v="1.0869961120492133" u="1"/>
        <n v="1.119195021492752" u="1"/>
        <n v="0.91099436209643114" u="1"/>
        <n v="0.92061865151252187" u="1"/>
        <n v="0.94467937505274846" u="1"/>
        <n v="0.94949151976079371" u="1"/>
        <n v="0.95911580917688444" u="1"/>
        <n v="0.98317653271711103" u="1"/>
        <n v="0.93024294092861237" u="1"/>
        <n v="0.9398672303447031" u="1"/>
        <n v="0.96392795388492969" u="1"/>
        <n v="0.99280082213320175" u="1"/>
        <n v="1.0168615456734285" u="1"/>
        <n v="0.87730934914011394" u="1"/>
        <n v="0.90137007268034042" u="1"/>
        <n v="0.9735522433010203" u="1"/>
        <n v="1.1756623210389245" u="1"/>
        <n v="1.5895067659308229" u="1"/>
        <n v="0.97200000689371835" u="1"/>
        <n v="0.90300234380042133" u="1"/>
        <n v="1.0409976699870154" u="1"/>
        <n v="1.2959659387400575" u="1"/>
        <n v="1.2719052151998311" u="1"/>
        <n v="1.4162695564411913" u="1"/>
        <n v="1.7242468177560919" u="1"/>
        <n v="1.6520646471354119" u="1"/>
        <n v="1.6280039235951853" u="1"/>
        <n v="1.3922088329009643" u="1"/>
        <n v="1.5125124506020975" u="1"/>
        <n v="1.7794264124730557" u="1"/>
        <n v="1.581279277435895" u="1"/>
        <n v="1.6095860110126328" u="1"/>
        <n v="1.5699565840052008" u="1"/>
        <n v="0.7402583524711881" u="1"/>
        <n v="0.90951352604141744" u="1"/>
        <n v="0.84600954568135778" u="1"/>
        <n v="1.0221568117997744" u="1"/>
        <n v="0.64731400251792515" u="1"/>
        <n v="0.77900090607598438" u="1"/>
        <n v="1.0467936283931063" u="1"/>
        <n v="1.0163944058124921" u="1"/>
        <n v="0.85252098056859815" u="1"/>
        <n v="0.73717614067517434" u="1"/>
        <n v="0.71791352696429311" u="1"/>
        <n v="0.65703863397881868" u="1"/>
        <n v="0.69623247443714509" u="1"/>
        <n v="0.85384480091203807" u="1"/>
        <n v="0.90165019212737862" u="1"/>
        <n v="0.73407885683836349" u="1"/>
        <n v="0.80515870387034272" u="1"/>
        <n v="0.76465820875187485" u="1"/>
        <n v="1.2382202022435138" u="1"/>
        <n v="1.2622809257837402" u="1"/>
        <n v="1.286341649323967" u="1"/>
        <n v="1.3248388069883297" u="1"/>
        <n v="2.1348731921457604" u="1"/>
        <n v="2.1720257799652285" u="1"/>
        <n v="2.2091783677846961" u="1"/>
        <n v="2.2686225082958442" u="1"/>
        <n v="1.1210744138321702" u="1"/>
        <n v="1.1458428057118155" u="1"/>
        <n v="1.1706111975914606" u="1"/>
        <n v="1.2102406245988928" u="1"/>
        <n v="1.1320653173913304" u="1"/>
        <n v="1.1571875434406849" u="1"/>
        <n v="1.1823097694900391" u="1"/>
        <n v="1.2225053311690059" u="1"/>
        <n v="1.1904259110951767" u="1"/>
        <n v="1.2151943029748216" u="1"/>
        <n v="1.2548237299822538" u="1"/>
        <n v="1.1953795894711057" u="1"/>
        <n v="1.2350090164785377" u="1"/>
        <n v="1.1323530186665165" u="1"/>
        <n v="1.1804744657469697" u="1"/>
        <n v="1.2189716234113321" u="1"/>
        <n v="1.1997230445791509" u="1"/>
        <n v="1.2237837681193775" u="1"/>
        <n v="1.2478444916596043" u="1"/>
        <n v="1.2201479813507508" u="1"/>
        <n v="1.2449163732303958" u="1"/>
        <n v="1.2696847651100409" u="1"/>
        <n v="1.3093141921174731" u="1"/>
        <n v="1.1789929961736094" u="1"/>
        <n v="1.2019922172047084" u="1"/>
        <n v="1.2387909708544669" u="1"/>
        <n v="1.3439899407489764" u="1"/>
        <n v="1.1938668077207342" u="1"/>
        <n v="1.2040572318083593" u="1"/>
        <n v="1.2295332920274231" u="1"/>
        <n v="1.2702949883779246" u="1"/>
        <n v="1.1623396205001839" u="1"/>
        <n v="1.1111670570803123" u="1"/>
        <n v="1.2585825146610905" u="1"/>
        <n v="1.7228129453195811" u="1"/>
        <n v="1.1082922951262897" u="1"/>
        <n v="0.58727204292892887" u="1"/>
        <n v="1.3633359646526924" u="1"/>
        <n v="0.58788408866638453" u="1"/>
        <n v="0.57646196173736375" u="1"/>
        <n v="0.40131635981251684" u="1"/>
        <n v="0.49392937244122076" u="1"/>
        <n v="1.1950261190711058" u="1"/>
        <n v="1.1565289614067433" u="1"/>
        <n v="1.6606736834507596" u="1"/>
        <n v="2.1418881542552928" u="1"/>
        <n v="1.4625265484135985" u="1"/>
        <n v="1.4059130812601244" u="1"/>
        <n v="1.5078173221363782" u="1"/>
        <n v="0.53642158649080185" u="1"/>
        <n v="0.45722734832699524" u="1"/>
        <n v="1.3719450009680398" u="1"/>
        <n v="1.6550123367354121" u="1"/>
        <n v="0.88341645978757755" u="1"/>
        <n v="0.90323117329129377" u="1"/>
        <n v="0.95772163542651279" u="1"/>
        <n v="1.032026811065448" u="1"/>
        <n v="1.1806371623433187" u="1"/>
        <n v="0.9527679570505837" u="1"/>
        <n v="0.79344777285771617" u="1"/>
        <n v="0.86344511963998261" u="1"/>
        <n v="0.74024398124204727" u="1"/>
        <n v="0.82982575651629109" u="1"/>
        <n v="0.90329643285413563" u="1"/>
        <n v="0.7133102661613604" u="1"/>
        <n v="0.76980602234665119" u="1"/>
        <n v="0.80203393428946868" u="1"/>
        <n v="0.73703233829398518" u="1"/>
        <n v="0.74352259226720185" u="1"/>
        <n v="0.84974010544823064" u="1"/>
        <n v="0.92986397499690432" u="1"/>
        <n v="0.70758615854019224" u="1"/>
        <n v="0.69957669937665257" u="1"/>
        <n v="0.56683239779814254" u="1"/>
        <n v="0.53393219013827142" u="1"/>
        <n v="0.72475848140369703" u="1"/>
        <n v="0.76184708234665144" u="1"/>
        <n v="0.87087527204946735" u="1"/>
        <n v="0.76201586304328395" u="1"/>
        <n v="0.67896562043435071" u="1"/>
        <n v="1.1368942301278124" u="1"/>
        <n v="1.2243476324453364" u="1"/>
        <n v="9.8543902477997953" u="1"/>
        <n v="0.49464270452782522" u="1"/>
        <n v="0.4122022537731877" u="1"/>
        <n v="1.0426926036806483" u="1"/>
        <n v="1.0138197354323761" u="1"/>
        <n v="1.0186318801404215" u="1"/>
        <n v="1.0234440248484669" u="1"/>
        <n v="1.0330683142645576" u="1"/>
        <n v="1.0523168930967388" u="1"/>
        <n v="1.0667533272208749" u="1"/>
        <n v="1.0908140507611015" u="1"/>
        <n v="0.97532257776801368" u="1"/>
        <n v="0.98494686718410418" u="1"/>
        <n v="0.99938330130824027" u="1"/>
        <n v="0.93588546527486716" u="1"/>
        <n v="0.94607588936249265" u="1"/>
        <n v="0.96136152549393072" u="1"/>
        <n v="0.98683758571299418" u="1"/>
        <n v="0.85539818465979056" u="1"/>
        <n v="0.86530554141164862" u="1"/>
        <n v="0.88016657653943564" u="1"/>
        <n v="0.90493496841908072" u="1"/>
        <n v="0.84539467065078966" u="1"/>
        <n v="0.85501896006688038" u="1"/>
        <n v="0.86945539419101625" u="1"/>
        <n v="0.89351611773124306" u="1"/>
        <n v="0.87426753889906161" u="1"/>
        <n v="0.88389182831515234" u="1"/>
        <n v="0.89832826243928832" u="1"/>
        <n v="0.92238898597951491" u="1"/>
        <n v="0.97369223836952057" u="1"/>
        <n v="0.98289192678196013" u="1"/>
        <n v="0.99669145940061965" u="1"/>
        <n v="1.0196906804317187" u="1"/>
        <n v="1.0472897456690375" u="1"/>
        <n v="1.056489434081477" u="1"/>
        <n v="1.0702889667001363" u="1"/>
        <n v="1.0932881877312357" u="1"/>
        <n v="1.1629962213817815" u="1"/>
        <n v="1.2266971808007625" u="1"/>
        <n v="1.192729100508678" u="1"/>
        <n v="1.1983904472240252" u="1"/>
        <n v="1.2040517939393729" u="1"/>
        <n v="1.2153744873700676" u="1"/>
        <n v="1.2380198742314574" u="1"/>
        <n v="1.2550039143774998" u="1"/>
        <n v="1.2833106479542369" u="1"/>
        <n v="1.1561039111425102" u="1"/>
        <n v="1.1653035995549499" u="1"/>
        <n v="1.1883028205860489" u="1"/>
        <n v="1.2481007952669065" u="1"/>
        <n v="1.257300483679346" u="1"/>
        <n v="1.2802997047104447" u="1"/>
        <n v="1.0641070270181145" u="1"/>
        <n v="1.073306715430554" u="1"/>
        <n v="1.096305936461653" u="1"/>
        <n v="1.0865172732006672" u="1"/>
        <n v="1.07165623807288" u="1"/>
        <n v="1.0815635948247382" u="1"/>
        <n v="1.1063319867043833" u="1"/>
        <n v="0.95866669074767585" u="1"/>
        <n v="1.0662322783392775" u="1"/>
        <n v="1.0775549717699724" u="1"/>
        <n v="1.1058617053467095" u="1"/>
        <n v="0.93295324354686782" u="1"/>
        <n v="0.94286060029872587" u="1"/>
        <n v="0.96762899217837084" u="1"/>
        <n v="0.93071154503774001" u="1"/>
        <n v="0.93991123345017968" u="1"/>
        <n v="0.96291045448127865" u="1"/>
        <n v="1.022708429162136" u="1"/>
        <n v="1.0319081175745757" u="1"/>
        <n v="1.0549073386056746" u="1"/>
        <n v="0.94451107765639952" u="1"/>
        <n v="0.95371076606883909" u="1"/>
        <n v="0.97670998709993795" u="1"/>
        <n v="1.0365079617807957" u="1"/>
        <n v="1.0457076501932354" u="1"/>
        <n v="1.0687068712243342" u="1"/>
        <n v="1.0871062480492135" u="1"/>
        <n v="1.1193051574927519" u="1"/>
        <n v="0.91110958129643116" u="1"/>
        <n v="0.92073387071252188" u="1"/>
        <n v="0.94479459425274848" u="1"/>
        <n v="0.94960673896079373" u="1"/>
        <n v="0.95923102837688445" u="1"/>
        <n v="0.98329175191711105" u="1"/>
        <n v="0.93035816012861239" u="1"/>
        <n v="0.93998244954470311" u="1"/>
        <n v="0.96404317308492971" u="1"/>
        <n v="0.99291604133320166" u="1"/>
        <n v="1.0169767648734283" u="1"/>
        <n v="0.87742456834011395" u="1"/>
        <n v="0.90148529188034054" u="1"/>
        <n v="0.97366746250102032" u="1"/>
        <n v="1.1757775402389243" u="1"/>
        <n v="1.5896219851308226" u="1"/>
        <n v="0.97211014289371822" u="1"/>
        <n v="0.90311247980042131" u="1"/>
        <n v="1.0411078059870154" u="1"/>
        <n v="1.2960811579400575" u="1"/>
        <n v="1.2720204343998309" u="1"/>
        <n v="1.4163847756411911" u="1"/>
        <n v="1.7243620369560919" u="1"/>
        <n v="1.6521798663354117" u="1"/>
        <n v="1.6281191427951853" u="1"/>
        <n v="1.3923240521009641" u="1"/>
        <n v="1.5126276698020973" u="1"/>
        <n v="1.7795619644730556" u="1"/>
        <n v="1.5814148294358947" u="1"/>
        <n v="1.6097215630126325" u="1"/>
        <n v="1.5700921360052007" u="1"/>
        <n v="0.7404403804711881" u="1"/>
        <n v="0.90969555404141744" u="1"/>
        <n v="0.84621757768135786" u="1"/>
        <n v="1.0223648437997743" u="1"/>
        <n v="0.64748302851792516" u="1"/>
        <n v="0.77916993207598439" u="1"/>
        <n v="1.0470016603931063" u="1"/>
        <n v="1.0166024378124923" u="1"/>
        <n v="0.85270820936859826" u="1"/>
        <n v="0.73735816867517434" u="1"/>
        <n v="0.71809555496429311" u="1"/>
        <n v="0.65722066197881879" u="1"/>
        <n v="0.69641450243714509" u="1"/>
        <n v="0.85402162811203808" u="1"/>
        <n v="0.90182701932737863" u="1"/>
        <n v="0.7342556840383635" u="1"/>
        <n v="0.80533553107034273" u="1"/>
        <n v="0.76482723475187486" u="1"/>
        <n v="1.2383354214435136" u="1"/>
        <n v="1.2623961449837402" u="1"/>
        <n v="1.2864568685239668" u="1"/>
        <n v="1.3249540261883297" u="1"/>
        <n v="2.1350511041457603" u="1"/>
        <n v="2.1722036919652283" u="1"/>
        <n v="2.209356279784696" u="1"/>
        <n v="2.2688004202958441" u="1"/>
        <n v="1.1211930218321704" u="1"/>
        <n v="1.1459614137118155" u="1"/>
        <n v="1.1707298055914608" u="1"/>
        <n v="1.2103592325988928" u="1"/>
        <n v="1.1321856197913307" u="1"/>
        <n v="1.1573078458406849" u="1"/>
        <n v="1.1824300718900391" u="1"/>
        <n v="1.2226256335690058" u="1"/>
        <n v="1.1905445190951769" u="1"/>
        <n v="1.2153129109748217" u="1"/>
        <n v="1.2549423379822537" u="1"/>
        <n v="1.1954981974711056" u="1"/>
        <n v="1.2351276244785376" u="1"/>
        <n v="1.1324682378665163" u="1"/>
        <n v="1.1805896849469697" u="1"/>
        <n v="1.2190868426113324" u="1"/>
        <n v="1.1998382637791509" u="1"/>
        <n v="1.2238989873193775" u="1"/>
        <n v="1.2479597108596043" u="1"/>
        <n v="1.2202665893507509" u="1"/>
        <n v="1.2450349812303956" u="1"/>
        <n v="1.2698033731100407" u="1"/>
        <n v="1.3094328001174731" u="1"/>
        <n v="1.1791031321736092" u="1"/>
        <n v="1.2021023532047084" u="1"/>
        <n v="1.2389011068544666" u="1"/>
        <n v="1.3441085487489761" u="1"/>
        <n v="1.1939888045207341" u="1"/>
        <n v="1.2041792286083597" u="1"/>
        <n v="1.2296552888274228" u="1"/>
        <n v="1.2704169851779246" u="1"/>
        <n v="1.1624751725001841" u="1"/>
        <n v="1.1112856650803122" u="1"/>
        <n v="1.2587180666610907" u="1"/>
        <n v="1.722948497319581" u="1"/>
        <n v="1.1084075143262899" u="1"/>
        <n v="0.58737370692892887" u="1"/>
        <n v="1.3634511838526919" u="1"/>
        <n v="0.58818615533305119" u="1"/>
        <n v="0.57676402840403052" u="1"/>
        <n v="0.40154290981251689" u="1"/>
        <n v="1.2100359068740443" u="1"/>
        <n v="1.1660216983197045" u="1"/>
        <n v="1.6406864983226077" u="1"/>
        <n v="2.0699757842802975" u="1"/>
        <n v="1.4736944741935531" u="1"/>
        <n v="1.4118884885553946" u="1"/>
        <n v="1.5053548868940361" u="1"/>
        <n v="0.62317210670397161" u="1"/>
        <n v="0.48679787437577571" u="1"/>
        <n v="1.3452644542393366" u="1"/>
        <n v="1.4463422566583348" u="1"/>
        <n v="1.6464750971908779" u="1"/>
        <n v="0.89641861079275253" u="1"/>
        <n v="0.97609019457604262" u="1"/>
        <n v="1.0024297903602741" u="1"/>
        <n v="1.0279910107927526" u="1"/>
        <n v="1.221692007909376" u="1"/>
        <n v="0.88718618853157538" u="1"/>
        <n v="0.99804404369360755" u="1"/>
        <n v="1.1595634107927526" u="1"/>
        <n v="0.79143241979027013" u="1"/>
        <n v="0.86162783773606555" u="1"/>
        <n v="0.75620461035014241" u="1"/>
        <n v="0.82647376756558089" u="1"/>
        <n v="0.87878891844635987" u="1"/>
        <n v="0.73452602436531367" u="1"/>
        <n v="0.80981538186051083" u="1"/>
        <n v="0.73103686392654166" u="1"/>
        <n v="0.77696300415122144" u="1"/>
        <n v="0.77691506407556987" u="1"/>
        <n v="0.83506966131068228" u="1"/>
        <n v="0.7613054541112787" u="1"/>
        <n v="0.81488232416064565" u="1"/>
        <n v="0.73189495900336821" u="1"/>
        <n v="0.83748868211509275" u="1"/>
        <n v="0.74720007200905592" u="1"/>
        <n v="0.75314861460915405" u="1"/>
        <n v="0.74495872211792324" u="1"/>
        <n v="0.85138139670619795" u="1"/>
        <n v="0.91656801955280387" u="1"/>
        <n v="0.71488081627568445" u="1"/>
        <n v="0.69263865170840144" u="1"/>
        <n v="0.66249196534007615" u="1"/>
        <n v="0.63715635153443462" u="1"/>
        <n v="0.78389338646245077" u="1"/>
        <n v="0.73596624344433481" u="1"/>
        <n v="0.74937358698507084" u="1"/>
        <n v="0.93465992771607509" u="1"/>
        <n v="0.82110922961259092" u="1"/>
        <n v="0.74243953165283361" u="1"/>
        <n v="1.0737147155871301" u="1"/>
        <n v="1.1789827658434167" u="1"/>
        <n v="8.6856052658434155" u="1"/>
        <n v="0.56013088235123287" u="1"/>
        <n v="0.48638232524877467" u="1"/>
        <n v="1.0532887507716049" u="1"/>
        <n v="1.0304846385023076" u="1"/>
        <n v="1.0049530033154788" u="1"/>
        <n v="1.010316853112522" u="1"/>
        <n v="1.0215962577956057" u="1"/>
        <n v="1.0391897213607937" u="1"/>
        <n v="1.0530744503959319" u="1"/>
        <n v="1.0771351739361588" u="1"/>
        <n v="0.96881586710004097" u="1"/>
        <n v="0.9784401565161317" u="1"/>
        <n v="0.9939800008182631" u="1"/>
        <n v="1.0174890192694921" u="1"/>
        <n v="0.97598803325701133" u="1"/>
        <n v="0.98726743794009519" u="1"/>
        <n v="0.98404930921630429" u="1"/>
        <n v="1.0081100327565309" u="1"/>
        <n v="0.97378121290102038" u="1"/>
        <n v="0.97126799035916156" u="1"/>
        <n v="0.98680783466129296" u="1"/>
        <n v="1.0163856090914967" u="1"/>
        <n v="0.96988708998743245" u="1"/>
        <n v="1.0291468137553248" u="1"/>
        <n v="0.97316513368447044" u="1"/>
        <n v="0.9869580273129942" u="1"/>
        <n v="0.88447979783217023" u="1"/>
        <n v="0.91767235466378461" u="1"/>
        <n v="0.92798993611747305" u="1"/>
        <n v="0.96695662072867672" u="1"/>
        <n v="0.89571358414958135" u="1"/>
        <n v="0.9014759379426881" u="1"/>
        <n v="0.93080840946976207" u="1"/>
        <n v="0.98741973326085375" u="1"/>
        <n v="0.96210239844969769" u="1"/>
        <n v="0.96786475224280433" u="1"/>
        <n v="0.9536125217390593" u="1"/>
        <n v="0.98870734705924013" u="1"/>
        <n v="1.0028060540925618" u="1"/>
        <n v="1.0083141863947962" u="1"/>
        <n v="1.0231684493306572" u="1"/>
        <n v="1.0408940187757487" u="1"/>
        <n v="1.0916971509915006" u="1"/>
        <n v="1.0813843285357123" u="1"/>
        <n v="1.0962385914715733" u="1"/>
        <n v="1.1129094305994633" u="1"/>
        <n v="1.2470410447109799" u="1"/>
        <n v="1.199358442436206" u="1"/>
        <n v="1.2857028846588416" u="1"/>
        <n v="1.2443890382211715" u="1"/>
        <n v="1.2337169010625457" u="1"/>
        <n v="1.2387291829673077" u="1"/>
        <n v="1.2539439013017701" u="1"/>
        <n v="1.2844872934592666" u="1"/>
        <n v="1.2995241391735524" u="1"/>
        <n v="1.3245855486973617" u="1"/>
        <n v="1.0236471655356147" u="1"/>
        <n v="1.0232479199160283" u="1"/>
        <n v="1.0449493636308529" u="1"/>
        <n v="1.0529198055222115" u="1"/>
        <n v="1.1646504856801223" u="1"/>
        <n v="1.1770143650441665" u="1"/>
        <n v="1.2037051421854708" u="1"/>
        <n v="1.2592841955975225" u="1"/>
        <n v="1.2700659794857641" u="1"/>
        <n v="1.2946472959926654" u="1"/>
        <n v="1.1430285141774916" u="1"/>
        <n v="1.1538102980657334" u="1"/>
        <n v="1.1768095190968326" u="1"/>
        <n v="1.0710715060799243" u="1"/>
        <n v="1.0444103637075126" u="1"/>
        <n v="1.090086286558444" u="1"/>
        <n v="1.0642157590181143" u="1"/>
        <n v="1.0749975429063563" u="1"/>
        <n v="1.0995788594132576" u="1"/>
        <n v="1.0633491691209109" u="1"/>
        <n v="1.0774526511655036" u="1"/>
        <n v="1.0890638030451487" u="1"/>
        <n v="1.1138321949247938" u="1"/>
        <n v="1.087675421932226" u="1"/>
        <n v="1.0589634224542441" u="1"/>
        <n v="1.1075849461229081" u="1"/>
        <n v="0.99839346819339381" u="1"/>
        <n v="1.0968721484367978" u="1"/>
        <n v="1.1120892307310062" u="1"/>
        <n v="1.1254674736642758" u="1"/>
        <n v="1.1339053162018877" u="1"/>
        <n v="0.95976312988219814" u="1"/>
        <n v="0.97307807688963033" u="1"/>
        <n v="0.99216715167665182" u="1"/>
        <n v="1.0048841162992492" u="1"/>
        <n v="1.1033627965426533" u="1"/>
        <n v="1.1185798788368615" u="1"/>
        <n v="1.1001174724897256" u="1"/>
        <n v="0.95349697885757234" u="1"/>
        <n v="0.96586085822161649" u="1"/>
        <n v="0.97462121997049522" u="1"/>
        <n v="0.94875069243016563" u="1"/>
        <n v="0.95953247631840743" u="1"/>
        <n v="0.98411379282530875" u="1"/>
        <n v="1.0275634475895428" u="1"/>
        <n v="1.0383452314777846" u="1"/>
        <n v="1.061344452508884" u="1"/>
        <n v="0.96782387663483249" u="1"/>
        <n v="0.96647626187525704" u="1"/>
        <n v="0.98947548290635601" u="1"/>
        <n v="1.0450545363184076" u="1"/>
        <n v="1.0574184156824518" u="1"/>
        <n v="1.0703976987001365" u="1"/>
        <n v="1.0893244406836164" u="1"/>
        <n v="1.1001062245718585" u="1"/>
        <n v="1.1246875410787596" u="1"/>
        <n v="0.94432563703629357" u="1"/>
        <n v="0.95560504171937743" u="1"/>
        <n v="0.97966576525960425" u="1"/>
        <n v="0.98833984559063348" u="1"/>
        <n v="0.98527491795977673" u="1"/>
        <n v="1.0093356415000034" u="1"/>
        <n v="0.96522933113546805" u="1"/>
        <n v="0.97816385108554504" u="1"/>
        <n v="0.99229388302381283" u="1"/>
        <n v="1.0120941669449919" u="1"/>
        <n v="1.0233735716280756" u="1"/>
        <n v="1.0490894104352955" u="1"/>
        <n v="0.88195195945209548" u="1"/>
        <n v="0.90601268299232207" u="1"/>
        <n v="0.95557494496409578" u="1"/>
        <n v="0.88084854927410006" u="1"/>
        <n v="0.90325415754733362" u="1"/>
        <n v="0.9699192772780364" u="1"/>
        <n v="1.1449958056550527" u="1"/>
        <n v="1.5191174841391157" u="1"/>
        <n v="0.96852731878351295" u="1"/>
        <n v="0.91007695886223094" u="1"/>
        <n v="1.0285597741805972" u="1"/>
        <n v="1.2603340775552063" u="1"/>
        <n v="1.2417904049049568" u="1"/>
        <n v="1.3767757596333559" u="1"/>
        <n v="1.2713681793351608" u="1"/>
        <n v="1.2528245066849111" u="1"/>
        <n v="1.3685001832983903" u="1"/>
        <n v="1.6439268443624262" u="1"/>
        <n v="1.5871924162336821" u="1"/>
        <n v="1.5669936283164396" u="1"/>
        <n v="1.3609906124280948" u="1"/>
        <n v="1.4697084232602762" u="1"/>
        <n v="1.2790920505811285" u="1"/>
        <n v="1.2605483779308793" u="1"/>
        <n v="1.252058501220241" u="1"/>
        <n v="1.2318597133029983" u="1"/>
        <n v="1.7031061408239621" u="1"/>
        <n v="1.5283253389678808" u="1"/>
        <n v="1.5546848781128615" u="1"/>
        <n v="1.5228442288324562" u="1"/>
        <n v="0.82086512476905038" u="1"/>
        <n v="0.96808742143571691" u="1"/>
        <n v="0.8706575722485369" u="1"/>
        <n v="0.98195765086194053" u="1"/>
        <n v="0.89233242472803587" u="1"/>
        <n v="1.0108190421529115" u="1"/>
        <n v="0.89298193698213391" u="1"/>
        <n v="1.0454291406928555" u="1"/>
        <n v="0.86454811837777579" u="1"/>
        <n v="1.0556345842403665" u="1"/>
        <n v="0.90241737662131893" u="1"/>
        <n v="1.1258657157157459" u="1"/>
        <n v="0.65756960754043492" u="1"/>
        <n v="0.772114102540435" u="1"/>
        <n v="1.0283865052293317" u="1"/>
        <n v="0.99351862166443483" u="1"/>
        <n v="0.84761742042068433" u="1"/>
        <n v="0.73759061313785479" u="1"/>
        <n v="0.74286839670808424" u="1"/>
        <n v="0.65254227053276992" u="1"/>
        <n v="0.75962349004141771" u="1"/>
        <n v="1.0206715959670722" u="1"/>
        <n v="1.0194100381425724" u="1"/>
        <n v="0.66788504647118818" u="1"/>
        <n v="0.72400968604141769" u="1"/>
        <n v="0.84039138838991279" u="1"/>
        <n v="0.75765441432480263" u="1"/>
        <n v="1.043601654466441" u="1"/>
        <n v="0.83631825085772571" u="1"/>
        <n v="0.89739110107742714" u="1"/>
        <n v="0.73214289847677327" u="1"/>
        <n v="0.7516334482012369" u="1"/>
        <n v="0.7885131837652728" u="1"/>
        <n v="0.80249664775797869" u="1"/>
        <n v="0.69920883064769324" u="1"/>
        <n v="1.1543003016101114" u="1"/>
        <n v="1.2012338304298871" u="1"/>
        <n v="1.2238850459316799" u="1"/>
        <n v="1.3184473155203573" u="1"/>
        <n v="1.1792571236313718" u="1"/>
        <n v="1.20055932172661" u="1"/>
        <n v="1.2184889763054614" u="1"/>
        <n v="1.3065331895200267" u="1"/>
        <n v="1.2298452763771694" u="1"/>
        <n v="2.1954432008788678" u="1"/>
        <n v="1.2016262587235291" u="1"/>
        <n v="1.2357097756759099" u="1"/>
        <n v="2.0653711479064918" u="1"/>
        <n v="2.0999680430342789" u="1"/>
        <n v="2.1354168357259593" u="1"/>
        <n v="2.1923052835454269" u="1"/>
        <n v="1.1093835519376611" u="1"/>
        <n v="1.132448148689519" u="1"/>
        <n v="1.1560806771506393" u="1"/>
        <n v="1.1940063090302848" u="1"/>
        <n v="0.89886771193766102" u="1"/>
        <n v="1.1105194153561855" u="1"/>
        <n v="1.134151943817306" u="1"/>
        <n v="1.1589203356969511" u="1"/>
        <n v="1.1775362894616765" u="1"/>
        <n v="0.88921287288020101" u="1"/>
        <n v="1.1014325080079881" u="1"/>
        <n v="1.1262008998876332" u="1"/>
        <n v="1.1362030673264572" u="1"/>
        <n v="1.1724249040783155" u="1"/>
        <n v="0.8846694192061022" u="1"/>
        <n v="1.1092625878155438" u="1"/>
        <n v="1.1274722736321621" u="1"/>
        <n v="1.1508663646233321" u="1"/>
        <n v="1.1881817012053257" u="1"/>
        <n v="1.1109907228737277" u="1"/>
        <n v="1.1309285437485299" u="1"/>
        <n v="1.1543226347397004" u="1"/>
        <n v="1.191637971321694" u="1"/>
        <n v="1.1557652631357753" u="1"/>
        <n v="1.1758953906543557" u="1"/>
        <n v="1.1989599874062136" u="1"/>
        <n v="1.235749755867334" u="1"/>
        <n v="1.1728032144136458" u="1"/>
        <n v="1.1849822980025531" u="1"/>
        <n v="1.2080468947544112" u="1"/>
        <n v="1.2448366632155314" u="1"/>
        <n v="1.1511898950951767" u="1"/>
        <n v="1.1753903552655594" u="1"/>
        <n v="1.1973190885988927" u="1"/>
        <n v="1.2182067692006673" u="1"/>
        <n v="1.1358557389450932" u="1"/>
        <n v="1.1583524039876887" u="1"/>
        <n v="1.1808490690302844" u="1"/>
        <n v="1.2170709057821427" u="1"/>
        <n v="1.1403991926191919" u="1"/>
        <n v="1.1640317210803122" u="1"/>
        <n v="1.1888001129599575" u="1"/>
        <n v="1.2102557252709942" u="1"/>
        <n v="1.1171342457745803" u="1"/>
        <n v="1.1400915591368117" u="1"/>
        <n v="1.1641522826770383" u="1"/>
        <n v="1.2180971828333367" u="1"/>
        <n v="1.2021588345351417" u="1"/>
        <n v="1.2262195580753683" u="1"/>
        <n v="1.254693922327577" u="1"/>
        <n v="1.2898808494579534" u="1"/>
        <n v="1.238557500047146" u="1"/>
        <n v="1.2451520772303957" u="1"/>
        <n v="1.2682166739822538" u="1"/>
        <n v="1.3061423058618988" u="1"/>
        <n v="1.1456653399704952" u="1"/>
        <n v="1.1670824655257921" u="1"/>
        <n v="1.1900816865568911" u="1"/>
        <n v="1.2189699628276383" u="1"/>
        <n v="1.3226442397970071" u="1"/>
        <n v="1.3254838983433188" u="1"/>
        <n v="1.185346871177829" u="1"/>
        <n v="1.1926165036178196" u="1"/>
        <n v="1.216340088848302" u="1"/>
        <n v="1.2553493102102229" u="1"/>
        <n v="1.169748709416625" u="1"/>
        <n v="1.107995170824738" u="1"/>
        <n v="1.2595009554716761" u="1"/>
        <n v="1.6354585718905332" u="1"/>
        <n v="1.0853496509883858" u="1"/>
        <n v="1.1077552592616196" u="1"/>
        <n v="1.1318159828018461" u="1"/>
        <n v="1.1515551674402869" u="1"/>
        <n v="0.61181400532588659" u="1"/>
        <n v="1.3205319373108708" u="1"/>
        <n v="0.615690082203731" u="1"/>
        <n v="0.58526700298073808" u="1"/>
        <n v="0.40762030795353577" u="1"/>
        <n v="0.4062600391249499" u="1"/>
        <n v="1.2335321696059438" u="1"/>
        <n v="1.1886517292871011" u="1"/>
        <n v="1.6726021390159376" u="1"/>
        <n v="2.1103401515978533" u="1"/>
        <n v="1.5023235899107357" u="1"/>
        <n v="1.4393012173431139" u="1"/>
        <n v="1.5346071026523014" u="1"/>
        <n v="0.63515588807347401" u="1"/>
        <n v="0.49456619710304839" u="1"/>
        <n v="1.3688406971830593" u="1"/>
        <n v="1.4705103718098498" u="1"/>
        <n v="1.6749836085328693" u="1"/>
        <n v="0.91152368276244955" u="1"/>
        <n v="0.99154052533361836" u="1"/>
        <n v="1.0188295827845166" u="1"/>
        <n v="1.0456855236715403" u="1"/>
        <n v="1.2419759616972545" u="1"/>
        <n v="0.90263651928915112" u="1"/>
        <n v="1.01435752142088" u="1"/>
        <n v="1.1798473645806316" u="1"/>
        <n v="0.80060319733567409" u="1"/>
        <n v="0.87721650817322483" u="1"/>
        <n v="0.76508400879511762" u="1"/>
        <n v="0.84231654702209668" u="1"/>
        <n v="0.89485398473350741" u="1"/>
        <n v="0.74297877240792209" u="1"/>
        <n v="0.82456823597829898" u="1"/>
        <n v="0.7386767195368612" u="1"/>
        <n v="0.7918500297974721" u="1"/>
        <n v="0.78504823798731271" u="1"/>
        <n v="0.8511002684006036" u="1"/>
        <n v="0.77028524088622241" u="1"/>
        <n v="0.82968966200623462" u="1"/>
        <n v="0.73953384961466284" u="1"/>
        <n v="0.8525391012077933" u="1"/>
        <n v="0.7605766358090037" u="1"/>
        <n v="0.76756695567942035" u="1"/>
        <n v="0.75273128992507932" u="1"/>
        <n v="0.86026433134294789" u="1"/>
        <n v="0.93417148356552737" u="1"/>
        <n v="0.72234694942176281" u="1"/>
        <n v="0.70513765738567358" u="1"/>
        <n v="0.67509502707391111" u="1"/>
        <n v="0.64528746710578844" u="1"/>
        <n v="0.79353811799146878" u="1"/>
        <n v="0.74255138922355557" u="1"/>
        <n v="0.763873084151663" u="1"/>
        <n v="0.94599205820988697" u="1"/>
        <n v="0.83108943187461937" u="1"/>
        <n v="0.75153513290496154" u="1"/>
        <n v="1.0857738962797283" u="1"/>
        <n v="1.192624644516596" u="1"/>
        <n v="8.8563178717893223" u="1"/>
        <n v="0.56457863559798616" u="1"/>
        <n v="0.49008878628773561" u="1"/>
        <n v="1.0737001150111511" u="1"/>
        <n v="1.0504472011603245" u="1"/>
        <n v="1.0244130847492512" u="1"/>
        <n v="1.0298824990271025" u="1"/>
        <n v="1.0413838906308215" u="1"/>
        <n v="1.0593236064061107" u="1"/>
        <n v="1.0734815970475984" u="1"/>
        <n v="1.0980158531967716" u="1"/>
        <n v="0.9875647433049537" u="1"/>
        <n v="0.9973784457646232" u="1"/>
        <n v="1.0132241255501602" u="1"/>
        <n v="1.0371958186513173" u="1"/>
        <n v="0.99487806292916836" u="1"/>
        <n v="1.0063794545328872" u="1"/>
        <n v="1.003097990685863" u="1"/>
        <n v="1.0276322468350367" u="1"/>
        <n v="0.99262781073710227" u="1"/>
        <n v="0.99006512614040865" u="1"/>
        <n v="1.0059108059259456" u="1"/>
        <n v="1.0360706925552841" u="1"/>
        <n v="0.98863833525802958" u="1"/>
        <n v="1.0490643336624415" u="1"/>
        <n v="0.99198089324872529" u="1"/>
        <n v="1.0060452410957361" u="1"/>
        <n v="0.90155952191833388" u="1"/>
        <n v="0.93540533250633728" u="1"/>
        <n v="0.9459259714971614" u="1"/>
        <n v="0.98565954891585295" u="1"/>
        <n v="0.91302375404511726" u="1"/>
        <n v="0.91889951516867108" u="1"/>
        <n v="0.94880927115462055" u="1"/>
        <n v="1.0065347471367678" u="1"/>
        <n v="0.98071914868924748" u="1"/>
        <n v="0.98659490981280151" u="1"/>
        <n v="0.97206218500544717" u="1"/>
        <n v="1.0078477021149506" u="1"/>
        <n v="1.0222379170351052" u="1"/>
        <n v="1.0278544534032084" u="1"/>
        <n v="1.0430010590805601" u="1"/>
        <n v="1.0610754806759357" u="1"/>
        <n v="1.1128784556312696" u="1"/>
        <n v="1.1023626692988995" u="1"/>
        <n v="1.117509274976251" u="1"/>
        <n v="1.1345082083915952" u="1"/>
        <n v="1.2669970026503738" u="1"/>
        <n v="1.2193144003755998" u="1"/>
        <n v="1.306714348035465" u="1"/>
        <n v="1.2648086293900027" u="1"/>
        <n v="1.2542351375993421" u="1"/>
        <n v="1.2593460648720693" u="1"/>
        <n v="1.2747580739424627" u="1"/>
        <n v="1.3056960475718207" u="1"/>
        <n v="1.3210288293900028" u="1"/>
        <n v="1.3465834657536389" u="1"/>
        <n v="1.0403330295269566" u="1"/>
        <n v="1.0401014810329117" u="1"/>
        <n v="1.0620544704360475" u="1"/>
        <n v="1.0704441551412591" u="1"/>
        <n v="1.1872675652187101" u="1"/>
        <n v="1.1998747747570182" u="1"/>
        <n v="1.2270908458826622" u="1"/>
        <n v="1.2837637356509231" u="1"/>
        <n v="1.2947577129191836" u="1"/>
        <n v="1.3198228076847645" u="1"/>
        <n v="1.1652200575280633" u="1"/>
        <n v="1.1762140347963241" u="1"/>
        <n v="1.1996658972918575" u="1"/>
        <n v="1.0918468829665291" u="1"/>
        <n v="1.0646610298436698" u="1"/>
        <n v="1.1112358882098816" u="1"/>
        <n v="1.0848562097963239" u="1"/>
        <n v="1.0958501870645847" u="1"/>
        <n v="1.1209152818301655" u="1"/>
        <n v="1.0839491730484274" u="1"/>
        <n v="1.0983302219183337" u="1"/>
        <n v="1.1101698897456915" u="1"/>
        <n v="1.1354257416639584" u="1"/>
        <n v="1.1087541842786397" u="1"/>
        <n v="1.0794771116847912" u="1"/>
        <n v="1.1290555424437716" u="1"/>
        <n v="1.0176683130371347" u="1"/>
        <n v="1.1180851256190498" u="1"/>
        <n v="1.1336016912046598" u="1"/>
        <n v="1.1472432277279467" u="1"/>
        <n v="1.155847133168199" u="1"/>
        <n v="0.97832448491666857" u="1"/>
        <n v="0.99190147980407728" u="1"/>
        <n v="1.011366241522174" u="1"/>
        <n v="1.0242867018373287" u="1"/>
        <n v="1.1247035144192439" u="1"/>
        <n v="1.1402200800048541" u="1"/>
        <n v="1.121394320019147" u="1"/>
        <n v="0.97195840319290838" u="1"/>
        <n v="0.98456561273121646" u="1"/>
        <n v="0.99349838479632391" u="1"/>
        <n v="0.96711870638276642" u="1"/>
        <n v="0.97811268365102699" u="1"/>
        <n v="1.003177778416608" u="1"/>
        <n v="1.0474825541145059" u="1"/>
        <n v="1.0584765313827666" u="1"/>
        <n v="1.0819283938783" u="1"/>
        <n v="0.98656726478024437" u="1"/>
        <n v="0.98519312797814218" u="1"/>
        <n v="1.0086449904736756" u="1"/>
        <n v="1.0653178802419365" u="1"/>
        <n v="1.0779250897802444" u="1"/>
        <n v="1.0911598145654779" u="1"/>
        <n v="1.1104590486519206" u="1"/>
        <n v="1.1214530259201814" u="1"/>
        <n v="1.146518120685762" u="1"/>
        <n v="0.96259252763024161" u="1"/>
        <n v="0.97409391923396038" u="1"/>
        <n v="0.99862817538313398" u="1"/>
        <n v="1.0074729679490841" u="1"/>
        <n v="1.0043477203043738" u="1"/>
        <n v="1.0288819764535471" u="1"/>
        <n v="0.98390762169362977" u="1"/>
        <n v="0.99709670244139825" u="1"/>
        <n v="1.0115048237262745" u="1"/>
        <n v="1.0316947916936297" u="1"/>
        <n v="1.0431961832973486" u="1"/>
        <n v="1.0694181285905717" u="1"/>
        <n v="0.89899129052454063" u="1"/>
        <n v="0.923525546673714" u="1"/>
        <n v="0.97406323015255758" u="1"/>
        <n v="0.89786616442850753" u="1"/>
        <n v="0.92071273143363153" u="1"/>
        <n v="0.9886898694009868" u="1"/>
        <n v="1.1672120317012349" u="1"/>
        <n v="1.5486966980098298" u="1"/>
        <n v="0.98728455118407976" u="1"/>
        <n v="0.92768384549779515" u="1"/>
        <n v="1.0484984891404121" u="1"/>
        <n v="1.2848202450149537" u="1"/>
        <n v="1.2659116193459454" u="1"/>
        <n v="1.4035535844247056" u="1"/>
        <n v="1.2960715059752839" u="1"/>
        <n v="1.2771628803062756" u="1"/>
        <n v="1.3951151387044578" u="1"/>
        <n v="1.6759623975809039" u="1"/>
        <n v="1.6181113944778456" u="1"/>
        <n v="1.5975150796647877" u="1"/>
        <n v="1.3874577739957794" u="1"/>
        <n v="1.4983152307332999" u="1"/>
        <n v="1.3039473886475148" u="1"/>
        <n v="1.2850387629785065" u="1"/>
        <n v="1.2763817992947062" u="1"/>
        <n v="1.2557854844816485" u="1"/>
        <n v="1.7362502456619291" u="1"/>
        <n v="1.558029629996494" u="1"/>
        <n v="1.584907944120169" u="1"/>
        <n v="1.5524406476111754" u="1"/>
        <n v="0.82758205582965649" u="1"/>
        <n v="0.98327880810238366" u="1"/>
        <n v="0.87737450330914302" u="1"/>
        <n v="0.99714903752860717" u="1"/>
        <n v="0.89904935578864198" u="1"/>
        <n v="1.0260104288195784" u="1"/>
        <n v="0.89969886804274002" u="1"/>
        <n v="1.0606205273595224" u="1"/>
        <n v="0.87222461101846838" u="1"/>
        <n v="1.072700232898375" u="1"/>
        <n v="0.91009386926201152" u="1"/>
        <n v="1.1429313643737546" u="1"/>
        <n v="0.66343199341705827" u="1"/>
        <n v="0.78509829909887641" u="1"/>
        <n v="1.0379409381297646" u="1"/>
        <n v="1.0104856249544782" u="1"/>
        <n v="0.86182235340769731" u="1"/>
        <n v="0.74528395327271901" u="1"/>
        <n v="0.75705332530389824" u="1"/>
        <n v="0.6593380908636286" u="1"/>
        <n v="0.76858509348571646" u="1"/>
        <n v="1.0313748712727178" u="1"/>
        <n v="1.0389753276200395" u="1"/>
        <n v="0.67482885781817348" u="1"/>
        <n v="0.73782346144026201" u="1"/>
        <n v="0.85575170790908306" u="1"/>
        <n v="0.76657726492113565" u="1"/>
        <n v="1.0557100845851939" u="1"/>
        <n v="0.84507998239999194" u="1"/>
        <n v="0.91462958544286932" u="1"/>
        <n v="0.73978445512726476" u="1"/>
        <n v="0.76046938644286954" u="1"/>
        <n v="0.80284679506920831" u="1"/>
        <n v="0.81210743726937351" u="1"/>
        <n v="0.70769810600428662" u="1"/>
        <n v="1.1761998227127806" u="1"/>
        <n v="1.2238282024673723" u="1"/>
        <n v="1.2469131664735951" u="1"/>
        <n v="1.3440771939388363" u="1"/>
        <n v="1.201425000009716" u="1"/>
        <n v="1.2231464409188066" u="1"/>
        <n v="1.2414590740850686" u="1"/>
        <n v="1.330754303424879" u="1"/>
        <n v="1.2525571161521518" u="1"/>
        <n v="2.2383329987230915" u="1"/>
        <n v="1.2244150353709233" u="1"/>
        <n v="1.2591693408254683" u="1"/>
        <n v="2.1055279339742388" u="1"/>
        <n v="2.1408057212615628" u="1"/>
        <n v="2.1769521720789111" u="1"/>
        <n v="2.2349602260926753" u="1"/>
        <n v="1.1308895461343409" u="1"/>
        <n v="1.1544080709925566" u="1"/>
        <n v="1.1785057048707892" u="1"/>
        <n v="1.2171777408799653" u="1"/>
        <n v="0.91623060067979534" u="1"/>
        <n v="1.1320477641743749" u="1"/>
        <n v="1.1561453980526075" u="1"/>
        <n v="1.1814012499708746" u="1"/>
        <n v="1.2003835792994726" u="1"/>
        <n v="0.9063857473395065" u="1"/>
        <n v="1.122782019854103" u="1"/>
        <n v="1.1480378717723696" u="1"/>
        <n v="1.1582368891701948" u="1"/>
        <n v="1.1951715981193196" u="1"/>
        <n v="0.90175287517937064" u="1"/>
        <n v="1.1307615230042272" u="1"/>
        <n v="1.1493295887348336" u="1"/>
        <n v="1.1731840925195953" u="1"/>
        <n v="1.2112338221740109" u="1"/>
        <n v="1.1325236690222786" u="1"/>
        <n v="1.1528538807709374" u="1"/>
        <n v="1.1767083845556989" u="1"/>
        <n v="1.214758114210114" u="1"/>
        <n v="1.1781840832777903" u="1"/>
        <n v="1.198710386405403" u="1"/>
        <n v="1.2222289112636187" u="1"/>
        <n v="1.2597427292327605" u="1"/>
        <n v="1.1955573538783" u="1"/>
        <n v="1.2079761307256747" u="1"/>
        <n v="1.2314946555838904" u="1"/>
        <n v="1.2690084735530323" u="1"/>
        <n v="1.1735186686531172" u="1"/>
        <n v="1.1981954115513671" u="1"/>
        <n v="1.2205557183695488" u="1"/>
        <n v="1.2418544837782151" u="1"/>
        <n v="1.1578827251126587" u="1"/>
        <n v="1.1808221409508575" u="1"/>
        <n v="1.2037615567890561" u="1"/>
        <n v="1.2406962657381813" u="1"/>
        <n v="1.1625155972727945" u="1"/>
        <n v="1.1866132311510273" u="1"/>
        <n v="1.2118690830692942" u="1"/>
        <n v="1.2337469574979771" u="1"/>
        <n v="1.1388021359771847" u="1"/>
        <n v="1.1622112660303254" u="1"/>
        <n v="1.1867455221794989" u="1"/>
        <n v="1.2417520973626384" u="1"/>
        <n v="1.2255000707313985" u="1"/>
        <n v="1.2500343268805723" u="1"/>
        <n v="1.2790690874138777" u="1"/>
        <n v="1.3149485189644563" u="1"/>
        <n v="1.2626057318683086" u="1"/>
        <n v="1.2693300951460316" u="1"/>
        <n v="1.2928486200042475" u="1"/>
        <n v="1.3315206560134232" u="1"/>
        <n v="1.1679087779781425" u="1"/>
        <n v="1.1897474082036286" u="1"/>
        <n v="1.2131992706991619" u="1"/>
        <n v="1.2426560893417788" u="1"/>
        <n v="1.3483473600584532" u="1"/>
        <n v="1.3512429051585382" u="1"/>
        <n v="1.2083385222757745" u="1"/>
        <n v="1.2157512263906314" u="1"/>
        <n v="1.2399417091019389" u="1"/>
        <n v="1.2797186604256625" u="1"/>
        <n v="1.1923959505350443" u="1"/>
        <n v="1.1294738406672891" u="1"/>
        <n v="1.283914586331544" u="1"/>
        <n v="1.6672713231741321" u="1"/>
        <n v="1.1063919971557803" u="1"/>
        <n v="1.1292385641609042" u="1"/>
        <n v="1.1537728203100779" u="1"/>
        <n v="1.1739004865161942" u="1"/>
        <n v="0.62357425096633023" u="1"/>
        <n v="1.3462028426084245" u="1"/>
        <n v="0.6280975657233544" u="1"/>
        <n v="0.59705770844251327" u="1"/>
        <n v="0.41592243390569683" u="1"/>
        <n v="0.41453284153169029" u="1"/>
        <n v="1.2335974496059436" u="1"/>
        <n v="1.1887170092871013" u="1"/>
        <n v="1.6726789390159378" u="1"/>
        <n v="2.1104169515978533" u="1"/>
        <n v="1.5024003899107354" u="1"/>
        <n v="1.4393780173431137" u="1"/>
        <n v="1.5346839026523016" u="1"/>
        <n v="0.635213488073474" u="1"/>
        <n v="0.49461419710304838" u="1"/>
        <n v="1.3689174971830596" u="1"/>
        <n v="1.4705871718098498" u="1"/>
        <n v="1.6750604085328691" u="1"/>
        <n v="0.91159088276244959" u="1"/>
        <n v="0.99160772533361841" u="1"/>
        <n v="1.0188967827845166" u="1"/>
        <n v="1.0457527236715405" u="1"/>
        <n v="1.2420431616972549" u="1"/>
        <n v="0.90270371928915127" u="1"/>
        <n v="1.0144247214208801" u="1"/>
        <n v="1.1799145645806315" u="1"/>
        <n v="0.80115002933567403" u="1"/>
        <n v="0.87776334017322488" u="1"/>
        <n v="0.7656560791951178" u="1"/>
        <n v="0.84288861742209675" u="1"/>
        <n v="0.89542605513350737" u="1"/>
        <n v="0.74355084280792205" u="1"/>
        <n v="0.82514030637829905" u="1"/>
        <n v="0.73922355153686126" u="1"/>
        <n v="0.79239686179747226" u="1"/>
        <n v="0.78559506998731266" u="1"/>
        <n v="0.85164710040060376" u="1"/>
        <n v="0.77085731128622259" u="1"/>
        <n v="0.83026173240623458" u="1"/>
        <n v="0.74010592001466269" u="1"/>
        <n v="0.85311117160779326" u="1"/>
        <n v="0.76112346780900375" u="1"/>
        <n v="0.76811378767942029" u="1"/>
        <n v="0.75332018592507932" u="1"/>
        <n v="0.8609373553429478" u="1"/>
        <n v="0.93476037956552738" u="1"/>
        <n v="0.72289378142176275" u="1"/>
        <n v="0.70568448938567352" u="1"/>
        <n v="0.67568392307391112" u="1"/>
        <n v="0.64587636310578844" u="1"/>
        <n v="0.79408494999146884" u="1"/>
        <n v="0.74309822122355562" u="1"/>
        <n v="0.76420959615166284" u="1"/>
        <n v="0.9466650822098871" u="1"/>
        <n v="0.83167832787461937" u="1"/>
        <n v="0.7520819649049616" u="1"/>
        <n v="1.0863207282797285" u="1"/>
        <n v="1.1932135405165962" u="1"/>
        <n v="8.8569067677893223" u="1"/>
        <n v="0.56508340359798603" u="1"/>
        <n v="0.49050942628773558" u="1"/>
        <n v="1.0737653950111512" u="1"/>
        <n v="1.0505124811603246" u="1"/>
        <n v="1.0244783647492515" u="1"/>
        <n v="1.0299477790271028" u="1"/>
        <n v="1.0414491706308215" u="1"/>
        <n v="1.0593888864061107" u="1"/>
        <n v="1.0735468770475982" u="1"/>
        <n v="1.0980811331967717" u="1"/>
        <n v="0.98763002330495375" u="1"/>
        <n v="0.99744372576462337" u="1"/>
        <n v="1.0132894055501602" u="1"/>
        <n v="1.0372610986513173" u="1"/>
        <n v="0.99494334292916831" u="1"/>
        <n v="1.0064447345328873" u="1"/>
        <n v="1.0031632706858631" u="1"/>
        <n v="1.0276975268350366" u="1"/>
        <n v="0.99269309073710232" u="1"/>
        <n v="0.99013040614040859" u="1"/>
        <n v="1.0059760859259457" u="1"/>
        <n v="1.0361359725552841" u="1"/>
        <n v="0.98870745525802961" u="1"/>
        <n v="1.0491334536624415" u="1"/>
        <n v="0.99205001324872555" u="1"/>
        <n v="1.0061143610957364" u="1"/>
        <n v="0.90162672191833393" u="1"/>
        <n v="0.93547253250633722" u="1"/>
        <n v="0.94599317149716144" u="1"/>
        <n v="0.98572674891585288" u="1"/>
        <n v="0.91308903404511732" u="1"/>
        <n v="0.91896479516867113" u="1"/>
        <n v="0.94887455115462072" u="1"/>
        <n v="1.0066000271367679" u="1"/>
        <n v="0.98078442868924776" u="1"/>
        <n v="0.98666018981280146" u="1"/>
        <n v="0.97212746500544733" u="1"/>
        <n v="1.0079129821149508" u="1"/>
        <n v="1.0223003170351053" u="1"/>
        <n v="1.0279168534032084" u="1"/>
        <n v="1.0430634590805599" u="1"/>
        <n v="1.0611378806759355" u="1"/>
        <n v="1.1129408556312699" u="1"/>
        <n v="1.1024250692988993" u="1"/>
        <n v="1.117571674976251" u="1"/>
        <n v="1.1345706083915954" u="1"/>
        <n v="1.2670622826503739" u="1"/>
        <n v="1.2193796803755999" u="1"/>
        <n v="1.3067911480354653" u="1"/>
        <n v="1.2648854293900027" u="1"/>
        <n v="1.2543119375993421" u="1"/>
        <n v="1.2594228648720696" u="1"/>
        <n v="1.2748348739424629" u="1"/>
        <n v="1.3057728475718211" u="1"/>
        <n v="1.3211056293900025" u="1"/>
        <n v="1.3466602657536388" u="1"/>
        <n v="1.0403983095269567" u="1"/>
        <n v="1.0401667610329115" u="1"/>
        <n v="1.0621197504360476" u="1"/>
        <n v="1.0705094351412592" u="1"/>
        <n v="1.1873299652187104" u="1"/>
        <n v="1.199937174757018" u="1"/>
        <n v="1.2271532458826619" u="1"/>
        <n v="1.2838261356509231" u="1"/>
        <n v="1.2948201129191836" u="1"/>
        <n v="1.3198852076847643" u="1"/>
        <n v="1.1652824575280636" u="1"/>
        <n v="1.1762764347963242" u="1"/>
        <n v="1.1997282972918575" u="1"/>
        <n v="1.0919092829665291" u="1"/>
        <n v="1.0647234298436699" u="1"/>
        <n v="1.1112982882098816" u="1"/>
        <n v="1.0849186097963242" u="1"/>
        <n v="1.0959125870645849" u="1"/>
        <n v="1.1209776818301656" u="1"/>
        <n v="1.0840163730484276" u="1"/>
        <n v="1.0983974219183337" u="1"/>
        <n v="1.1102370897456915" u="1"/>
        <n v="1.1354929416639585" u="1"/>
        <n v="1.1088213842786396" u="1"/>
        <n v="1.0795443116847911" u="1"/>
        <n v="1.1291227424437715" u="1"/>
        <n v="1.0177451130371347" u="1"/>
        <n v="1.11816192561905" u="1"/>
        <n v="1.1336784912046598" u="1"/>
        <n v="1.1473200277279467" u="1"/>
        <n v="1.155923933168199" u="1"/>
        <n v="0.97839168491666872" u="1"/>
        <n v="0.99196867980407744" u="1"/>
        <n v="1.0114334415221742" u="1"/>
        <n v="1.0243635018373289" u="1"/>
        <n v="1.1247803144192443" u="1"/>
        <n v="1.1402968800048541" u="1"/>
        <n v="1.1214711200191472" u="1"/>
        <n v="0.97202080319290862" u="1"/>
        <n v="0.98462801273121636" u="1"/>
        <n v="0.99356078479632404" u="1"/>
        <n v="0.96718110638276666" u="1"/>
        <n v="0.97817508365102712" u="1"/>
        <n v="1.0032401784166081" u="1"/>
        <n v="1.0475449541145059" u="1"/>
        <n v="1.0585389313827664" u="1"/>
        <n v="1.0819907938783" u="1"/>
        <n v="0.98662966478024439" u="1"/>
        <n v="0.9852555279781422" u="1"/>
        <n v="1.0087073904736754" u="1"/>
        <n v="1.0653802802419365" u="1"/>
        <n v="1.0779874897802446" u="1"/>
        <n v="1.0912222145654782" u="1"/>
        <n v="1.1105214486519208" u="1"/>
        <n v="1.1215154259201814" u="1"/>
        <n v="1.146580520685762" u="1"/>
        <n v="0.96265780763024167" u="1"/>
        <n v="0.97415919923396055" u="1"/>
        <n v="0.99869345538313403" u="1"/>
        <n v="1.0075382479490842" u="1"/>
        <n v="1.0044130003043739" u="1"/>
        <n v="1.0289472564535473" u="1"/>
        <n v="0.98397290169362983" u="1"/>
        <n v="0.99716198244139831" u="1"/>
        <n v="1.0115701037262748" u="1"/>
        <n v="1.0317600716936297" u="1"/>
        <n v="1.0432614632973487" u="1"/>
        <n v="1.0694834085905718" u="1"/>
        <n v="0.89905657052454069" u="1"/>
        <n v="0.92359082667371417" u="1"/>
        <n v="0.97412851015255775" u="1"/>
        <n v="0.89793144442850759" u="1"/>
        <n v="0.92077801143363158" u="1"/>
        <n v="0.98875514940098685" u="1"/>
        <n v="1.1672773117012352" u="1"/>
        <n v="1.5487619780098296" u="1"/>
        <n v="0.98734695118407989" u="1"/>
        <n v="0.92774624549779516" u="1"/>
        <n v="1.0485608891404121" u="1"/>
        <n v="1.2848855250149536" u="1"/>
        <n v="1.2659768993459453" u="1"/>
        <n v="1.4036188644247054" u="1"/>
        <n v="1.2961367859752837" u="1"/>
        <n v="1.2772281603062754" u="1"/>
        <n v="1.3951804187044576" u="1"/>
        <n v="1.676027677580904" u="1"/>
        <n v="1.6181766744778456" u="1"/>
        <n v="1.597580359664788" u="1"/>
        <n v="1.3875230539957795" u="1"/>
        <n v="1.4983805107332997" u="1"/>
        <n v="1.3040126686475149" u="1"/>
        <n v="1.2851040429785063" u="1"/>
        <n v="1.276447079294706" u="1"/>
        <n v="1.2558507644816483" u="1"/>
        <n v="1.7363270456619291" u="1"/>
        <n v="1.558106429996494" u="1"/>
        <n v="1.5849847441201692" u="1"/>
        <n v="1.5525174476111756" u="1"/>
        <n v="0.8281709518296565" u="1"/>
        <n v="0.98386770410238378" u="1"/>
        <n v="0.87796339930914324" u="1"/>
        <n v="0.99773793352860718" u="1"/>
        <n v="0.89963825178864187" u="1"/>
        <n v="1.0265993248195784" u="1"/>
        <n v="0.90028776404274002" u="1"/>
        <n v="1.0612094233595224" u="1"/>
        <n v="0.87289763501846818" u="1"/>
        <n v="1.0733732568983751" u="1"/>
        <n v="0.91076689326201166" u="1"/>
        <n v="1.1436043883737546" u="1"/>
        <n v="0.66397882541705833" u="1"/>
        <n v="0.78564513109887646" u="1"/>
        <n v="1.0386139621297648" u="1"/>
        <n v="1.0111586489544782" u="1"/>
        <n v="0.86242807500769725" u="1"/>
        <n v="0.74587284927271891" u="1"/>
        <n v="0.75764222130389836" u="1"/>
        <n v="0.65988492286362865" u="1"/>
        <n v="0.76917398948571658" u="1"/>
        <n v="1.0320478952727179" u="1"/>
        <n v="1.0396483516200397" u="1"/>
        <n v="0.67541775381817348" u="1"/>
        <n v="0.73841235744026201" u="1"/>
        <n v="0.85629853990908322" u="1"/>
        <n v="0.76716616092113565" u="1"/>
        <n v="1.056383108585194" u="1"/>
        <n v="0.84565205279999189" u="1"/>
        <n v="0.91520165584286939" u="1"/>
        <n v="0.74035652552726472" u="1"/>
        <n v="0.7610414568428695" u="1"/>
        <n v="0.80341886546920815" u="1"/>
        <n v="0.81265426926937356" u="1"/>
        <n v="0.70824493800428667" u="1"/>
        <n v="1.1762651027127804" u="1"/>
        <n v="1.2238934824673722" u="1"/>
        <n v="1.2469784464735949" u="1"/>
        <n v="1.3441424739388363" u="1"/>
        <n v="1.2014902800097158" u="1"/>
        <n v="1.2232117209188065" u="1"/>
        <n v="1.2415243540850684" u="1"/>
        <n v="1.3308195834248788" u="1"/>
        <n v="1.2526223961521517" u="1"/>
        <n v="2.2383982787230914" u="1"/>
        <n v="1.2244803153709232" u="1"/>
        <n v="1.2592346208254686" u="1"/>
        <n v="2.1056287339742386" u="1"/>
        <n v="2.1409065212615626" u="1"/>
        <n v="2.1770529720789114" u="1"/>
        <n v="2.2350610260926751" u="1"/>
        <n v="1.1309567461343408" u="1"/>
        <n v="1.1544752709925568" u="1"/>
        <n v="1.1785729048707896" u="1"/>
        <n v="1.2172449408799655" u="1"/>
        <n v="0.91629780067979549" u="1"/>
        <n v="1.1321149641743748" u="1"/>
        <n v="1.1562125980526077" u="1"/>
        <n v="1.1814684499708743" u="1"/>
        <n v="1.2004507792994727" u="1"/>
        <n v="0.90645294733950654" u="1"/>
        <n v="1.1228492198541029" u="1"/>
        <n v="1.1481050717723698" u="1"/>
        <n v="1.1583040891701948" u="1"/>
        <n v="1.19523879811932" u="1"/>
        <n v="0.90182007517937068" u="1"/>
        <n v="1.1308296830042273" u="1"/>
        <n v="1.1493977487348339" u="1"/>
        <n v="1.1732522525195956" u="1"/>
        <n v="1.2113019821740107" u="1"/>
        <n v="1.1325918290222787" u="1"/>
        <n v="1.1529220407709373" u="1"/>
        <n v="1.1767765445556988" u="1"/>
        <n v="1.2148262742101141" u="1"/>
        <n v="1.1782512832777903" u="1"/>
        <n v="1.1987775864054029" u="1"/>
        <n v="1.2222961112636186" u="1"/>
        <n v="1.2598099292327605" u="1"/>
        <n v="1.1956245538783001" u="1"/>
        <n v="1.2080433307256748" u="1"/>
        <n v="1.2315618555838908" u="1"/>
        <n v="1.2690756735530322" u="1"/>
        <n v="1.1735858686531173" u="1"/>
        <n v="1.198262611551367" u="1"/>
        <n v="1.2206229183695489" u="1"/>
        <n v="1.2419216837782152" u="1"/>
        <n v="1.1579499251126584" u="1"/>
        <n v="1.1808893409508574" u="1"/>
        <n v="1.2038287567890562" u="1"/>
        <n v="1.240763465738181" u="1"/>
        <n v="1.1625827972727945" u="1"/>
        <n v="1.1866804311510273" u="1"/>
        <n v="1.2119362830692939" u="1"/>
        <n v="1.2338141574979771" u="1"/>
        <n v="1.138867415977185" u="1"/>
        <n v="1.1622765460303255" u="1"/>
        <n v="1.1868108021794987" u="1"/>
        <n v="1.2418173773626384" u="1"/>
        <n v="1.2255653507313986" u="1"/>
        <n v="1.2500996068805721" u="1"/>
        <n v="1.2791343674138778" u="1"/>
        <n v="1.3150137989644564" u="1"/>
        <n v="1.2626729318683085" u="1"/>
        <n v="1.2693972951460315" u="1"/>
        <n v="1.2929158200042474" u="1"/>
        <n v="1.3315878560134233" u="1"/>
        <n v="1.1679711779781423" u="1"/>
        <n v="1.1898098082036284" u="1"/>
        <n v="1.2132616706991619" u="1"/>
        <n v="1.2427184893417789" u="1"/>
        <n v="1.3484145600584532" u="1"/>
        <n v="1.3513101051585379" u="1"/>
        <n v="1.2084076422757746" u="1"/>
        <n v="1.2158203463906312" u="1"/>
        <n v="1.2400108291019389" u="1"/>
        <n v="1.2797877804256628" u="1"/>
        <n v="1.1924727505350445" u="1"/>
        <n v="1.129541040667289" u="1"/>
        <n v="1.2839913863315442" u="1"/>
        <n v="1.6673481231741318" u="1"/>
        <n v="1.1064572771557808" u="1"/>
        <n v="1.1293038441609045" u="1"/>
        <n v="1.1538381003100779" u="1"/>
        <n v="1.1739657665161944" u="1"/>
        <n v="0.62363185096633034" u="1"/>
        <n v="1.3462681226084245" u="1"/>
        <n v="0.62907481016779876" u="1"/>
        <n v="0.59803495288695774" u="1"/>
        <n v="0.41665536723903018" u="1"/>
        <n v="0.41526577486502364" u="1"/>
        <n v="0.49909193558210507" u="1"/>
        <n v="1.3760818787495506" u="1"/>
        <n v="1.4817160648237433" u="1"/>
        <n v="1.685049953852845" u="1"/>
        <n v="0.91785971663312904" u="1"/>
        <n v="1.0013455067207753" u="1"/>
        <n v="1.0274115627895544" u="1"/>
        <n v="1.0520215575422198" u="1"/>
        <n v="1.2517809430844116" u="1"/>
        <n v="1.0229395014259179" u="1"/>
        <n v="1.186183398451311" u="1"/>
        <n v="0.57220454221244421" u="1"/>
        <n v="0.49753837606612827" u="1"/>
        <n v="0.60727399999999998" u="1"/>
        <n v="0.53051999999999999" u="1"/>
        <n v="0.73678960000000004" u="1"/>
        <n v="0.81998560000000009" u="1"/>
        <n v="0.80767529999999998" u="1"/>
        <n v="0.49296533888034272" u="1"/>
        <n v="1.3662793240267301" u="1"/>
        <n v="1.4664891252490211" u="1"/>
        <n v="1.671381925361781" u="1"/>
        <n v="0.90928248125066169" u="1"/>
        <n v="0.98802193459289323" u="1"/>
        <n v="1.0101548428726013" u="1"/>
        <n v="1.0434443221597525" u="1"/>
        <n v="1.2384573709565296" u="1"/>
        <n v="1.0056827815089648" u="1"/>
        <n v="1.1776061630688437" u="1"/>
        <n v="0.56246122984072733" u="1"/>
        <n v="0.48329295603598227" u="1"/>
        <n v="0.56387120000000002" u="1"/>
        <n v="0.49267080000000008" u="1"/>
        <n v="0.68401520000000005" u="1"/>
        <n v="0.76119200000000009" u="1"/>
        <n v="0.72200699999999995" u="1"/>
        <n v="0.81372004133567399" u="1"/>
        <n v="0.89033335217322473" u="1"/>
        <n v="0.77880624559511769" u="1"/>
        <n v="0.85603878382209664" u="1"/>
        <n v="0.90857622153350726" u="1"/>
        <n v="0.75670100920792205" u="1"/>
        <n v="0.83829047277829893" u="1"/>
        <n v="0.75179356353686122" u="1"/>
        <n v="0.80496687379747212" u="1"/>
        <n v="0.79816508198731262" u="1"/>
        <n v="0.86421711240060362" u="1"/>
        <n v="0.78400747768622248" u="1"/>
        <n v="0.84341189880623457" u="1"/>
        <n v="0.75325608641466268" u="1"/>
        <n v="0.86626133800779315" u="1"/>
        <n v="0.7736934798090036" u="1"/>
        <n v="0.78068379967942014" u="1"/>
        <n v="0.76685712192507915" u="1"/>
        <n v="0.8764081393429477" u="1"/>
        <n v="0.94829731556552732" u="1"/>
        <n v="0.73546379342176271" u="1"/>
        <n v="0.71825450138567348" u="1"/>
        <n v="0.68922085907391117" u="1"/>
        <n v="0.6594132991057885" u="1"/>
        <n v="0.80665496199146869" u="1"/>
        <n v="0.75566823322355547" u="1"/>
        <n v="0.7719449881516629" u="1"/>
        <n v="0.96213586620988689" u="1"/>
        <n v="0.84521526387461932" u="1"/>
        <n v="0.76465197690496156" u="1"/>
        <n v="1.0988907402797286" u="1"/>
        <n v="1.2067504765165962" u="1"/>
        <n v="8.8704437037893218" u="1"/>
        <n v="0.57406431784072731" u="1"/>
        <n v="0.49296219603598224" u="1"/>
        <n v="0.84170788782965644" u="1"/>
        <n v="0.99740464010238361" u="1"/>
        <n v="0.89150033530914297" u="1"/>
        <n v="1.0112748695286071" u="1"/>
        <n v="0.91317518778864182" u="1"/>
        <n v="1.0401362608195781" u="1"/>
        <n v="0.91382470004273997" u="1"/>
        <n v="1.0747463593595221" u="1"/>
        <n v="0.88836841901846819" u="1"/>
        <n v="1.0888440408983751" u="1"/>
        <n v="0.92623767726201156" u="1"/>
        <n v="1.1590751723737545" u="1"/>
        <n v="0.67654883741705818" u="1"/>
        <n v="0.79821514309887642" u="1"/>
        <n v="1.0540847461297647" u="1"/>
        <n v="1.0266294329544781" u="1"/>
        <n v="0.87635178060769725" u="1"/>
        <n v="0.75940978527271896" u="1"/>
        <n v="0.77117915730389819" u="1"/>
        <n v="0.67245493486362862" u="1"/>
        <n v="0.78271092548571641" u="1"/>
        <n v="1.0475186792727178" u="1"/>
        <n v="1.0551191356200396" u="1"/>
        <n v="0.68895468981817354" u="1"/>
        <n v="0.75194929344026185" u="1"/>
        <n v="0.86886855190908308" u="1"/>
        <n v="0.78070309692113549" u="1"/>
        <n v="1.0718538925851939" u="1"/>
        <n v="0.85880221919999189" u="1"/>
        <n v="0.92835182224286927" u="1"/>
        <n v="0.7535066919272646" u="1"/>
        <n v="0.77419162324286939" u="1"/>
        <n v="0.81656903186920815" u="1"/>
        <n v="0.82522428126937342" u="1"/>
        <n v="0.72081495000428653" u="1"/>
        <n v="0.63743094350113216" u="1"/>
        <n v="0.60639108622029103" u="1"/>
        <n v="0.42292246723903015" u="1"/>
        <n v="0.42153287486502361" u="1"/>
        <n v="1.2334570976059436" u="1"/>
        <n v="1.1885766572871013" u="1"/>
        <n v="1.6725138190159377" u="1"/>
        <n v="2.1102518315978531" u="1"/>
        <n v="1.5022352699107355" u="1"/>
        <n v="1.4392128973431138" u="1"/>
        <n v="1.5345187826523015" u="1"/>
        <n v="0.6350896480734739" u="1"/>
        <n v="0.49286213888034269" u="1"/>
        <n v="1.3661142040267302" u="1"/>
        <n v="1.466324005249021" u="1"/>
        <n v="1.6712168053617806" u="1"/>
        <n v="0.90913800125066169" u="1"/>
        <n v="0.98787745459289311" u="1"/>
        <n v="1.0100103628726012" u="1"/>
        <n v="1.0432998421597524" u="1"/>
        <n v="1.2383128909565297" u="1"/>
        <n v="0.90255923928915116" u="1"/>
        <n v="1.0055383015089649" u="1"/>
        <n v="1.1774616830688436" u="1"/>
        <n v="0.81348916133567406" u="1"/>
        <n v="0.8901024721732248" u="1"/>
        <n v="0.7785647095951177" u="1"/>
        <n v="0.85579724782209676" u="1"/>
        <n v="0.90833468553350727" u="1"/>
        <n v="0.75645947320792195" u="1"/>
        <n v="0.83804893677829895" u="1"/>
        <n v="0.75156268353686129" u="1"/>
        <n v="0.80473599379747218" u="1"/>
        <n v="0.79793420198731269" u="1"/>
        <n v="0.86398623240060368" u="1"/>
        <n v="0.78376594168622249" u="1"/>
        <n v="0.84317036280623459" u="1"/>
        <n v="0.75301455041466281" u="1"/>
        <n v="0.86601980200779327" u="1"/>
        <n v="0.77346259980900367" u="1"/>
        <n v="0.78045291967942021" u="1"/>
        <n v="0.76660848192507924" u="1"/>
        <n v="0.87612397934294772" u="1"/>
        <n v="0.9480486755655273" u="1"/>
        <n v="0.73523291342176267" u="1"/>
        <n v="0.71802362138567355" u="1"/>
        <n v="0.68897221907391115" u="1"/>
        <n v="0.65916465910578848" u="1"/>
        <n v="0.80642408199146887" u="1"/>
        <n v="0.75543735322355565" u="1"/>
        <n v="0.77180290815166308" u="1"/>
        <n v="0.96185170620988703" u="1"/>
        <n v="0.8449666238746194" u="1"/>
        <n v="0.76442109690496163" u="1"/>
        <n v="1.0986598602797284" u="1"/>
        <n v="1.206501836516596" u="1"/>
        <n v="8.870195063789323" u="1"/>
        <n v="0.57385119784072736" u="1"/>
        <n v="0.49278459603598224" u="1"/>
        <n v="1.0736250430111511" u="1"/>
        <n v="1.0503721291603245" u="1"/>
        <n v="1.0243380127492514" u="1"/>
        <n v="1.0298074270271027" u="1"/>
        <n v="1.0413088186308217" u="1"/>
        <n v="1.0592485344061107" u="1"/>
        <n v="1.0734065250475984" u="1"/>
        <n v="1.0979407811967716" u="1"/>
        <n v="0.9874896713049538" u="1"/>
        <n v="0.99730337376462319" u="1"/>
        <n v="1.0131490535501602" u="1"/>
        <n v="1.0371207466513173" u="1"/>
        <n v="0.99480299092916824" u="1"/>
        <n v="1.0063043825328872" u="1"/>
        <n v="1.003022918685863" u="1"/>
        <n v="1.0275571748350365" u="1"/>
        <n v="0.99255273873710226" u="1"/>
        <n v="0.98999005414040864" u="1"/>
        <n v="1.0058357339259456" u="1"/>
        <n v="1.035995620555284" u="1"/>
        <n v="0.98855884725802956" u="1"/>
        <n v="1.0489848456624413" u="1"/>
        <n v="0.99190140524872561" u="1"/>
        <n v="1.0059657530957362" u="1"/>
        <n v="0.90148224191833382" u="1"/>
        <n v="0.93532805250633722" u="1"/>
        <n v="0.94584869149716144" u="1"/>
        <n v="0.98558226891585288" u="1"/>
        <n v="0.91294868204511725" u="1"/>
        <n v="0.91882444316867107" u="1"/>
        <n v="0.94873419915462076" u="1"/>
        <n v="1.0064596751367678" u="1"/>
        <n v="0.98064407668924769" u="1"/>
        <n v="0.98651983781280139" u="1"/>
        <n v="0.97198711300544727" u="1"/>
        <n v="1.0077726301149508" u="1"/>
        <n v="1.0221661570351053" u="1"/>
        <n v="1.0277826934032082" u="1"/>
        <n v="1.0429292990805599" u="1"/>
        <n v="1.0610037206759355" u="1"/>
        <n v="1.1128066956312699" u="1"/>
        <n v="1.1022909092988993" u="1"/>
        <n v="1.1174375149762508" u="1"/>
        <n v="1.1344364483915954" u="1"/>
        <n v="1.2669219306503736" u="1"/>
        <n v="1.2192393283756" u="1"/>
        <n v="1.3066260280354651" u="1"/>
        <n v="1.2647203093900026" u="1"/>
        <n v="1.254146817599342" u="1"/>
        <n v="1.2592577448720697" u="1"/>
        <n v="1.274669753942463" u="1"/>
        <n v="1.3056077275718208" u="1"/>
        <n v="1.3209405093900026" u="1"/>
        <n v="1.3464951457536389" u="1"/>
        <n v="1.0402579575269566" u="1"/>
        <n v="1.0400264090329114" u="1"/>
        <n v="1.0619793984360475" u="1"/>
        <n v="1.0703690831412591" u="1"/>
        <n v="1.1871958052187104" u="1"/>
        <n v="1.1998030147570182" u="1"/>
        <n v="1.227019085882662" u="1"/>
        <n v="1.2836919756509226" u="1"/>
        <n v="1.2946859529191834" u="1"/>
        <n v="1.3197510476847643" u="1"/>
        <n v="1.1651482975280634" u="1"/>
        <n v="1.1761422747963242" u="1"/>
        <n v="1.1995941372918575" u="1"/>
        <n v="1.0917751229665291" u="1"/>
        <n v="1.0645892698436699" u="1"/>
        <n v="1.1111641282098814" u="1"/>
        <n v="1.0847844497963239" u="1"/>
        <n v="1.0957784270645847" u="1"/>
        <n v="1.1208435218301656" u="1"/>
        <n v="1.0838718930484275" u="1"/>
        <n v="1.0982529419183338" u="1"/>
        <n v="1.1100926097456916" u="1"/>
        <n v="1.1353484616639586" u="1"/>
        <n v="1.1086769042786395" u="1"/>
        <n v="1.079399831684791" u="1"/>
        <n v="1.1289782624437716" u="1"/>
        <n v="1.0175799930371345" u="1"/>
        <n v="1.1179968056190499" u="1"/>
        <n v="1.1335133712046599" u="1"/>
        <n v="1.1471549077279466" u="1"/>
        <n v="1.1557588131681991" u="1"/>
        <n v="0.97824720491666872" u="1"/>
        <n v="0.99182419980407732" u="1"/>
        <n v="1.0112889615221743" u="1"/>
        <n v="1.0241983818373288" u="1"/>
        <n v="1.1246151944192442" u="1"/>
        <n v="1.1401317600048539" u="1"/>
        <n v="1.121306000019147" u="1"/>
        <n v="0.97188664319290852" u="1"/>
        <n v="0.98449385273121637" u="1"/>
        <n v="0.99342662479632393" u="1"/>
        <n v="0.96704694638276656" u="1"/>
        <n v="0.97804092365102702" u="1"/>
        <n v="1.0031060184166081" u="1"/>
        <n v="1.0474107941145057" u="1"/>
        <n v="1.0584047713827665" u="1"/>
        <n v="1.0818566338783" u="1"/>
        <n v="0.98649550478024428" u="1"/>
        <n v="0.98512136797814209" u="1"/>
        <n v="1.0085732304736756" u="1"/>
        <n v="1.0652461202419365" u="1"/>
        <n v="1.0778533297802446" u="1"/>
        <n v="1.0910880545654782" u="1"/>
        <n v="1.1103872886519208" u="1"/>
        <n v="1.1213812659201812" u="1"/>
        <n v="1.146446360685762" u="1"/>
        <n v="0.96251745563024171" u="1"/>
        <n v="0.97401884723396059" u="1"/>
        <n v="0.99855310338313397" u="1"/>
        <n v="1.0073978959490841" u="1"/>
        <n v="1.004272648304374" u="1"/>
        <n v="1.0288069044535473" u="1"/>
        <n v="0.98383254969362977" u="1"/>
        <n v="0.99702163044139824" u="1"/>
        <n v="1.0114297517262747" u="1"/>
        <n v="1.0316197196936296" u="1"/>
        <n v="1.0431211112973486" u="1"/>
        <n v="1.0693430565905717" u="1"/>
        <n v="0.89891621852454062" u="1"/>
        <n v="0.92345047467371411" u="1"/>
        <n v="0.97398815815255768" u="1"/>
        <n v="0.89779109242850752" u="1"/>
        <n v="0.92063765943363152" u="1"/>
        <n v="0.98861479740098679" u="1"/>
        <n v="1.1671369597012351" u="1"/>
        <n v="1.5486216260098298" u="1"/>
        <n v="0.9872127911840799" u="1"/>
        <n v="0.92761208549779517" u="1"/>
        <n v="1.0484267291404121" u="1"/>
        <n v="1.2847451730149537" u="1"/>
        <n v="1.2658365473459452" u="1"/>
        <n v="1.4034785124247053" u="1"/>
        <n v="1.2959964339752836" u="1"/>
        <n v="1.2770878083062753" u="1"/>
        <n v="1.3950400667044576" u="1"/>
        <n v="1.6758873255809037" u="1"/>
        <n v="1.6180363224778458" u="1"/>
        <n v="1.5974400076647877" u="1"/>
        <n v="1.3873827019957794" u="1"/>
        <n v="1.4982401587332999" u="1"/>
        <n v="1.3038723166475148" u="1"/>
        <n v="1.2849636909785063" u="1"/>
        <n v="1.2763067272947062" u="1"/>
        <n v="1.2557104124816483" u="1"/>
        <n v="1.736161925661929" u="1"/>
        <n v="1.5579413099964938" u="1"/>
        <n v="1.5848196241201693" u="1"/>
        <n v="1.5523523276111753" u="1"/>
        <n v="0.84145924782965653" u="1"/>
        <n v="0.9971560001023837" u="1"/>
        <n v="0.89125169530914305" u="1"/>
        <n v="1.0110262295286072" u="1"/>
        <n v="0.91292654778864191" u="1"/>
        <n v="1.0398876208195782" u="1"/>
        <n v="0.91357606004274006" u="1"/>
        <n v="1.0744977193595222" u="1"/>
        <n v="0.88808425901846832" u="1"/>
        <n v="1.0885598808983752" u="1"/>
        <n v="0.92595351726201158" u="1"/>
        <n v="1.1587910123737546" u="1"/>
        <n v="0.67631795741705825" u="1"/>
        <n v="0.79798426309887649" u="1"/>
        <n v="1.0538005861297648" u="1"/>
        <n v="1.0263452729544782" u="1"/>
        <n v="0.8760960366076973" u="1"/>
        <n v="0.75916114527271894" u="1"/>
        <n v="0.77093051730389828" u="1"/>
        <n v="0.67222405486362857" u="1"/>
        <n v="0.7824622854857165" u="1"/>
        <n v="1.0472345192727177" u="1"/>
        <n v="1.0548349756200397" u="1"/>
        <n v="0.68870604981817352" u="1"/>
        <n v="0.75170065344026193" u="1"/>
        <n v="0.86863767190908314" u="1"/>
        <n v="0.78045445692113558" u="1"/>
        <n v="1.0715697325851941" u="1"/>
        <n v="0.8585606831999919" u="1"/>
        <n v="0.92811028624286929" u="1"/>
        <n v="0.75326515592726462" u="1"/>
        <n v="0.7739500872428694" u="1"/>
        <n v="0.81632749586920828" u="1"/>
        <n v="0.82499340126937348" u="1"/>
        <n v="0.72058407000428659" u="1"/>
        <n v="1.1761247507127806" u="1"/>
        <n v="1.2237531304673723" u="1"/>
        <n v="1.2468380944735951" u="1"/>
        <n v="1.3440021219388363" u="1"/>
        <n v="1.2013499280097157" u="1"/>
        <n v="1.2230713689188064" u="1"/>
        <n v="1.2413840020850684" u="1"/>
        <n v="1.3306792314248785" u="1"/>
        <n v="1.2524820441521514" u="1"/>
        <n v="2.2382579267230911" u="1"/>
        <n v="1.2243399633709231" u="1"/>
        <n v="1.2590942688254683" u="1"/>
        <n v="2.1054120139742385" u="1"/>
        <n v="2.1406898012615625" u="1"/>
        <n v="2.1768362520789113" u="1"/>
        <n v="2.234844306092675" u="1"/>
        <n v="1.1308122661343409" u="1"/>
        <n v="1.1543307909925566" u="1"/>
        <n v="1.1784284248707895" u="1"/>
        <n v="1.2171004608799654" u="1"/>
        <n v="0.91615332067979538" u="1"/>
        <n v="1.1319704841743747" u="1"/>
        <n v="1.1560681180526073" u="1"/>
        <n v="1.1813239699708744" u="1"/>
        <n v="1.2003062992994729" u="1"/>
        <n v="0.90630846733950654" u="1"/>
        <n v="1.122704739854103" u="1"/>
        <n v="1.1479605917723699" u="1"/>
        <n v="1.1581596091701949" u="1"/>
        <n v="1.1950943181193199" u="1"/>
        <n v="0.90167559517937068" u="1"/>
        <n v="1.1306831390042269" u="1"/>
        <n v="1.1492512047348338" u="1"/>
        <n v="1.1731057085195953" u="1"/>
        <n v="1.2111554381740108" u="1"/>
        <n v="1.1324452850222788" u="1"/>
        <n v="1.1527754967709372" u="1"/>
        <n v="1.1766300005556989" u="1"/>
        <n v="1.214679730210114" u="1"/>
        <n v="1.1781068032777902" u="1"/>
        <n v="1.198633106405403" u="1"/>
        <n v="1.2221516312636187" u="1"/>
        <n v="1.2596654492327606" u="1"/>
        <n v="1.1954800738783" u="1"/>
        <n v="1.2078988507256747" u="1"/>
        <n v="1.2314173755838904" u="1"/>
        <n v="1.2689311935530325" u="1"/>
        <n v="1.173441388653117" u="1"/>
        <n v="1.1981181315513669" u="1"/>
        <n v="1.2204784383695488" u="1"/>
        <n v="1.2417772037782151" u="1"/>
        <n v="1.1578054451126585" u="1"/>
        <n v="1.1807448609508573" u="1"/>
        <n v="1.2036842767890561" u="1"/>
        <n v="1.2406189857381811" u="1"/>
        <n v="1.1624383172727943" u="1"/>
        <n v="1.1865359511510272" u="1"/>
        <n v="1.211791803069294" u="1"/>
        <n v="1.2336696774979772" u="1"/>
        <n v="1.1387270639771849" u="1"/>
        <n v="1.1621361940303252" u="1"/>
        <n v="1.1866704501794987" u="1"/>
        <n v="1.2416770253626386" u="1"/>
        <n v="1.2254249987313988" u="1"/>
        <n v="1.249959254880572" u="1"/>
        <n v="1.2789940154138777" u="1"/>
        <n v="1.3148734469644558" u="1"/>
        <n v="1.2625284518683084" u="1"/>
        <n v="1.2692528151460314" u="1"/>
        <n v="1.2927713400042471" u="1"/>
        <n v="1.3314433760134232" u="1"/>
        <n v="1.1678370179781423" u="1"/>
        <n v="1.1896756482036284" u="1"/>
        <n v="1.2131275106991617" u="1"/>
        <n v="1.2425843293417789" u="1"/>
        <n v="1.3482700800584528" u="1"/>
        <n v="1.351165625158538" u="1"/>
        <n v="1.2082590342757746" u="1"/>
        <n v="1.2156717383906313" u="1"/>
        <n v="1.239862221101939" u="1"/>
        <n v="1.2796391724256626" u="1"/>
        <n v="1.1923076305350444" u="1"/>
        <n v="1.1293965606672891" u="1"/>
        <n v="1.2838262663315443" u="1"/>
        <n v="1.6671830031741319" u="1"/>
        <n v="1.1063169251557805" u="1"/>
        <n v="1.1291634921609042" u="1"/>
        <n v="1.1536977483100779" u="1"/>
        <n v="1.1738254145161942" u="1"/>
        <n v="0.62350801096633024" u="1"/>
        <n v="1.3461277706084245" u="1"/>
        <n v="0.63713494350113209" u="1"/>
        <n v="0.60609508622029096" u="1"/>
        <n v="0.4227004672390301" u="1"/>
        <n v="0.42131087486502361" u="1"/>
        <n v="1.1913441669975322" u="1"/>
        <n v="1.1479561445359481" u="1"/>
        <n v="1.6156073432306317" u="1"/>
        <n v="2.0387891700412633" u="1"/>
        <n v="1.4509910992540622" u="1"/>
        <n v="1.3900644216831588" u="1"/>
        <n v="1.4822010821780005" u="1"/>
        <n v="0.61444296892104999" u="1"/>
        <n v="0.47947821088991216" u="1"/>
        <n v="1.3254950447922806" u="1"/>
        <n v="1.4246851181676814" u="1"/>
        <n v="1.6220999140699148" u="1"/>
        <n v="0.88311369682482432" u="1"/>
        <n v="0.96125830892303687" u="1"/>
        <n v="0.98175540378169224" u="1"/>
        <n v="1.0128142284037718" u="1"/>
        <n v="1.2033659678704056" u="1"/>
        <n v="0.87594009361929481" u="1"/>
        <n v="0.97743205272906075" u="1"/>
        <n v="1.142514759982719" u="1"/>
        <n v="0.79030957796170098" u="1"/>
        <n v="0.86205879894227677" u="1"/>
        <n v="0.7564043267424454" u="1"/>
        <n v="0.82850195811047556" u="1"/>
        <n v="0.87966367622569819" u="1"/>
        <n v="0.73503416000449573" u="1"/>
        <n v="0.81169434629925818" u="1"/>
        <n v="0.73059978841596096" u="1"/>
        <n v="0.77908735814777086" u="1"/>
        <n v="0.77561769753903287" u="1"/>
        <n v="0.83636733724564949" u="1"/>
        <n v="0.76143260126902179" u="1"/>
        <n v="0.81666627517306645" u="1"/>
        <n v="0.73205430314136355" u="1"/>
        <n v="0.83884872707159641" u="1"/>
        <n v="0.74927921577188838" u="1"/>
        <n v="0.75561177373314992" u="1"/>
        <n v="0.74528143962582238" u="1"/>
        <n v="0.85175021671522566" u="1"/>
        <n v="0.91771992855025741" u="1"/>
        <n v="0.71474669298999038" u="1"/>
        <n v="0.69559349634642709" u="1"/>
        <n v="0.6653175291105845" u="1"/>
        <n v="0.63832866589093795" u="1"/>
        <n v="0.78139078548800345" u="1"/>
        <n v="0.73736846195561323" u="1"/>
        <n v="0.74608248743465222" u="1"/>
        <n v="0.93277566712955795" u="1"/>
        <n v="0.81941381183450623" u="1"/>
        <n v="0.74126266641623573" u="1"/>
        <n v="1.0672241625119441" u="1"/>
        <n v="1.1733126492436148" u="1"/>
        <n v="8.5778700966120347" u="1"/>
        <n v="0.56164706865412439" u="1"/>
        <n v="0.48261448838047993" u="1"/>
        <n v="1.0384586063478733" u="1"/>
        <n v="1.0159789260842782" u="1"/>
        <n v="0.99081052712057871" u="1"/>
        <n v="0.99609806592040384" u="1"/>
        <n v="1.0072169995515456" u="1"/>
        <n v="1.0245601625304055" u="1"/>
        <n v="1.0382473548039148" u="1"/>
        <n v="1.0619657686455828" u="1"/>
        <n v="0.95518751061496565" u="1"/>
        <n v="0.96467487615163294" u="1"/>
        <n v="0.9799936365196168" u="1"/>
        <n v="1.0031681943297936" u="1"/>
        <n v="0.96225763902435535" u="1"/>
        <n v="0.97337657265549715" u="1"/>
        <n v="0.97020422795276962" u="1"/>
        <n v="0.99392264179443768" u="1"/>
        <n v="0.96008221489838941" u="1"/>
        <n v="0.95760474774224336" u="1"/>
        <n v="0.9729235081102271" u="1"/>
        <n v="1.0020804822668106" u="1"/>
        <n v="0.95625260493991704" u="1"/>
        <n v="1.0146692460737508" u="1"/>
        <n v="0.9594840122110837" u="1"/>
        <n v="0.9730806756118533" u="1"/>
        <n v="0.87205583865330261" u="1"/>
        <n v="0.90477616803488115" u="1"/>
        <n v="0.91494696220715777" u="1"/>
        <n v="0.9533592713840241" u="1"/>
        <n v="0.88312524711358353" u="1"/>
        <n v="0.88880562042981048" u="1"/>
        <n v="0.91772078158508208" u="1"/>
        <n v="0.97352670128474905" u="1"/>
        <n v="0.94856955386500819" u="1"/>
        <n v="0.95424992718123469" u="1"/>
        <n v="0.94020046184867712" u="1"/>
        <n v="0.97479599632017522" u="1"/>
        <n v="0.98868728862637445" u="1"/>
        <n v="0.99411705723747334" u="1"/>
        <n v="1.008759989942164" u="1"/>
        <n v="1.0262333793427367" u="1"/>
        <n v="1.0763137400738516" u="1"/>
        <n v="1.06614763719365" u="1"/>
        <n v="1.0807905698983404" u="1"/>
        <n v="1.0972242345328267" u="1"/>
        <n v="1.2325401067460675" u="1"/>
        <n v="1.1848575044712937" u="1"/>
        <n v="1.2704256894708721" u="1"/>
        <n v="1.2295396986722993" u="1"/>
        <n v="1.2187962522404907" u="1"/>
        <n v="1.2237372248720697" u="1"/>
        <n v="1.2388093246601661" u="1"/>
        <n v="1.2690674797249311" u="1"/>
        <n v="1.2838903976196678" u="1"/>
        <n v="1.3085952607775626" u="1"/>
        <n v="1.0115101299767175" u="1"/>
        <n v="1.0109896585927203" u="1"/>
        <n v="1.0325092636609279" u="1"/>
        <n v="1.0401766411412592" u="1"/>
        <n v="1.1466695872374737" u="1"/>
        <n v="1.1588575668281362" u="1"/>
        <n v="1.185168616740446" u="1"/>
        <n v="1.2399569520767155" u="1"/>
        <n v="1.2505853445182482" u="1"/>
        <n v="1.2748169448983842" u="1"/>
        <n v="1.1253552295326961" u="1"/>
        <n v="1.1359836219742285" u="1"/>
        <n v="1.1586556352052348" u="1"/>
        <n v="1.0544219471643184" u="1"/>
        <n v="1.0296996975589028" u="1"/>
        <n v="1.0731662061116436" u="1"/>
        <n v="1.0476637361847547" u="1"/>
        <n v="1.0582921286262874" u="1"/>
        <n v="1.0825237290064238" u="1"/>
        <n v="1.0483804518650532" u="1"/>
        <n v="1.0606037295777211" u="1"/>
        <n v="1.0720496906686023" u="1"/>
        <n v="1.0964657049173785" u="1"/>
        <n v="1.0706810619259459" u="1"/>
        <n v="1.0440571008124215" u="1"/>
        <n v="1.0908671869461424" u="1"/>
        <n v="0.98309198753103411" u="1"/>
        <n v="1.0801696206574549" u="1"/>
        <n v="1.0951702109228858" u="1"/>
        <n v="1.108358122825666" u="1"/>
        <n v="1.1160360903290758" u="1"/>
        <n v="0.94514841807527306" u="1"/>
        <n v="0.95827393455752508" u="1"/>
        <n v="0.9765315790379413" u="1"/>
        <n v="0.99076995503444387" u="1"/>
        <n v="1.0878475881608645" u="1"/>
        <n v="1.1028481784262956" u="1"/>
        <n v="1.0846484350344439" u="1"/>
        <n v="0.94007972906491288" u="1"/>
        <n v="0.95226770865557553" u="1"/>
        <n v="0.95934385039528114" u="1"/>
        <n v="0.93384138046839249" u="1"/>
        <n v="0.94446977290992506" u="1"/>
        <n v="0.96870137329006145" u="1"/>
        <n v="1.0115328738163336" u="1"/>
        <n v="1.0221612662578663" u="1"/>
        <n v="1.0448332794888724" u="1"/>
        <n v="0.95264321223742998" u="1"/>
        <n v="0.95131476986896535" u="1"/>
        <n v="0.97398678309997144" u="1"/>
        <n v="1.028775118436241" u="1"/>
        <n v="1.040963098026904" u="1"/>
        <n v="1.0542775883631297" u="1"/>
        <n v="1.072935061330978" u="1"/>
        <n v="1.0835634537725105" u="1"/>
        <n v="1.1077950541526467" u="1"/>
        <n v="0.92941413270506845" u="1"/>
        <n v="0.94053306633621014" u="1"/>
        <n v="0.96425148017787821" u="1"/>
        <n v="0.97280215516665236" u="1"/>
        <n v="0.96869311991603191" u="1"/>
        <n v="0.99241153375769986" u="1"/>
        <n v="0.94893271980989424" u="1"/>
        <n v="0.96168322153551067" u="1"/>
        <n v="0.97561222681033144" u="1"/>
        <n v="0.99513081391515745" u="1"/>
        <n v="1.0062497475462993" u="1"/>
        <n v="1.0315997294824419" u="1"/>
        <n v="0.86955940778364915" u="1"/>
        <n v="0.8932778216253171" u="1"/>
        <n v="0.94213496585916956" u="1"/>
        <n v="0.86847169572066618" u="1"/>
        <n v="0.89055854146785962" u="1"/>
        <n v="0.95627522267794862" u="1"/>
        <n v="1.1288609534048766" u="1"/>
        <n v="1.4976600372141788" u="1"/>
        <n v="0.95489623372855637" u="1"/>
        <n v="0.89727744169640478" u="1"/>
        <n v="1.0140746129098381" u="1"/>
        <n v="1.2425583183297935" u="1"/>
        <n v="1.2242784648030405" u="1"/>
        <n v="1.3573433953176937" u="1"/>
        <n v="1.2534354389596238" u="1"/>
        <n v="1.2351555854328706" u="1"/>
        <n v="1.3491855548453207" u="1"/>
        <n v="1.620693746160673" u="1"/>
        <n v="1.5647664735174311" u="1"/>
        <n v="1.5448550518962036" u="1"/>
        <n v="1.3417828219483978" u="1"/>
        <n v="1.4489539144954164" u="1"/>
        <n v="1.261049423400505" u="1"/>
        <n v="1.242769569873752" u="1"/>
        <n v="1.2344004778574209" u="1"/>
        <n v="1.2144890562361932" u="1"/>
        <n v="1.6790584391008898" u="1"/>
        <n v="1.5067642276209103" u="1"/>
        <n v="1.5327487520293739" u="1"/>
        <n v="1.5013610967347415" u="1"/>
        <n v="0.8230287527339627" u="1"/>
        <n v="0.97098298536554162" u="1"/>
        <n v="0.87282120021344944" u="1"/>
        <n v="0.98485321479176502" u="1"/>
        <n v="0.89449605269294818" u="1"/>
        <n v="1.0137146060827362" u="1"/>
        <n v="0.89514556494704633" u="1"/>
        <n v="1.0483247046226802" u="1"/>
        <n v="0.86702083605196112" u="1"/>
        <n v="1.0591577279797151" u="1"/>
        <n v="0.90489009429550449" u="1"/>
        <n v="1.1293888594550943" u="1"/>
        <n v="0.66023223714193868" u="1"/>
        <n v="0.77561398345772825" u="1"/>
        <n v="1.0275843086178031" u="1"/>
        <n v="0.9971130746769663" u="1"/>
        <n v="0.85162256828233851" u="1"/>
        <n v="0.73805149469781406" u="1"/>
        <n v="0.74649151424738802" u="1"/>
        <n v="0.65357709658030105" u="1"/>
        <n v="0.76019391108949352" u="1"/>
        <n v="1.017865948827577" u="1"/>
        <n v="1.0211262286135563" u="1"/>
        <n v="0.66965302101360369" u="1"/>
        <n v="0.72790110472107239" u="1"/>
        <n v="0.84122056763293274" u="1"/>
        <n v="0.7582528492318078" u="1"/>
        <n v="1.0409532111521413" u="1"/>
        <n v="0.83451948808238785" u="1"/>
        <n v="0.8984103572477411" u="1"/>
        <n v="0.73229759334554578" u="1"/>
        <n v="0.75192176632142527" u="1"/>
        <n v="0.79069521261504772" u="1"/>
        <n v="0.80132903842793446" u="1"/>
        <n v="0.69997252081177308" u="1"/>
        <n v="1.1251802819057606" u="1"/>
        <n v="1.1713301170889943" u="1"/>
        <n v="1.1936529719047324" u="1"/>
        <n v="1.2872453043983187" u="1"/>
        <n v="1.1496691228390199" u="1"/>
        <n v="1.1706682565232305" u="1"/>
        <n v="1.1883580873786221" u="1"/>
        <n v="1.2749055465344599" u="1"/>
        <n v="1.1993086652713019" u="1"/>
        <n v="2.1517642500400225" u="1"/>
        <n v="1.171811573234528" u="1"/>
        <n v="1.2054101871292648" u="1"/>
        <n v="2.0167714032126658" u="1"/>
        <n v="2.0508760914987727" u="1"/>
        <n v="2.0858205574805662" u="1"/>
        <n v="2.1418996585905723" u="1"/>
        <n v="1.0807898545979171" u="1"/>
        <n v="1.1035263134553221" u="1"/>
        <n v="1.1268226241098511" u="1"/>
        <n v="1.1642086915165217" u="1"/>
        <n v="0.88623905722949603" u="1"/>
        <n v="1.0819095581921645" u="1"/>
        <n v="1.1052058688466933" u="1"/>
        <n v="1.129621883095469" u="1"/>
        <n v="1.1479729893999371" u="1"/>
        <n v="0.87672157667839468" u="1"/>
        <n v="1.0729519294381866" u="1"/>
        <n v="1.0973679436869626" u="1"/>
        <n v="1.1072278112105245" u="1"/>
        <n v="1.1429343232258244" u="1"/>
        <n v="0.87224276230140574" u="1"/>
        <n v="1.0848727160648086" u="1"/>
        <n v="1.1028233343578624" u="1"/>
        <n v="1.125884599770373" u="1"/>
        <n v="1.1626690544944027" u="1"/>
        <n v="1.0865762651046276" u="1"/>
        <n v="1.1062304324375003" u="1"/>
        <n v="1.1292916978500109" u="1"/>
        <n v="1.1660761525740408" u="1"/>
        <n v="1.1265116974611364" u="1"/>
        <n v="1.1593254886667668" u="1"/>
        <n v="1.1820619475241716" u="1"/>
        <n v="1.2183283113365955" u="1"/>
        <n v="1.1433072513748446" u="1"/>
        <n v="1.1682831174207446" u="1"/>
        <n v="1.1910195762781495" u="1"/>
        <n v="1.2272859400905729" u="1"/>
        <n v="1.1220014227604016" u="1"/>
        <n v="1.1458575852120538" u="1"/>
        <n v="1.1674743404752119" u="1"/>
        <n v="1.1880648539681742" u="1"/>
        <n v="1.1068854242380639" u="1"/>
        <n v="1.1290620312983457" u="1"/>
        <n v="1.1512386383586268" u="1"/>
        <n v="1.186945150373927" u="1"/>
        <n v="1.1113642386150528" u="1"/>
        <n v="1.1346605492695814" u="1"/>
        <n v="1.1590765635183577" u="1"/>
        <n v="1.1802269288084437" u="1"/>
        <n v="1.0929961238979522" u="1"/>
        <n v="1.1156268256766373" u="1"/>
        <n v="1.1393452395183055" u="1"/>
        <n v="1.1925226705467367" u="1"/>
        <n v="1.1726112489255092" u="1"/>
        <n v="1.1963296627671773" u="1"/>
        <n v="1.2243989248607774" u="1"/>
        <n v="1.2590852508184973" u="1"/>
        <n v="1.1994793547353093" u="1"/>
        <n v="1.2059801114761297" u="1"/>
        <n v="1.228716570333535" u="1"/>
        <n v="1.2661026377402056" u="1"/>
        <n v="1.1094414272812534" u="1"/>
        <n v="1.1305538533631296" u="1"/>
        <n v="1.1532258665941357" u="1"/>
        <n v="1.1817031520180954" u="1"/>
        <n v="1.3039865554436942" u="1"/>
        <n v="1.3067858144293125" u="1"/>
        <n v="1.1553064335552348" u="1"/>
        <n v="1.1758132677090729" u="1"/>
        <n v="1.1991993396766896" u="1"/>
        <n v="1.2376535804378366" u="1"/>
        <n v="1.1532890347644669" u="1"/>
        <n v="1.0923912790131558" u="1"/>
        <n v="1.2417643838782979" u="1"/>
        <n v="1.6123732859024285" u="1"/>
        <n v="1.0616637256154031" u="1"/>
        <n v="1.0837505713625963" u="1"/>
        <n v="1.1074689852042647" u="1"/>
        <n v="1.1269273422802222" u="1"/>
        <n v="0.60324645820554135" u="1"/>
        <n v="1.3018997486770745" u="1"/>
        <n v="0.623321021633507" u="1"/>
        <n v="0.59318896880044836" u="1"/>
        <n v="0.41460282291209194" u="1"/>
        <n v="0.41324183184365348" u="1"/>
        <n v="1.3750512824909678" u="1"/>
        <n v="0.90040710103535071" u="1"/>
        <n v="1.2087747795304145" u="1"/>
        <n v="1.1647432542358302" u="1"/>
        <n v="1.6392882397229636" u="1"/>
        <n v="2.0687464232094004" u="1"/>
        <n v="1.4722305150485693" u="1"/>
        <n v="1.4104002127582658" u="1"/>
        <n v="1.5039033840707896" u="1"/>
        <n v="0.62334543310828083" u="1"/>
        <n v="0.48524911180524399" u="1"/>
        <n v="1.3925655087609903" u="1"/>
        <n v="0.9727359896324187" u="1"/>
        <n v="0.91188478174473275" u="1"/>
        <n v="0.79591833213453189" u="1"/>
        <n v="0.87344571491878509" u="1"/>
        <n v="0.76188100504416423" u="1"/>
        <n v="0.84027117955978869" u="1"/>
        <n v="0.89143605619423683" u="1"/>
        <n v="0.740193889939883" u="1"/>
        <n v="0.82250099134827037" u="1"/>
        <n v="0.73500258231008964" u="1"/>
        <n v="0.79014657298019531" u="1"/>
        <n v="0.78030478722566787" u="1"/>
        <n v="0.84827609134565185" u="1"/>
        <n v="0.76698385565693628" u="1"/>
        <n v="0.8275043188029324" u="1"/>
        <n v="0.73645654091348778" u="1"/>
        <n v="0.84982685667757862" u="1"/>
        <n v="0.75903081900610381" u="1"/>
        <n v="0.7663228140183127" u="1"/>
        <n v="0.7497607146054206" u="1"/>
        <n v="0.85686938812048075" u="1"/>
        <n v="0.93079712039083118" u="1"/>
        <n v="0.7509823735721437" u="1"/>
        <n v="0.70473255681947844" u="1"/>
        <n v="0.67465125328702946" u="1"/>
        <n v="0.64354311210359083" u="1"/>
        <n v="0.78744975541964435" u="1"/>
        <n v="0.74116343415240937" u="1"/>
        <n v="0.75684284956871917" u="1"/>
        <n v="0.93985490821971951" u="1"/>
        <n v="0.82565612872620719" u="1"/>
        <n v="0.74697612233223254" u="1"/>
        <n v="1.0744435325034143" u="1"/>
        <n v="1.1807232207197258" u="1"/>
        <n v="8.703837633763202" u="1"/>
        <n v="0.56421027689211067" u="1"/>
        <n v="0.48475049524546837" u="1"/>
        <n v="0.96911560174234823" u="1"/>
        <n v="0.97874367769295445" u="1"/>
        <n v="0.99428963591729524" u="1"/>
        <n v="1.0178079036445942" u="1"/>
        <n v="0.97629058968215665" u="1"/>
        <n v="0.98757443208041074" u="1"/>
        <n v="0.98435503723140694" u="1"/>
        <n v="1.0084252271079219" u="1"/>
        <n v="0.97408290108529261" u="1"/>
        <n v="0.97156868975314614" u="1"/>
        <n v="0.98711464797748694" u="1"/>
        <n v="1.0167040593461623" u="1"/>
        <n v="0.97018245598946118" u="1"/>
        <n v="1.029465494620375" u="1"/>
        <n v="0.97346178938437344" u="1"/>
        <n v="0.98726010962316768" u="1"/>
        <n v="0.88474395664515859" u="1"/>
        <n v="0.91794957259798815" u="1"/>
        <n v="0.92827121335170371" u="1"/>
        <n v="0.96725322882941078" u="1"/>
        <n v="0.89598455777841834" u="1"/>
        <n v="0.90174917868451221" u="1"/>
        <n v="0.93109319063925378" u="1"/>
        <n v="0.98772678731951391" u="1"/>
        <n v="0.96239949177692574" u="1"/>
        <n v="0.9681641126830195" u="1"/>
        <n v="0.95390627484969526" u="1"/>
        <n v="0.98901490771053058" u="1"/>
        <n v="1.0031227542447156" u="1"/>
        <n v="1.0086330536402466" u="1"/>
        <n v="1.023493160766455" u="1"/>
        <n v="1.0412257040750292" u="1"/>
        <n v="1.0920488240327644" u="1"/>
        <n v="1.0817319441493065" u="1"/>
        <n v="1.0965920512755145" u="1"/>
        <n v="1.1132694492988231" u="1"/>
        <n v="1.247364909986342" u="1"/>
        <n v="1.1996823077115684" u="1"/>
        <n v="1.2860346024228169" u="1"/>
        <n v="1.244708923935457" u="1"/>
        <n v="1.2340387587851127" u="1"/>
        <n v="1.2390530126981565" u="1"/>
        <n v="1.254271675049182" u="1"/>
        <n v="1.2848229552398049" u="1"/>
        <n v="1.2998657169789354" u="1"/>
        <n v="1.3249369865441529" u="1"/>
        <n v="1.0239056587364428" u="1"/>
        <n v="1.0235097655309351" u="1"/>
        <n v="1.0452162378668775" u="1"/>
        <n v="1.0531950607934328" u="1"/>
        <n v="1.1634481432054637" u="1"/>
        <n v="1.1758168869552232" u="1"/>
        <n v="1.2025181651885581" u="1"/>
        <n v="1.2581190853582445" u="1"/>
        <n v="1.2689051111801051" u="1"/>
        <n v="1.2934960988429078" u="1"/>
        <n v="1.1418176648575125" u="1"/>
        <n v="1.1526036906793731" u="1"/>
        <n v="1.175611960414277" u="1"/>
        <n v="1.0698323463379493" u="1"/>
        <n v="1.0447434324607683" u="1"/>
        <n v="1.0888546079009911" u="1"/>
        <n v="1.0629739019837208" u="1"/>
        <n v="1.0737599278055812" u="1"/>
        <n v="1.0983509154683841" u="1"/>
        <n v="1.0636837014460447" u="1"/>
        <n v="1.0760882668365184" u="1"/>
        <n v="1.0877039869523681" u="1"/>
        <n v="1.1124821235899569" u="1"/>
        <n v="1.0863150596014035" u="1"/>
        <n v="1.0592962292721315" u="1"/>
        <n v="1.1068005720539098" u="1"/>
        <n v="0.99739182906357593" u="1"/>
        <n v="1.0959092542891435" u="1"/>
        <n v="1.1111323235196167" u="1"/>
        <n v="1.1245158299249651" u="1"/>
        <n v="1.1323076720315444" u="1"/>
        <n v="1.0051836711701552" u="1"/>
        <n v="1.1037010963957226" u="1"/>
        <n v="1.1189241656261957" u="1"/>
        <n v="1.1004544955179814" u="1"/>
        <n v="0.95379427908239411" u="1"/>
        <n v="0.96616302283215338" u="1"/>
        <n v="0.97334411328806858" u="1"/>
        <n v="0.94746340737079848" u="1"/>
        <n v="0.95824943319265887" u="1"/>
        <n v="0.98284042085546186" u="1"/>
        <n v="1.0263071702445903" u="1"/>
        <n v="1.0370931960664507" u="1"/>
        <n v="1.0601014658013548" u="1"/>
        <n v="0.96654409563807053" u="1"/>
        <n v="0.96519595067937292" u="1"/>
        <n v="0.98820422041427691" u="1"/>
        <n v="1.0438051405839635" u="1"/>
        <n v="1.0561738843337229" u="1"/>
        <n v="1.0696858465012336" u="1"/>
        <n v="1.0886200349317896" u="1"/>
        <n v="1.0994060607536502" u="1"/>
        <n v="1.1239970484164528" u="1"/>
        <n v="0.94295996991166708" u="1"/>
        <n v="0.95424381230992106" u="1"/>
        <n v="0.97831400218643605" u="1"/>
        <n v="0.98699149520625118" u="1"/>
        <n v="0.98282151742645663" u="1"/>
        <n v="1.0068917073029713" u="1"/>
        <n v="0.96276804396209503" u="1"/>
        <n v="0.97570765280799732" u="1"/>
        <n v="0.98984324399862367" u="1"/>
        <n v="1.0096513180490516" u="1"/>
        <n v="1.0209351604473056" u="1"/>
        <n v="1.0466611167714686" u="1"/>
        <n v="0.88221751877296117" u="1"/>
        <n v="0.90628770864947628" u="1"/>
        <n v="0.95586947016116375" u="1"/>
        <n v="0.88111367447452915" u="1"/>
        <n v="0.90352809790339605" u="1"/>
        <n v="0.97021944604078048" u="1"/>
        <n v="1.1453648556919207" u="1"/>
        <n v="1.5196337268244231" u="1"/>
        <n v="0.96883053247357309" u="1"/>
        <n v="0.91035717612152056" u="1"/>
        <n v="1.0288866067535245" u="1"/>
        <n v="1.2607485057315508" u="1"/>
        <n v="1.2421975373471958" u="1"/>
        <n v="1.3772360000696131" u="1"/>
        <n v="1.2717869487158713" u="1"/>
        <n v="1.2532359803315165" u="1"/>
        <n v="1.3689571678313726" u="1"/>
        <n v="1.6444921914470181" u="1"/>
        <n v="1.5877354419955219" u="1"/>
        <n v="1.5675287071635196" u="1"/>
        <n v="1.3614446424313387" u="1"/>
        <n v="1.4702052266803767" u="1"/>
        <n v="1.2795138588048955" u="1"/>
        <n v="1.260962890420541" u="1"/>
        <n v="1.2524696734933105" u="1"/>
        <n v="1.2322629386613075" u="1"/>
        <n v="1.7036804008373361" u="1"/>
        <n v="1.5288308340563626" u="1"/>
        <n v="1.5552007439726767" u="1"/>
        <n v="1.5233475674591137" u="1"/>
        <n v="0.82689967184151403" u="1"/>
        <n v="0.98226830271107923" u="1"/>
        <n v="0.87669211932100077" u="1"/>
        <n v="0.99613853213730275" u="1"/>
        <n v="0.89836697180049951" u="1"/>
        <n v="1.0249999234282738" u="1"/>
        <n v="0.89901648405459755" u="1"/>
        <n v="1.0596100219682179" u="1"/>
        <n v="0.87144474360344837" u="1"/>
        <n v="1.0718353896730788" u="1"/>
        <n v="0.90931400184699163" u="1"/>
        <n v="1.142066521148458" u="1"/>
        <n v="0.66361068800006218" u="1"/>
        <n v="0.78525963213049699" u="1"/>
        <n v="1.0330904596475512" u="1"/>
        <n v="1.0097174550888655" u="1"/>
        <n v="0.86217507281323091" u="1"/>
        <n v="0.7424851113391393" u="1"/>
        <n v="0.75702915799513171" u="1"/>
        <n v="0.6574934790074618" u="1"/>
        <n v="0.76573714582121866" u="1"/>
        <n v="1.0240341694807555" u="1"/>
        <n v="1.0356608136093428" u="1"/>
        <n v="0.67365468960000896" u="1"/>
        <n v="0.73816302764730546" u="1"/>
        <n v="0.85247588661615736" u="1"/>
        <n v="0.76376729540084698" u="1"/>
        <n v="1.0483566655512786" u="1"/>
        <n v="0.83956881101516401" u="1"/>
        <n v="0.91121641444902146" u="1"/>
        <n v="0.73670136753690318" u="1"/>
        <n v="0.75737548919684761" u="1"/>
        <n v="0.80119041221783571" u="1"/>
        <n v="1.0206835668195988" u="1"/>
        <n v="0.70530242495481399" u="1"/>
        <n v="1.1411617636042115" u="1"/>
        <n v="1.1877818752134734" u="1"/>
        <n v="1.2104245350006884" u="1"/>
        <n v="1.3060982600135569" u="1"/>
        <n v="1.1658052557546483" u="1"/>
        <n v="1.1871158348850834" u="1"/>
        <n v="1.2050962123735671" u="1"/>
        <n v="1.2924763652534779" u="1"/>
        <n v="1.2157582803839126" u="1"/>
        <n v="2.1834391864495046" u="1"/>
        <n v="1.1884452041638123" u="1"/>
        <n v="1.2225421307725082" u="1"/>
        <n v="2.0463143728465809" u="1"/>
        <n v="2.0809248796117426" u="1"/>
        <n v="2.1163876191073117" u="1"/>
        <n v="2.1732984488463036" u="1"/>
        <n v="1.0965737792890247" u="1"/>
        <n v="1.1196474504657992" u="1"/>
        <n v="1.1432892767961789" u="1"/>
        <n v="1.1812298299555068" u="1"/>
        <n v="0.89913753146293762" u="1"/>
        <n v="1.0977100895962342" u="1"/>
        <n v="1.1213519159266134" u="1"/>
        <n v="1.1461300525642024" u="1"/>
        <n v="1.1647533305009696" u="1"/>
        <n v="0.88947889385165724" u="1"/>
        <n v="1.0886196071385585" u="1"/>
        <n v="1.1133977437761473" u="1"/>
        <n v="1.1234038464200133" u="1"/>
        <n v="1.1596399341185271" u="1"/>
        <n v="0.88493365262281953" u="1"/>
        <n v="1.100713685877172" u="1"/>
        <n v="1.1189305360257089" u="1"/>
        <n v="1.1423338310764375" u="1"/>
        <n v="1.1796638488264435" u="1"/>
        <n v="1.1024425008445693" u="1"/>
        <n v="1.1223881659605031" u="1"/>
        <n v="1.1457914610112316" u="1"/>
        <n v="1.1831214787612379" u="1"/>
        <n v="1.142973738686329" u="1"/>
        <n v="1.1762742026279889" u="1"/>
        <n v="1.1993478738047636" u="1"/>
        <n v="1.2361521166568823" u="1"/>
        <n v="1.1600183932944712" u="1"/>
        <n v="1.1853646850856647" u="1"/>
        <n v="1.2084383562624392" u="1"/>
        <n v="1.2452425991145579" u="1"/>
        <n v="1.1383965705347556" u="1"/>
        <n v="1.1626065520187396" u="1"/>
        <n v="1.1845439128883049" u="1"/>
        <n v="1.2054398114394909" u="1"/>
        <n v="1.1230563813874277" u="1"/>
        <n v="1.1455618974105974" u="1"/>
        <n v="1.1680674134337676" u="1"/>
        <n v="1.2043035011322816" u="1"/>
        <n v="1.1276016226162657" u="1"/>
        <n v="1.151243448946645" u="1"/>
        <n v="1.176021585584234" u="1"/>
        <n v="1.1974856392890247" u="1"/>
        <n v="1.1089681024400684" u="1"/>
        <n v="1.1319344480181515" u="1"/>
        <n v="1.156004637894666" u="1"/>
        <n v="1.2099707618751387" u="1"/>
        <n v="1.189764027043136" u="1"/>
        <n v="1.2138342169196508" u="1"/>
        <n v="1.2423197839898938" u="1"/>
        <n v="1.2775205548970214" u="1"/>
        <n v="1.2170236046326048" u="1"/>
        <n v="1.2236207763548423" u="1"/>
        <n v="1.2466944475316168" u="1"/>
        <n v="1.2846350006909453" u="1"/>
        <n v="1.1256678394768371" u="1"/>
        <n v="1.1470933912838424" u="1"/>
        <n v="1.170101661018746" u="1"/>
        <n v="1.1990013029550979" u="1"/>
        <n v="1.3230807879377833" u="1"/>
        <n v="1.3259215637058068" u="1"/>
        <n v="1.1721885210831036" u="1"/>
        <n v="1.192999499217819" u="1"/>
        <n v="1.2167324181425017" u="1"/>
        <n v="1.2557569871063821" u="1"/>
        <n v="1.1701131278265622" u="1"/>
        <n v="1.108347268459799" u="1"/>
        <n v="1.2599006855771389" u="1"/>
        <n v="1.6360062169670981" u="1"/>
      </sharedItems>
    </cacheField>
    <cacheField name="Stock Carring (M)" numFmtId="0">
      <sharedItems containsBlank="1" containsMixedTypes="1" containsNumber="1" containsInteger="1" minValue="45" maxValue="120"/>
    </cacheField>
    <cacheField name="Payment Terms3" numFmtId="0">
      <sharedItems containsString="0" containsBlank="1" containsNumber="1" containsInteger="1" minValue="0" maxValue="120"/>
    </cacheField>
    <cacheField name="Working days" numFmtId="0">
      <sharedItems containsBlank="1" containsMixedTypes="1" containsNumber="1" containsInteger="1" minValue="-120" maxValue="45" count="10">
        <n v="-15"/>
        <n v="-30"/>
        <n v="-45"/>
        <n v="15"/>
        <n v="-75"/>
        <n v="-60"/>
        <n v="-120"/>
        <e v="#N/A"/>
        <m/>
        <n v="45" u="1"/>
      </sharedItems>
    </cacheField>
    <cacheField name="Capital Cost" numFmtId="0">
      <sharedItems containsBlank="1" containsMixedTypes="1" containsNumber="1" minValue="-0.15996386331487145" maxValue="2.9894338833308325"/>
    </cacheField>
    <cacheField name="Present Value (R$/KG)" numFmtId="0">
      <sharedItems containsBlank="1" containsMixedTypes="1" containsNumber="1" minValue="7.0294656033802561" maxValue="144.21926944582938" count="8000">
        <n v="9.7126856456793416"/>
        <n v="9.8412152568804689"/>
        <n v="14.552782416666668"/>
        <n v="23.146073142381461"/>
        <n v="21.100802553484534"/>
        <n v="20.75992412200171"/>
        <n v="24.441411182016179"/>
        <n v="23.418775887567719"/>
        <n v="23.077897456084894"/>
        <n v="20.555397063112018"/>
        <n v="21.441680984967352"/>
        <n v="14.815413666666666"/>
        <n v="18.578302160511658"/>
        <n v="18.237423729028837"/>
        <n v="20.078167259036068"/>
        <n v="14.728484248787669"/>
        <n v="12.870070464405085"/>
        <n v="17.864402204963188"/>
        <n v="17.407859278550049"/>
        <n v="19.878811203753163"/>
        <n v="11.033683142941772"/>
        <n v="9.8495306795936202"/>
        <n v="16.691710038811937"/>
        <n v="16.154364728100106"/>
        <n v="9.1321904063578287"/>
        <n v="19.714277411566016"/>
        <n v="25.423571337879277"/>
        <n v="17.363391677201733"/>
        <n v="17.900736987913568"/>
        <n v="8.4971940504564358"/>
        <n v="8.6909712310892413"/>
        <n v="16.288701055778059"/>
        <n v="19.647109247727041"/>
        <n v="11.989938570083371"/>
        <n v="12.25861122543929"/>
        <n v="12.997461027668065"/>
        <n v="14.004983485252756"/>
        <n v="16.020028400422145"/>
        <n v="12.930292863829084"/>
        <n v="15.584752619611038"/>
        <n v="14.856821779976777"/>
        <n v="20.15086425004413"/>
        <n v="16.445034520996984"/>
        <n v="16.775912175376192"/>
        <n v="17.1067898297554"/>
        <n v="17.636194076762134"/>
        <n v="9.1657261246543751"/>
        <n v="16.577385582748668"/>
        <n v="20.664380811173988"/>
        <n v="15.475240900374029"/>
        <n v="15.078187715118975"/>
        <n v="15.144363245994818"/>
        <n v="15.21053877687066"/>
        <n v="15.342889838622344"/>
        <n v="15.607591962125712"/>
        <n v="15.806118554753237"/>
        <n v="16.136996209132445"/>
        <n v="14.4826079372364"/>
        <n v="14.614958998988085"/>
        <n v="14.813485591615606"/>
        <n v="13.291448381471245"/>
        <n v="13.423799443222929"/>
        <n v="13.622326035850453"/>
        <n v="13.953203690229662"/>
        <n v="11.504709047823512"/>
        <n v="16.00464514738076"/>
        <n v="12.497342010961141"/>
        <n v="12.629693072712826"/>
        <n v="12.828219665340349"/>
        <n v="13.15909731971956"/>
        <n v="13.556150504974614"/>
        <n v="13.754677097602135"/>
        <n v="14.085554751981347"/>
        <n v="11.637060109575197"/>
        <n v="11.835586702202722"/>
        <n v="12.166464356581931"/>
        <n v="15.739943023877396"/>
        <n v="15.93846961650492"/>
        <n v="16.269347270884129"/>
        <n v="15.409065369498185"/>
        <n v="19.520109130270203"/>
        <n v="18.955642671057614"/>
        <n v="24.318074033577229"/>
        <n v="20.438389710655905"/>
        <n v="26.653656266985848"/>
        <n v="23.558293998803762"/>
        <n v="26.723191990222183"/>
        <n v="24.746281152771562"/>
        <n v="12.020476862398567"/>
        <n v="15.589295599086871"/>
        <n v="16.511210051872826"/>
        <n v="16.842087706252034"/>
        <n v="17.172965360631245"/>
        <n v="17.702369607637984"/>
        <n v="18.231773854644715"/>
        <n v="18.562651509023926"/>
        <n v="18.893529163403134"/>
        <n v="19.422933410409868"/>
        <n v="16.180332397493615"/>
        <n v="17.371491953258769"/>
        <n v="11.81274735968805"/>
        <n v="16.709736644500353"/>
        <n v="15.650928150486882"/>
        <n v="15.98180580486609"/>
        <n v="16.974438768003715"/>
        <n v="15.915630273990249"/>
        <n v="16.246507928369457"/>
        <n v="16.643561113624507"/>
        <n v="17.437667484134614"/>
        <n v="17.967071731141345"/>
        <n v="16.114156866617773"/>
        <n v="17.30531642238293"/>
        <n v="18.033247262017191"/>
        <n v="18.364124916396403"/>
        <n v="17.503843015010453"/>
        <n v="17.834720669389668"/>
        <n v="18.165598323768872"/>
        <n v="18.69500257077561"/>
        <n v="18.49647597814808"/>
        <n v="19.025880225154818"/>
        <n v="18.761178101651449"/>
        <n v="14.010531178641855"/>
        <n v="14.351409610124675"/>
        <n v="15.374044904573141"/>
        <n v="24.782289613499003"/>
        <n v="19.669113141256688"/>
        <n v="15.987626081242217"/>
        <n v="14.964990786793754"/>
        <n v="17.010261375690682"/>
        <n v="11.339914949999999"/>
        <n v="13.245080099999999"/>
        <n v="13.040273399999998"/>
        <n v="13.813216199999999"/>
        <n v="14.542189200000001"/>
        <n v="10.732437449999995"/>
        <n v="12.289315500000003"/>
        <n v="12.1527777"/>
        <n v="11.296523699999998"/>
        <n v="10.1683512"/>
        <n v="10.357305629999999"/>
        <n v="11.5568712"/>
        <n v="13.518155699999999"/>
        <n v="10.650861899999997"/>
        <n v="12.511478699999998"/>
        <n v="11.643653699999998"/>
        <n v="11.209741199999998"/>
        <n v="18.152341199999995"/>
        <n v="135.35801388333087"/>
        <n v="9.0401786999999985"/>
        <n v="12.9453912"/>
        <n v="12.494122199999998"/>
        <n v="11.730436199999998"/>
        <n v="13.07556495"/>
        <n v="11.6748954"/>
        <n v="11.904001200000002"/>
        <n v="8.602794900000001"/>
        <n v="8.4327012000000021"/>
        <n v="11.128744199999998"/>
        <n v="14.359085789503508"/>
        <n v="15.743052221323763"/>
        <n v="19.202968300874399"/>
        <n v="14.566680754276543"/>
        <n v="15.950647186096798"/>
        <n v="19.410563265647433"/>
        <n v="16.365837115642876"/>
        <n v="17.749803547463127"/>
        <n v="21.209719627013762"/>
        <n v="17.196216974735027"/>
        <n v="18.580183406555278"/>
        <n v="22.040099486105913"/>
        <n v="11.729549569045025"/>
        <n v="11.66035124745401"/>
        <n v="13.044317679274267"/>
        <n v="16.504233758824903"/>
        <n v="15.189465648595659"/>
        <n v="15.812250542914773"/>
        <n v="20.656133054285661"/>
        <n v="19.133769979283379"/>
        <n v="22.593686058834017"/>
        <n v="20.517736411103638"/>
        <n v="23.977652490654272"/>
        <n v="17.33461361791705"/>
        <n v="17.127018653144013"/>
        <n v="20.586934732694647"/>
        <n v="12.629127749728191"/>
        <n v="13.390309287229329"/>
        <n v="14.220689146321483"/>
        <n v="15.604655578141738"/>
        <n v="19.064571657692369"/>
        <n v="14.981870683822621"/>
        <n v="19.82575319519351"/>
        <n v="11.283343112681314"/>
        <n v="11.349518643557158"/>
        <n v="11.415694174432998"/>
        <n v="11.548045236184683"/>
        <n v="12.011273952315577"/>
        <n v="12.342151606694786"/>
        <e v="#N/A"/>
        <n v="11.314359639498949"/>
        <n v="17.027550858006837"/>
        <n v="10.775828699999998"/>
        <n v="16.312683459245299"/>
        <n v="15.281178598193373"/>
        <n v="7.6240079205497002"/>
        <n v="12.661620208473169"/>
        <n v="13.93781532141378"/>
        <n v="14.273656140608676"/>
        <n v="15.146842270515412"/>
        <n v="17.632064332557654"/>
        <n v="13.131797355346023"/>
        <n v="11.383306199999998"/>
        <n v="16.138063565224996"/>
        <n v="18.372588441782245"/>
        <n v="8.6062662000000003"/>
        <n v="11.107655862568459"/>
        <n v="11.173831393444303"/>
        <n v="11.240006924320143"/>
        <n v="11.372357986071828"/>
        <n v="13.292521199999999"/>
        <n v="19.121485370976274"/>
        <n v="27.998354444276714"/>
        <n v="21.888414056966511"/>
        <n v="20.144908055231969"/>
        <n v="13.497675029999998"/>
        <n v="20.217039780919972"/>
        <n v="20.547917435299183"/>
        <n v="20.878795089678391"/>
        <n v="21.408199336685129"/>
        <n v="13.601473666666665"/>
        <n v="13.778706523297796"/>
        <m/>
        <n v="15.159498666666668" u="1"/>
        <n v="22.393123969831798" u="1"/>
        <n v="20.6223661000936" u="1"/>
        <n v="20.359919874084703" u="1"/>
        <n v="23.759050994393046" u="1"/>
        <n v="22.885436890345037" u="1"/>
        <n v="22.62299066433614" u="1"/>
        <n v="20.42990553435374" u="1"/>
        <n v="21.276973353472112" u="1"/>
        <n v="15.342959916666667" u="1"/>
        <n v="18.366535205732063" u="1"/>
        <n v="18.127618641365341" u="1"/>
        <n v="19.740908775498195" u="1"/>
        <n v="18.429280970111204" u="1"/>
        <n v="18.166834744102307" u="1"/>
        <n v="19.835027422066904" u="1"/>
        <n v="18.350848764637281" u="1"/>
        <n v="18.088402538628383" u="1"/>
        <n v="18.190364405744482" u="1"/>
        <n v="16.034973731954818" u="1"/>
        <n v="15.559446908316025" u="1"/>
        <n v="18.726520964379173" u="1"/>
        <n v="23.935736564256889" u="1"/>
        <n v="17.989303858816292" u="1"/>
        <n v="17.163076002743892" u="1"/>
        <n v="18.194374801510524" u="1"/>
        <n v="10.289930175574685" u="1"/>
        <n v="10.352343071177277" u="1"/>
        <n v="17.030522900654582" u="1"/>
        <n v="17.101257515670852" u="1"/>
        <n v="19.817110087177909" u="1"/>
        <n v="12.077034531743486" u="1"/>
        <n v="12.954069205011027" u="1"/>
        <n v="13.569282033093714" u="1"/>
        <n v="14.669532221287971" u="1"/>
        <n v="16.282756970482577" u="1"/>
        <n v="12.915432650590375" u="1"/>
        <n v="13.718478574010385" u="1"/>
        <n v="15.973021442360448" u="1"/>
        <n v="14.582749669800725" u="1"/>
        <n v="19.518975773804897" u="1"/>
        <n v="16.25470666670806" u="1"/>
        <n v="16.570358092744151" u="1"/>
        <n v="16.901235747123359" u="1"/>
        <n v="17.560062935046567" u="1"/>
        <n v="9.9498768843247483" u="1"/>
        <n v="15.85826888312007" u="1"/>
        <n v="15.70363432552074" u="1"/>
        <n v="14.37778121133573" u="1"/>
        <n v="15.289012415254401" u="1"/>
        <n v="16.048884586575845" u="1"/>
        <n v="15.358116066965458" u="1"/>
        <n v="15.546687048753256" u="1"/>
        <n v="15.729987413037666" u="1"/>
        <n v="16.030412610730647" u="1"/>
        <n v="14.581578421466642" u="1"/>
        <n v="14.72915571156144" u="1"/>
        <n v="14.927682304188963" u="1"/>
        <n v="15.258559958568172" u="1"/>
        <n v="13.085894298839204" u="1"/>
        <n v="13.720710895913653" u="1"/>
        <n v="13.896398146026506" u="1"/>
        <n v="13.785715178455408" u="1"/>
        <n v="11.74071558714178" u="1"/>
        <n v="15.905674663150521" u="1"/>
        <n v="15.913287777322079" u="1"/>
        <n v="12.512568239304255" u="1"/>
        <n v="12.652532415227496" u="1"/>
        <n v="12.866285236198136" u="1"/>
        <n v="13.3113596031507" u="1"/>
        <n v="13.408573214879814" u="1"/>
        <n v="13.540924276631499" u="1"/>
        <n v="13.739450869259022" u="1"/>
        <n v="14.070328523638233" u="1"/>
        <n v="11.862525413886694" u="1"/>
        <n v="12.002489589809933" u="1"/>
        <n v="12.216242410780573" u="1"/>
        <n v="12.311113525841515" u="1"/>
        <n v="15.460014672030914" u="1"/>
        <n v="15.139092628491433" u="1"/>
        <n v="15.220494387710387" u="1"/>
        <n v="15.31712237527246" u="1"/>
        <n v="15.243919354392103" u="1"/>
        <n v="15.493395249552357" u="1"/>
        <n v="15.69192184217988" u="1"/>
        <n v="16.022799496559088" u="1"/>
        <n v="14.61203087815287" u="1"/>
        <n v="14.744381939904553" u="1"/>
        <n v="14.942908532532076" u="1"/>
        <n v="15.273786186911288" u="1"/>
        <n v="15.173644454346961" u="1"/>
        <n v="15.328834858613318" u="1"/>
        <n v="15.885177817304021" u="1"/>
        <n v="16.132311215796104" u="1"/>
        <n v="14.925925431687835" u="1"/>
        <n v="15.08111583595419" u="1"/>
        <n v="14.959891633376319" u="1"/>
        <n v="15.26792994524086" u="1"/>
        <n v="16.351334654270126" u="1"/>
        <n v="16.79640902122269" u="1"/>
        <n v="17.469876813321967" u="1"/>
        <n v="17.245582757344561" u="1"/>
        <n v="17.531367350861469" u="1"/>
        <n v="17.615141384248613" u="1"/>
        <n v="18.002794805330964" u="1"/>
        <n v="18.585490851538594" u="1"/>
        <n v="16.050909456577145" u="1"/>
        <n v="16.724377248676422" u="1"/>
        <n v="16.507110682703523" u="1"/>
        <n v="17.127872299768946" u="1"/>
        <n v="12.589285005186868" u="1"/>
        <n v="16.504182561868312" u="1"/>
        <n v="15.947839603177608" u="1"/>
        <n v="15.791477950577164" u="1"/>
        <n v="16.412239567642583" u="1"/>
        <n v="17.332006988233406" u="1"/>
        <n v="17.671917150951749" u="1"/>
        <n v="18.067635311622613" u="1"/>
        <n v="15.148819945164348" u="1"/>
        <n v="15.799706466415785" u="1"/>
        <n v="16.035097604066987" u="1"/>
        <n v="16.570695571077703" u="1"/>
        <n v="12.033527670663206" u="1"/>
        <n v="16.119427484121157" u="1"/>
        <n v="16.564501851073725" u="1"/>
        <n v="17.237969643172999" u="1"/>
        <n v="17.264908354856971" u="1"/>
        <n v="12.497927635128184" u="1"/>
        <n v="16.343721540098574" u="1"/>
        <n v="17.017189332197844" u="1"/>
        <n v="17.302388301547712" u="1"/>
        <n v="17.923149918613134" u="1"/>
        <n v="17.249682126513857" u="1"/>
        <n v="16.659372966134665" u="1"/>
        <n v="17.104447333087229" u="1"/>
        <n v="17.801340091868223" u="1"/>
        <n v="17.294189563209112" u="1"/>
        <n v="16.037440100735164" u="1"/>
        <n v="16.482514467687725" u="1"/>
        <n v="17.331669509899854" u="1"/>
        <n v="16.312097835078255" u="1"/>
        <n v="15.367486053638144" u="1"/>
        <n v="15.812560420590708" u="1"/>
        <n v="16.661715462802835" u="1"/>
        <n v="16.529364401051154" u="1"/>
        <n v="16.798751517890864" u="1"/>
        <n v="17.472219309990138" u="1"/>
        <n v="17.323470771561258" u="1"/>
        <n v="17.944232388626677" u="1"/>
        <n v="17.322329300727191" u="1"/>
        <n v="17.709982721809535" u="1"/>
        <n v="17.907953467770039" u="1"/>
        <n v="18.471294138965238" u="1"/>
        <n v="16.685140429484552" u="1"/>
        <n v="15.84359850144398" u="1"/>
        <n v="16.128797470793845" u="1"/>
        <n v="16.749559087859264" u="1"/>
        <n v="16.076091295759987" u="1"/>
        <n v="16.224254210021829" u="1"/>
        <n v="16.585584321087268" u="1"/>
        <n v="17.206345938152687" u="1"/>
        <n v="18.09063843038739" u="1"/>
        <n v="17.249096502346813" u="1"/>
        <n v="17.534295471696687" u="1"/>
        <n v="18.155057088762103" u="1"/>
        <n v="17.305902046549971" u="1"/>
        <n v="17.514969874184271" u="1"/>
        <n v="17.960044241136835" u="1"/>
        <n v="18.809199283348963" u="1"/>
        <n v="17.735750185159421" u="1"/>
        <n v="18.180824552111989" u="1"/>
        <n v="18.85429234421126" u="1"/>
        <n v="18.22650323714133" u="1"/>
        <n v="17.373248825759898" u="1"/>
        <n v="17.464606195818583" u="1"/>
        <n v="18.456653534789169" u="1"/>
        <n v="14.434065088201042" u="1"/>
        <n v="14.798473181326038" u="1"/>
        <n v="15.617184741542303" u="1"/>
        <n v="18.025656774249242" u="1"/>
        <n v="23.856789588906704" u="1"/>
        <n v="14.496810852580181" u="1"/>
        <n v="14.657295211472976" u="1"/>
        <n v="15.601498300447519" u="1"/>
        <n v="19.457346186477093" u="1"/>
        <n v="16.136647271642673" u="1"/>
        <n v="15.25518994704727" u="1"/>
        <n v="16.939672390764148" u="1"/>
        <n v="11.573882599999999" u="1"/>
        <n v="13.011112449999999" u="1"/>
        <n v="11.548730899999999" u="1"/>
        <n v="12.831457449999998" u="1"/>
        <n v="11.439740199999999" u="1"/>
        <n v="12.8261287" u="1"/>
        <n v="11.6436537" u="1"/>
        <n v="13.224719199999999" u="1"/>
        <n v="13.3148512" u="1"/>
        <n v="11.7331767" u="1"/>
        <n v="12.936509949999998" u="1"/>
        <n v="13.5361212" u="1"/>
        <n v="14.248752700000001" u="1"/>
        <n v="10.663163699999997" u="1"/>
        <n v="12.052051130000002" u="1"/>
        <n v="12.756854949999997" u="1"/>
        <n v="11.456507999999999" u="1"/>
        <n v="11.110778699999997" u="1"/>
        <n v="12.3204557" u="1"/>
        <n v="13.424856899999998" u="1"/>
        <n v="14.2928037" u="1"/>
        <n v="10.237624949999999" u="1"/>
        <n v="10.515278199999999" u="1"/>
        <n v="11.7273912" u="1"/>
        <n v="13.287953699999999" u="1"/>
        <n v="11.285866199999997" u="1"/>
        <n v="11.643653699999996" u="1"/>
        <n v="14.346091199999998" u="1"/>
        <n v="10.660879949999996" u="1"/>
        <n v="12.404903699999998" u="1"/>
        <n v="10.948784699999997" u="1"/>
        <n v="11.8654718" u="1"/>
        <n v="11.949310799999999" u="1"/>
        <n v="11.954345199999999" u="1"/>
        <n v="18.019193499999997" u="1"/>
        <n v="17.926970599999997" u="1"/>
        <n v="121.42966084047701" u="1"/>
        <n v="10.135059200000001" u="1"/>
        <n v="10.2188982" u="1"/>
        <n v="13.719978299999999" u="1"/>
        <n v="14.264322799999999" u="1"/>
        <n v="12.578103299999999" u="1"/>
        <n v="13.129053419999998" u="1"/>
        <n v="13.769080142999998" u="1"/>
        <n v="12.818800805999999" u="1"/>
        <n v="13.501383839999997" u="1"/>
        <n v="14.743026437999999" u="1"/>
        <n v="12.200905142999996" u="1"/>
        <n v="12.3161927" u="1"/>
        <n v="12.961103399999999" u="1"/>
        <n v="14.0631092" u="1"/>
        <n v="12.351737999999999" u="1"/>
        <n v="12.370418465999999" u="1"/>
        <n v="12.796084699999998" u="1"/>
        <n v="14.254741199999998" u="1"/>
        <n v="12.530053200000001" u="1"/>
        <n v="12.311828200000001" u="1"/>
        <n v="12.4462142" u="1"/>
        <n v="10.120280800000002" u="1"/>
        <n v="9.0488468000000015" u="1"/>
        <n v="12.368505799999999" u="1"/>
        <n v="11.967134199999999" u="1"/>
        <n v="12.033819699999997" u="1"/>
        <n v="14.653637937160827" u="1"/>
        <n v="15.918191336147034" u="1"/>
        <n v="19.019868317195524" u="1"/>
        <n v="15.084137229890754" u="1"/>
        <n v="16.348690628876959" u="1"/>
        <n v="19.450367609925447" u="1"/>
        <n v="17.210633724201038" u="1"/>
        <n v="18.435382778909229" u="1"/>
        <n v="21.346268767384444" u="1"/>
        <n v="17.243982187868646" u="1"/>
        <n v="18.532418193421659" u="1"/>
        <n v="20.925577846321463" u="1"/>
        <n v="11.967161264887691" u="1"/>
        <n v="12.3768294444583" u="1"/>
        <n v="13.601578499166491" u="1"/>
        <n v="16.663451135936967" u="1"/>
        <n v="15.944129030110727" u="1"/>
        <n v="17.202838923013871" u="1"/>
        <n v="17.91566363131259" u="1"/>
        <n v="21.7976406901908" u="1"/>
        <n v="17.54282095721744" u="1"/>
        <n v="18.783491749636838" u="1"/>
        <n v="21.869246992974123" u="1"/>
        <n v="12.438066897193712" u="1"/>
        <n v="17.102585947425514" u="1"/>
        <n v="18.744943292101361" u="1"/>
        <n v="21.545962543870228" u="1"/>
        <n v="14.796933576561685" u="1"/>
        <n v="15.352969647399204" u="1"/>
        <n v="19.003946579484314" u="1"/>
        <n v="18.847178700481667" u="1"/>
        <n v="20.733894240030352" u="1"/>
        <n v="23.721285527507725" u="1"/>
        <n v="16.452181923999802" u="1"/>
        <n v="17.286848404783434" u="1"/>
        <n v="19.163776331123731" u="1"/>
        <n v="18.209914781320872" u="1"/>
        <n v="21.271787418091346" u="1"/>
        <n v="17.204177843590632" u="1"/>
        <n v="18.468731242576833" u="1"/>
        <n v="21.570408223625321" u="1"/>
        <n v="12.509714716894141" u="1"/>
        <n v="12.512164215003557" u="1"/>
        <n v="13.776717613989762" u="1"/>
        <n v="16.878394595038252" u="1"/>
        <n v="15.814700041024192" u="1"/>
        <n v="17.079253440010394" u="1"/>
        <n v="20.204813027625693" u="1"/>
        <n v="19.660131833617417" u="1"/>
        <n v="22.722004470387894" u="1"/>
        <n v="13.122701618775592" u="1"/>
        <n v="13.83611794314311" u="1"/>
        <n v="14.61077172024604" u="1"/>
        <n v="15.899207725799057" u="1"/>
        <n v="18.292367378698856" u="1"/>
        <n v="15.244579356057526" u="1"/>
        <n v="16.509132755043733" u="1"/>
        <n v="19.610809736092222" u="1"/>
        <n v="13.880208909112605" u="1"/>
        <n v="13.098726438" u="1"/>
        <n v="14.041047315286091" u="1"/>
        <n v="14.196237719552446" u="1"/>
        <n v="14.243211725832619" u="1"/>
        <n v="14.531184965600936" u="1"/>
        <n v="17.359720973538568" u="1"/>
        <n v="15.573149320436919" u="1"/>
        <n v="16.840241501250844" u="1"/>
        <n v="17.622615536753415" u="1"/>
        <n v="18.210145463797485" u="1"/>
        <n v="16.832142021245648" u="1"/>
        <n v="14.180483799999999" u="1"/>
        <n v="17.493301780003684" u="1"/>
        <n v="17.808953206039778" u="1"/>
        <n v="18.139830860418989" u="1"/>
        <n v="18.274837082589041" u="1"/>
        <n v="16.501171886188132" u="1"/>
        <n v="14.133150726597675" u="1"/>
        <n v="12.953225610420649" u="1"/>
        <n v="12.344523880862976" u="1"/>
        <n v="13.262167173119101" u="1"/>
        <n v="13.410330087380942" u="1"/>
        <n v="13.722326057510555" u="1"/>
        <n v="13.652534688232913" u="1"/>
        <n v="11.13940364050552" u="1"/>
        <n v="11.783466151335908" u="1"/>
        <n v="12.154166249074033" u="1"/>
        <n v="12.309356653340387" u="1"/>
        <n v="12.581671891015311" u="1"/>
        <n v="12.81826405450062" u="1"/>
        <n v="12.996879425448691" u="1"/>
        <n v="10.487670199999997" u="1"/>
        <n v="14.207829281247047" u="1"/>
        <n v="11.506811399999998" u="1"/>
        <n v="15.398285362423405" u="1"/>
        <n v="16.869339081686206" u="1"/>
        <n v="17.166990008960742" u="1"/>
        <n v="17.508190530013245" u="1"/>
        <n v="18.713742544120979" u="1"/>
        <n v="17.778293664677637" u="1"/>
        <n v="17.484474556479171" u="1"/>
        <n v="17.793980105772423" u="1"/>
        <n v="11.224631202397658" u="1"/>
        <n v="11.77976428028806" u="1"/>
        <n v="11.674489399999999" u="1"/>
        <n v="11.720265899999999" u="1"/>
        <n v="13.9614265" u="1"/>
        <n v="17.541311199999996" u="1"/>
        <n v="11.798400599999997" u="1"/>
        <n v="16.386184054624014" u="1"/>
        <n v="16.058215066168749" u="1"/>
        <n v="13.204216199999998" u="1"/>
        <n v="12.345363800000001" u="1"/>
        <n v="11.7833177" u="1"/>
        <n v="11.369603699999999" u="1"/>
        <n v="16.828826792910181" u="1"/>
        <n v="17.926107816948367" u="1"/>
        <n v="17.080436742238472" u="1"/>
        <n v="17.068724258897614" u="1"/>
        <n v="17.628580962590579" u="1"/>
        <n v="15.033904649901199" u="1"/>
        <n v="15.705659195522042" u="1"/>
        <n v="15.067924403445719" u="1"/>
        <n v="15.24361165355857" u="1"/>
        <n v="16.202597034257916" u="1"/>
        <n v="10.333805584832037" u="1"/>
        <n v="9.5512516436001871" u="1"/>
        <n v="13.092280270323974" u="1"/>
        <n v="13.983633036101837" u="1"/>
        <n v="14.862031927318291" u="1"/>
        <n v="17.60115508902113" u="1"/>
        <n v="13.726800293424064" u="1"/>
        <n v="17.507775599999995" u="1"/>
        <n v="11.496023650124998" u="1"/>
        <n v="11.372648699999997" u="1"/>
        <n v="17.111367603749994" u="1"/>
        <n v="11.6116812" u="1"/>
        <n v="18.845078699999995" u="1"/>
        <n v="19.204274893213412" u="1"/>
        <n v="16.911641194744881" u="1"/>
        <n v="17.79940588417881" u="1"/>
        <n v="9.5616044999999996" u="1"/>
        <n v="12.48680077595437" u="1"/>
        <n v="12.173491846586444" u="1"/>
        <n v="12.270119834148517" u="1"/>
        <n v="12.389587164225256" u="1"/>
        <n v="11.354422005226972" u="1"/>
        <n v="11.588671672044113" u="1"/>
        <n v="12.105559443209474" u="1"/>
        <n v="13.079371200000001" u="1"/>
        <n v="12.634700357927112" u="1"/>
        <n v="13.284389252455625" u="1"/>
        <n v="12.341344399999997" u="1"/>
        <n v="11.167598399999997" u="1"/>
        <n v="13.0570412" u="1"/>
        <n v="11.527436199999999" u="1"/>
        <n v="18.910321740854169" u="1"/>
        <n v="13.221978699999999" u="1"/>
        <n v="28.1597337" u="1"/>
        <n v="12.950263199999998" u="1"/>
        <n v="11.2478037" u="1"/>
        <n v="19.082685769357976" u="1"/>
        <n v="19.401046947895807" u="1"/>
        <n v="19.668309936400824" u="1"/>
        <n v="19.794219132315035" u="1"/>
        <n v="14.404135666666665" u="1"/>
        <n v="13.456836166666665" u="1"/>
        <n v="15.051238965955145" u="1"/>
        <n v="14.059246136998995" u="1"/>
        <n v="22.091461641085935" u="1"/>
        <n v="20.320703771347738" u="1"/>
        <n v="20.058257545338844" u="1"/>
        <n v="18.909527397474609" u="1"/>
        <n v="18.670610833107887" u="1"/>
        <n v="18.972273161853749" u="1"/>
        <n v="18.709826935844852" u="1"/>
        <n v="18.893840956379826" u="1"/>
        <n v="18.631394730370925" u="1"/>
        <n v="18.733356597487028" u="1"/>
        <n v="17.950667304395644" u="1"/>
        <n v="17.12443944832324" u="1"/>
        <n v="18.155738247089875" u="1"/>
        <n v="13.023615002968199" u="1"/>
        <n v="13.638827831050889" u="1"/>
        <n v="16.352302768439749" u="1"/>
        <n v="12.984978448547547" u="1"/>
        <n v="14.011737827956839" u="1"/>
        <n v="14.376145921081836" u="1"/>
        <n v="15.194857481298097" u="1"/>
        <n v="17.603329514005036" u="1"/>
        <n v="22.831137671170783" u="1"/>
        <n v="14.074483592335978" u="1"/>
        <n v="14.234967951228773" u="1"/>
        <n v="15.179171040203313" u="1"/>
        <n v="19.759008515222948" u="1"/>
        <n v="15.71432001139847" u="1"/>
        <n v="14.832862686803065" u="1"/>
        <n v="16.517345130519946" u="1"/>
        <n v="13.795433399999999" u="1"/>
        <n v="14.339777899999998" u="1"/>
        <n v="12.653558399999998" u="1"/>
        <n v="13.357038288180043" u="1"/>
        <n v="13.299998797266353" u="1"/>
        <n v="13.230207427988709" u="1"/>
        <n v="13.065397452992704" u="1"/>
        <n v="18.321285856420182" u="1"/>
        <n v="18.027466748221716" u="1"/>
        <n v="18.336972297514968" u="1"/>
        <n v="13.902739199999997" u="1"/>
        <n v="15.635887805924547" u="1"/>
        <n v="13.796346091381237" u="1"/>
        <n v="13.533301374565903" u="1"/>
        <n v="13.874179806048726" u="1"/>
        <n v="14.896815100497189" u="1"/>
        <n v="17.760193924952883" u="1"/>
        <n v="23.623302946457411" u="1"/>
        <n v="15.51039627716627" u="1"/>
        <n v="14.487760982717802" u="1"/>
        <n v="16.533031571614728" u="1"/>
        <n v="19.191883337180734" u="1"/>
        <n v="18.851004905697913" u="1"/>
        <n v="22.805194710898636" u="1"/>
        <n v="20.419045690518892" u="1"/>
        <n v="20.009991572739501" u="1"/>
        <n v="26.853060179207688" u="1"/>
        <n v="20.994675496546574" u="1"/>
        <n v="19.820748874850825" u="1"/>
        <n v="18.18256904213602" u="1"/>
        <n v="18.724538649713327" u="1"/>
        <n v="23.324122224963755" u="1"/>
        <n v="19.614186873472306" u="1"/>
        <n v="25.563581546839796" u="1"/>
        <n v="22.596042299312728" u="1"/>
        <n v="25.63004951758041" u="1"/>
        <n v="11.533726799744231" u="1"/>
        <n v="14.955293416637947" u="1"/>
        <n v="19.687635533913237" u="1"/>
        <n v="20.018513188292449" u="1"/>
        <n v="20.349390842671653" u="1"/>
        <n v="16.908263237127876" u="1"/>
        <n v="15.452401557859355" u="1"/>
        <n v="15.783279212238567" u="1"/>
        <n v="14.945836653367291" u="1"/>
        <n v="14.548783468112243" u="1"/>
        <n v="14.681134529863922" u="1"/>
        <n v="15.2767143077465" u="1"/>
        <n v="14.284081344608873" u="1"/>
        <n v="12.762044134464507" u="1"/>
        <n v="12.894395196216191" u="1"/>
        <n v="13.092921788843718" u="1"/>
        <n v="11.967937763954406" u="1"/>
        <n v="12.100288825706089" u="1"/>
        <n v="12.298815418333616" u="1"/>
        <n v="11.76941117132688" u="1"/>
        <n v="14.879661122491452" u="1"/>
        <n v="17.542208582690087" u="1"/>
        <n v="18.718580049737302" u="1"/>
        <n v="18.926175014510346" u="1"/>
        <n v="16.158242150869835" u="1"/>
        <n v="18.856976692919332" u="1"/>
        <n v="18.995373336101355" u="1"/>
        <n v="19.341364944056416" u="1"/>
        <n v="11.798747890636035" u="1"/>
        <n v="12.1447394985911" u="1"/>
        <n v="20.240943124739587" u="1"/>
        <n v="20.379339767921611" u="1"/>
        <n v="20.725331375876674" u="1"/>
        <n v="13.805499216775406" u="1"/>
        <n v="13.943895859957431" u="1"/>
        <n v="14.151490824730468" u="1"/>
        <n v="15.327862291777686" u="1"/>
        <n v="15.535457256550721" u="1"/>
        <n v="14.013094181548444" u="1"/>
        <n v="15.3970606133687" u="1"/>
        <n v="16.435035437233886" u="1"/>
        <n v="16.573432080415913" u="1"/>
        <n v="16.781027045188949" u="1"/>
        <n v="13.45950760882034" u="1"/>
        <n v="13.597904252002365" u="1"/>
        <n v="17.819001869054141" u="1"/>
        <n v="16.69049623644516" u="1"/>
        <n v="16.153150925733325" u="1"/>
        <n v="19.713063609199239" u="1"/>
        <n v="25.4223575355125" u="1"/>
        <n v="17.362177874834952" u="1"/>
        <n v="17.899523185546787" u="1"/>
        <n v="8.4959802480896567" u="1"/>
        <n v="8.6897574287224622" u="1"/>
        <n v="16.287487253411282" u="1"/>
        <n v="19.64589544536026" u="1"/>
        <n v="11.988724767716592" u="1"/>
        <n v="12.257397423072511" u="1"/>
        <n v="12.996247225301286" u="1"/>
        <n v="14.003769682885977" u="1"/>
        <n v="16.018814598055368" u="1"/>
        <n v="12.929079061462303" u="1"/>
        <n v="12.938602879999999" u="1"/>
        <n v="13.511367380000001" u="1"/>
        <n v="11.63686538" u="1"/>
        <n v="12.48733388" u="1"/>
        <n v="11.72364788" u="1"/>
        <n v="12.145989380000001" u="1"/>
        <n v="13.06877663" u="1"/>
        <n v="11.668107080000002" u="1"/>
        <n v="11.376517879999998" u="1"/>
        <n v="11.12195588" u="1"/>
        <n v="8.5960065799999992" u="1"/>
        <n v="11.28973538" u="1"/>
        <n v="8.4259128800000003" u="1"/>
        <n v="11.897212880000001" u="1"/>
        <n v="19.114646328079147" u="1"/>
        <n v="11.20295288" u="1"/>
        <n v="18.14555288" u="1"/>
        <n v="135.35117484043374" u="1"/>
        <n v="9.0333903800000002" u="1"/>
        <n v="12.50469038" u="1"/>
        <n v="14.944640788966524" u="1"/>
        <n v="14.547587603711474" u="1"/>
        <n v="14.613763134587316" u="1"/>
        <n v="14.679938665463155" u="1"/>
        <n v="14.812289727214839" u="1"/>
        <n v="15.076991850718207" u="1"/>
        <n v="15.275518443345732" u="1"/>
        <n v="15.606396097724945" u="1"/>
        <n v="13.952007825828895" u="1"/>
        <n v="14.084358887580578" u="1"/>
        <n v="14.282885480208105" u="1"/>
        <n v="13.42260357882216" u="1"/>
        <n v="13.554954640573845" u="1"/>
        <n v="13.753481233201368" u="1"/>
        <n v="12.76084827006374" u="1"/>
        <n v="12.893199331815424" u="1"/>
        <n v="13.091725924442949" u="1"/>
        <n v="11.966741899553639" u="1"/>
        <n v="12.09909296130532" u="1"/>
        <n v="12.297619553932847" u="1"/>
        <n v="12.628497208312057" u="1"/>
        <n v="11.635864245174428" u="1"/>
        <n v="12.496146146560372" u="1"/>
        <n v="12.827023800939582" u="1"/>
        <n v="12.694672739187897" u="1"/>
        <n v="13.224076986194634" u="1"/>
        <n v="14.878465258090685" u="1"/>
        <n v="15.209342912469891" u="1"/>
        <n v="15.738747159476629" u="1"/>
        <n v="15.937273752104153" u="1"/>
        <n v="16.268151406483362" u="1"/>
        <n v="16.003449282979993" u="1"/>
        <n v="17.19496648519171" u="1"/>
        <n v="17.333363128373737" u="1"/>
        <n v="17.540958093146774" u="1"/>
        <n v="18.578932917011961" u="1"/>
        <n v="18.717329560193988" u="1"/>
        <n v="18.924924524967032" u="1"/>
        <n v="15.811000053371457" u="1"/>
        <n v="15.949396696553483" u="1"/>
        <n v="16.156991661326519" u="1"/>
        <n v="15.188215159052344" u="1"/>
        <n v="18.855726203376015" u="1"/>
        <n v="18.994122846558039" u="1"/>
        <n v="19.340114454513103" u="1"/>
        <n v="11.728299079501708" u="1"/>
        <n v="11.659100757910695" u="1"/>
        <n v="11.79749740109272" u="1"/>
        <n v="12.143489009047785" u="1"/>
        <n v="20.239692635196267" u="1"/>
        <n v="20.378089278378294" u="1"/>
        <n v="20.724080886333361" u="1"/>
        <n v="13.043067189730952" u="1"/>
        <n v="13.804248727232089" u="1"/>
        <n v="13.942645370414116" u="1"/>
        <n v="14.150240335187153" u="1"/>
        <n v="15.326611802234369" u="1"/>
        <n v="15.534206767007406" u="1"/>
        <n v="14.011843692005128" u="1"/>
        <n v="14.357835299960193" u="1"/>
        <n v="15.395810123825383" u="1"/>
        <n v="15.741801731780448" u="1"/>
        <n v="16.433784947690569" u="1"/>
        <n v="16.572181590872596" u="1"/>
        <n v="16.779776555645633" u="1"/>
        <n v="13.181463832912977" u="1"/>
        <n v="13.319860476094998" u="1"/>
        <n v="13.527455440868037" u="1"/>
        <n v="13.735050405641077" u="1"/>
        <n v="13.873447048823103" u="1"/>
        <n v="14.081042013596141" u="1"/>
        <n v="13.458257119277025" u="1"/>
        <n v="13.59665376245905" u="1"/>
        <n v="14.219438656778166" u="1"/>
        <n v="14.565430264733228" u="1"/>
        <n v="13.532069365163622" u="1"/>
        <n v="13.872947796646445" u="1"/>
        <n v="14.895583091094908" u="1"/>
        <n v="17.758961915550604" u="1"/>
        <n v="23.622070937055128" u="1"/>
        <n v="15.509164267763989" u="1"/>
        <n v="14.486528973315522" u="1"/>
        <n v="16.531799562212445" u="1"/>
        <n v="19.190651327778451" u="1"/>
        <n v="18.849772896295629" u="1"/>
        <n v="20.076935249633788" u="1"/>
        <n v="24.440179172613899" u="1"/>
        <n v="23.417543878165436" u="1"/>
        <n v="23.076665446682615" u="1"/>
        <n v="20.554165053709738" u="1"/>
        <n v="21.440448975565072" u="1"/>
        <n v="22.803962701496356" u="1"/>
        <n v="20.75869211259943" u="1"/>
        <n v="20.417813681116613" u="1"/>
        <n v="20.008759563337222" u="1"/>
        <n v="11.333126630000001" u="1"/>
        <n v="13.238291780000001" u="1"/>
        <n v="13.033485080000002" u="1"/>
        <n v="10.725649129999997" u="1"/>
        <n v="12.282527180000001" u="1"/>
        <n v="13.806427880000001" u="1"/>
        <n v="14.535400879999999" u="1"/>
        <n v="10.644073579999999" u="1"/>
        <n v="10.16156288" u="1"/>
        <n v="10.350517309999999" u="1"/>
        <n v="13.285732880000001" u="1"/>
        <n v="13.49088671" u="1"/>
        <n v="11.55008288" u="1"/>
        <n v="17.701173743237213" u="1"/>
        <n v="18.032051397616424" u="1"/>
        <n v="18.362929051995636" u="1"/>
        <n v="18.892333299002367" u="1"/>
        <n v="19.686439669512467" u="1"/>
        <n v="20.017317323891682" u="1"/>
        <n v="20.348194978270886" u="1"/>
        <n v="20.877599225277624" u="1"/>
        <n v="15.649732286086115" u="1"/>
        <n v="15.980609940465321" u="1"/>
        <n v="16.311487594844529" u="1"/>
        <n v="16.840891841851263" u="1"/>
        <n v="11.811551495287283" u="1"/>
        <n v="15.583556755210271" u="1"/>
        <n v="15.914434409589481" u="1"/>
        <n v="16.24531206396869" u="1"/>
        <n v="16.774716310975425" u="1"/>
        <n v="16.443838656596213" u="1"/>
        <n v="16.642365249223744" u="1"/>
        <n v="17.171769496230478" u="1"/>
        <n v="16.112961002217006" u="1"/>
        <n v="16.576189718347898" u="1"/>
        <n v="16.907067372727109" u="1"/>
        <n v="17.436471619733844" u="1"/>
        <n v="17.502647150609686" u="1"/>
        <n v="17.833524804988897" u="1"/>
        <n v="16.973242903602948" u="1"/>
        <n v="17.304120557982159" u="1"/>
        <n v="17.634998212361367" u="1"/>
        <n v="18.164402459368105" u="1"/>
        <n v="17.965875866740578" u="1"/>
        <n v="18.495280113747313" u="1"/>
        <n v="16.179136533092848" u="1"/>
        <n v="16.510014187472056" u="1"/>
        <n v="14.85562591557601" u="1"/>
        <n v="20.149668385643363" u="1"/>
        <n v="17.105593965354633" u="1"/>
        <n v="9.1645302602536063" u="1"/>
        <n v="18.759982237250682" u="1"/>
        <n v="14.804099799999999" u="1"/>
        <n v="14.541468550000001" u="1"/>
        <n v="13.590159799999999" u="1"/>
        <n v="13.771608123871216" u="1"/>
        <n v="17.026337055640056" u="1"/>
        <n v="13.130583552979243" u="1"/>
        <n v="12.660406406106388" u="1"/>
        <n v="13.936601519047001" u="1"/>
        <n v="14.272442338241897" u="1"/>
        <n v="15.145628468148633" u="1"/>
        <n v="17.630850530190873" u="1"/>
        <n v="15.451205693458586" u="1"/>
        <n v="8.5994778800000002" u="1"/>
        <n v="15.279964795826594" u="1"/>
        <n v="15.7820833478378" u="1"/>
        <n v="17.817751379510824" u="1"/>
        <n v="10.76904038" u="1"/>
        <n v="7.6227941181829211" u="1"/>
        <n v="16.505274156218125" u="1"/>
        <n v="15.974066209178185" u="1"/>
        <n v="19.493318858317792" u="1"/>
        <n v="25.137403295617165" u="1"/>
        <n v="17.169284090018049" u="1"/>
        <n v="17.700492037057995" u="1"/>
        <n v="8.404352963859024" u="1"/>
        <n v="8.5957756205502882" u="1"/>
        <n v="16.106868195938173" u="1"/>
        <n v="19.426917864937803" u="1"/>
        <n v="11.85720461961864" u="1"/>
        <n v="12.122808593138611" u="1"/>
        <n v="12.853219520318529" u="1"/>
        <n v="13.849234421018418" u="1"/>
        <n v="15.8412642224182" u="1"/>
        <n v="12.786818526938536" u="1"/>
        <n v="12.744656063557413" u="1"/>
        <n v="13.431705273384354" u="1"/>
        <n v="11.432279176495475" u="1"/>
        <n v="12.390168507268992" u="1"/>
        <n v="11.519770968966272" u="1"/>
        <n v="12.042989585230538" u="1"/>
        <n v="12.875893752263606" u="1"/>
        <n v="11.556939094376704" u="1"/>
        <n v="11.169803799083089" u="1"/>
        <n v="11.001452819115176" u="1"/>
        <n v="8.4323287960306139" u="1"/>
        <n v="11.082312006612295" u="1"/>
        <n v="8.1950828550760377" u="1"/>
        <n v="11.694754553907863" u="1"/>
        <n v="19.128437256791258" u="1"/>
        <n v="10.994820214141498" u="1"/>
        <n v="17.994163611805149" u="1"/>
        <n v="137.35173562665315" u="1"/>
        <n v="8.8075254023716081" u="1"/>
        <n v="12.307197101203434" u="1"/>
        <n v="14.77969682642801" u="1"/>
        <n v="14.387178638960073" u="1"/>
        <n v="14.452598336871398" u="1"/>
        <n v="14.518018034782719" u="1"/>
        <n v="14.648857430605364" u="1"/>
        <n v="14.910536222250656" u="1"/>
        <n v="15.106795315984623" u="1"/>
        <n v="15.433893805541238" u="1"/>
        <n v="13.798401357758168" u="1"/>
        <n v="13.929240753580816" u="1"/>
        <n v="14.125499847314781" u="1"/>
        <n v="13.275043774467585" u="1"/>
        <n v="13.405883170290233" u="1"/>
        <n v="13.602142264024197" u="1"/>
        <n v="12.620846795354357" u="1"/>
        <n v="12.751686191177003" u="1"/>
        <n v="12.947945284910974" u="1"/>
        <n v="11.835810420418486" u="1"/>
        <n v="11.966649816241128" u="1"/>
        <n v="12.1629089099751" u="1"/>
        <n v="12.490007399531711" u="1"/>
        <n v="11.508711930861869" u="1"/>
        <n v="12.359168003709065" u="1"/>
        <n v="12.686266493265681" u="1"/>
        <n v="12.555427097443035" u="1"/>
        <n v="13.078784680733618" u="1"/>
        <n v="14.714277128516688" u="1"/>
        <n v="15.041375618073301" u="1"/>
        <n v="15.564733201363884" u="1"/>
        <n v="15.760992295097852" u="1"/>
        <n v="16.088090784654465" u="1"/>
        <n v="15.826411993009176" u="1"/>
        <n v="17.004146067589815" u="1"/>
        <n v="17.140961994399618" u="1"/>
        <n v="17.346185884614329" u="1"/>
        <n v="18.372305335687869" u="1"/>
        <n v="18.509121262497679" u="1"/>
        <n v="18.714345152712387" u="1"/>
        <n v="15.635986799491757" u="1"/>
        <n v="15.772802726301562" u="1"/>
        <n v="15.978026616516269" u="1"/>
        <n v="15.020315128847631" u="1"/>
        <n v="18.645937189307482" u="1"/>
        <n v="18.782753116117288" u="1"/>
        <n v="19.124792933141798" u="1"/>
        <n v="11.599916958602485" u="1"/>
        <n v="11.531508995197582" u="1"/>
        <n v="11.668324922007386" u="1"/>
        <n v="12.010364739031903" u="1"/>
        <n v="20.014096457405543" u="1"/>
        <n v="20.150912384215346" u="1"/>
        <n v="20.492952201239859" u="1"/>
        <n v="12.899668263295641" u="1"/>
        <n v="13.65215586074957" u="1"/>
        <n v="13.788971787559378" u="1"/>
        <n v="13.994195677774083" u="1"/>
        <n v="15.157131055657439" u="1"/>
        <n v="15.362354945872143" u="1"/>
        <n v="13.857379750964281" u="1"/>
        <n v="14.199419567988796" u="1"/>
        <n v="15.225539019062339" u="1"/>
        <n v="15.567578836086854" u="1"/>
        <n v="16.251658470135879" u="1"/>
        <n v="16.388474396945689" u="1"/>
        <n v="16.5936982871604" u="1"/>
        <n v="13.036484190105448" u="1"/>
        <n v="13.17330011691525" u="1"/>
        <n v="13.378524007129959" u="1"/>
        <n v="13.583747897344669" u="1"/>
        <n v="13.720563824154477" u="1"/>
        <n v="13.925787714369184" u="1"/>
        <n v="13.310116043725058" u="1"/>
        <n v="13.446931970534864" u="1"/>
        <n v="14.062603641178988" u="1"/>
        <n v="14.404643458203502" u="1"/>
        <n v="13.383002854526767" u="1"/>
        <n v="13.719987895930231" u="1"/>
        <n v="14.730943020140616" u="1"/>
        <n v="17.561617367929703" u="1"/>
        <n v="23.357760080069259" u="1"/>
        <n v="15.337516094666853" u="1"/>
        <n v="14.326560970456462" u="1"/>
        <n v="16.34847121887724" u="1"/>
        <n v="18.976954541824245" u="1"/>
        <n v="18.639969500420783" u="1"/>
        <n v="19.853115649473249" u="1"/>
        <n v="24.166524179437566" u="1"/>
        <n v="23.155569055227183" u="1"/>
        <n v="22.81858401382372" u="1"/>
        <n v="20.324894707438091" u="1"/>
        <n v="21.201055815087095" u="1"/>
        <n v="22.548995980700948" u="1"/>
        <n v="20.52708573228017" u="1"/>
        <n v="20.190100690876708" u="1"/>
        <n v="19.785718641192556" u="1"/>
        <n v="26.838334967228231" u="1"/>
        <n v="20.979950284567117" u="1"/>
        <n v="19.806023662871368" u="1"/>
        <n v="18.167843830156563" u="1"/>
        <n v="18.709813437733871" u="1"/>
        <n v="23.309397012984299" u="1"/>
        <n v="19.59946166149285" u="1"/>
        <n v="25.548856334860339" u="1"/>
        <n v="22.581317087333272" u="1"/>
        <n v="25.615324305600954" u="1"/>
        <n v="24.731555940792106" u="1"/>
        <n v="11.519001587764775" u="1"/>
        <n v="14.940568204658488" u="1"/>
        <n v="20.130182843252509" u="1"/>
        <n v="9.698178047670023" u="1"/>
        <n v="9.8267076588711486" u="1"/>
        <n v="9.1176828083485102" u="1"/>
        <n v="11.126057902847693" u="1"/>
        <n v="13.153962135753591" u="1"/>
        <n v="12.94565478253052" u="1"/>
        <n v="10.513615355552123" u="1"/>
        <n v="12.181861154045921" u="1"/>
        <n v="13.619573988265369" u="1"/>
        <n v="14.473242039499718" u="1"/>
        <n v="10.515402328261338" u="1"/>
        <n v="9.9449187044919523" u="1"/>
        <n v="10.216828455308267" u="1"/>
        <n v="13.094623233440593" u="1"/>
        <n v="13.410874538062046" u="1"/>
        <n v="11.344787384024681" u="1"/>
        <n v="17.504328108805893" u="1"/>
        <n v="17.831426598362508" u="1"/>
        <n v="18.158525087919124" u="1"/>
        <n v="18.681882671209703" u="1"/>
        <n v="19.466919046145577" u="1"/>
        <n v="19.794017535702192" u="1"/>
        <n v="20.121116025258807" u="1"/>
        <n v="20.644473608549387" u="1"/>
        <n v="15.476317473554891" u="1"/>
        <n v="15.803415963111503" u="1"/>
        <n v="16.130514452668116" u="1"/>
        <n v="16.653872035958699" u="1"/>
        <n v="11.681974994698166" u="1"/>
        <n v="15.410897775643566" u="1"/>
        <n v="15.737996265200181" u="1"/>
        <n v="16.065094754756792" u="1"/>
        <n v="16.588452338047379" u="1"/>
        <n v="16.261353848490764" u="1"/>
        <n v="16.457612942224731" u="1"/>
        <n v="16.98097052551531" u="1"/>
        <n v="15.934255358934147" u="1"/>
        <n v="16.392193244313408" u="1"/>
        <n v="16.719291733870023" u="1"/>
        <n v="17.242649317160605" u="1"/>
        <n v="17.308069015071926" u="1"/>
        <n v="17.635167504628541" u="1"/>
        <n v="16.784711431781343" u="1"/>
        <n v="17.111809921337958" u="1"/>
        <n v="17.438908410894573" u="1"/>
        <n v="17.962265994185156" u="1"/>
        <n v="17.766006900451188" u="1"/>
        <n v="18.289364483741764" u="1"/>
        <n v="15.99967505684547" u="1"/>
        <n v="16.326773546402084" u="1"/>
        <n v="14.691281098619015" u="1"/>
        <n v="19.924856931524836" u="1"/>
        <n v="16.915550827603987" u="1"/>
        <n v="9.0651870782452555" u="1"/>
        <n v="18.551043275387055" u="1"/>
        <n v="14.710399026150732" u="1"/>
        <n v="14.439800959646282" u="1"/>
        <n v="13.459634629863494" u="1"/>
        <n v="14.713759036808211" u="1"/>
        <n v="12.855345252425625" u="1"/>
        <n v="17.849676992983728" u="1"/>
        <n v="19.864085991773706" u="1"/>
        <n v="17.393134066570589" u="1"/>
        <n v="9.8348054676141619" u="1"/>
        <n v="11.018957930962316" u="1"/>
        <n v="13.682206252720055" u="1"/>
        <n v="16.83727912311809" u="1"/>
        <n v="12.986021507078515" u="1"/>
        <n v="12.521214553418568" u="1"/>
        <n v="13.782833427638428" u="1"/>
        <n v="14.11483839453839" u="1"/>
        <n v="14.978051308478296" u="1"/>
        <n v="17.434888063538018" u="1"/>
        <n v="15.28005837982092" u="1"/>
        <n v="8.370066440017629" u="1"/>
        <n v="15.110853295238282" u="1"/>
        <n v="15.607156869377535" u="1"/>
        <n v="17.619817738233937" u="1"/>
        <n v="10.557361251787521" u="1"/>
        <n v="7.5411400499191181" u="1"/>
        <n v="16.140579683742498" u="1"/>
        <n v="7.5997607198503987" u="1"/>
        <n v="20.090927798737727" u="1"/>
        <n v="12.706432501912506" u="1"/>
        <n v="13.391258310140259" u="1"/>
        <n v="11.398302677255559" u="1"/>
        <n v="12.353092124295237" u="1"/>
        <n v="11.48551133223269" u="1"/>
        <n v="12.007036729013564" u="1"/>
        <n v="12.837245484378201" u="1"/>
        <n v="11.522559175619222" u="1"/>
        <n v="11.136676712324171" u="1"/>
        <n v="10.96887054316854" u="1"/>
        <n v="8.4080606180841571" u="1"/>
        <n v="11.049468057347042" u="1"/>
        <n v="8.1715824431017623" u="1"/>
        <n v="11.659928642186948" u="1"/>
        <n v="19.069577320952064" u="1"/>
        <n v="10.962259402369911" u="1"/>
        <n v="17.938951800540281" u="1"/>
        <n v="136.91028610785918" u="1"/>
        <n v="8.7820430279416701" u="1"/>
        <n v="12.270389227026856" u="1"/>
        <n v="11.093072384835608" u="1"/>
        <n v="13.114413993914919" u="1"/>
        <n v="12.906780756745915" u="1"/>
        <n v="10.482611799995697" u="1"/>
        <n v="12.145458887126233" u="1"/>
        <n v="13.578519051683802" u="1"/>
        <n v="14.429424495985279" u="1"/>
        <n v="10.484392989774198" u="1"/>
        <n v="9.9157555426443569" u="1"/>
        <n v="10.186785349831958" u="1"/>
        <n v="13.055267121821023" u="1"/>
        <n v="13.370494986423356" u="1"/>
        <n v="11.31109402227843" u="1"/>
        <n v="13.641086585554582" u="1"/>
        <n v="8.3459997530560219" u="1"/>
        <n v="10.526216127484263" u="1"/>
        <n v="11.443292232950547" u="1"/>
        <n v="16.503076255119716" u="1"/>
        <n v="15.971868308079772" u="1"/>
        <n v="19.491120957219383" u="1"/>
        <n v="25.135205394518756" u="1"/>
        <n v="17.167086188919637" u="1"/>
        <n v="17.698294135959582" u="1"/>
        <n v="7.5389421488207065" u="1"/>
        <n v="8.5935777194518774" u="1"/>
        <n v="16.10467029483976" u="1"/>
        <n v="19.42471996383939" u="1"/>
        <n v="11.855006718520228" u="1"/>
        <n v="12.1206106920402" u="1"/>
        <n v="12.851021619220118" u="1"/>
        <n v="13.847036519920007" u="1"/>
        <n v="15.839066321319788" u="1"/>
        <n v="12.784620625840125" u="1"/>
        <n v="13.096026853912505" u="1"/>
        <n v="13.780852662140259" u="1"/>
        <n v="11.787897029255559" u="1"/>
        <n v="12.742686476295235" u="1"/>
        <n v="11.87510568423269" u="1"/>
        <n v="12.396631081013563" u="1"/>
        <n v="13.226839836378199" u="1"/>
        <n v="11.912153527619218" u="1"/>
        <n v="11.52627106432417" u="1"/>
        <n v="11.358464895168542" u="1"/>
        <n v="8.7976549700841549" u="1"/>
        <n v="11.439062409347041" u="1"/>
        <n v="8.5611767951017637" u="1"/>
        <n v="12.049522994186947" u="1"/>
        <n v="19.462082754668529" u="1"/>
        <n v="11.351853754369911" u="1"/>
        <n v="18.328546152540284" u="1"/>
        <n v="137.30279154157566" u="1"/>
        <n v="9.1716373799416697" u="1"/>
        <n v="12.659983579026855" u="1"/>
        <n v="14.77753140662662" u="1"/>
        <n v="14.385013219158681" u="1"/>
        <n v="14.450432917070007" u="1"/>
        <n v="14.515852614981327" u="1"/>
        <n v="14.646692010803973" u="1"/>
        <n v="14.908370802449264" u="1"/>
        <n v="15.104629896183232" u="1"/>
        <n v="15.431728385739847" u="1"/>
        <n v="13.796235937956776" u="1"/>
        <n v="13.927075333779424" u="1"/>
        <n v="14.12333442751339" u="1"/>
        <n v="13.272878354666194" u="1"/>
        <n v="13.403717750488841" u="1"/>
        <n v="13.599976844222807" u="1"/>
        <n v="12.618681375552967" u="1"/>
        <n v="12.749520771375611" u="1"/>
        <n v="12.945779865109582" u="1"/>
        <n v="11.833645000617095" u="1"/>
        <n v="11.964484396439738" u="1"/>
        <n v="12.160743490173708" u="1"/>
        <n v="12.487841979730321" u="1"/>
        <n v="12.029904094351062" u="1"/>
        <n v="12.357002583907674" u="1"/>
        <n v="12.684101073464289" u="1"/>
        <n v="12.422422281818998" u="1"/>
        <n v="12.553261677641645" u="1"/>
        <n v="13.076619260932228" u="1"/>
        <n v="14.712111708715298" u="1"/>
        <n v="15.03921019827191" u="1"/>
        <n v="15.562567781562493" u="1"/>
        <n v="15.75882687529646" u="1"/>
        <n v="16.085925364853075" u="1"/>
        <n v="15.824246573207784" u="1"/>
        <n v="17.001881734930702" u="1"/>
        <n v="17.138697661740508" u="1"/>
        <n v="17.343921551955219" u="1"/>
        <n v="18.37004100302876" u="1"/>
        <n v="18.506856929838566" u="1"/>
        <n v="18.712080820053274" u="1"/>
        <n v="15.633722466832646" u="1"/>
        <n v="15.77053839364245" u="1"/>
        <n v="15.975762283857158" u="1"/>
        <n v="15.01805079618852" u="1"/>
        <n v="18.643672856648369" u="1"/>
        <n v="18.780488783458178" u="1"/>
        <n v="19.122528600482692" u="1"/>
        <n v="11.597652625943374" u="1"/>
        <n v="11.529244662538469" u="1"/>
        <n v="11.666060589348275" u="1"/>
        <n v="12.008100406372792" u="1"/>
        <n v="20.011832124746434" u="1"/>
        <n v="20.14864805155624" u="1"/>
        <n v="20.49068786858075" u="1"/>
        <n v="12.89740393063653" u="1"/>
        <n v="13.649891528090459" u="1"/>
        <n v="13.786707454900267" u="1"/>
        <n v="13.991931345114972" u="1"/>
        <n v="15.154866722998326" u="1"/>
        <n v="15.360090613213032" u="1"/>
        <n v="13.85511541830517" u="1"/>
        <n v="14.197155235329685" u="1"/>
        <n v="15.223274686403228" u="1"/>
        <n v="15.565314503427743" u="1"/>
        <n v="16.24939413747677" u="1"/>
        <n v="16.386210064286576" u="1"/>
        <n v="16.591433954501287" u="1"/>
        <n v="13.034219857446335" u="1"/>
        <n v="13.171035784256139" u="1"/>
        <n v="13.376259674470848" u="1"/>
        <n v="13.581483564685557" u="1"/>
        <n v="13.718299491495365" u="1"/>
        <n v="13.923523381710073" u="1"/>
        <n v="13.307851711065947" u="1"/>
        <n v="13.444667637875751" u="1"/>
        <n v="14.060339308519877" u="1"/>
        <n v="14.402379125544391" u="1"/>
        <n v="13.380771984911879" u="1"/>
        <n v="13.717757026315342" u="1"/>
        <n v="14.728712150525729" u="1"/>
        <n v="17.559386498314815" u="1"/>
        <n v="23.355529210454378" u="1"/>
        <n v="15.335285225051964" u="1"/>
        <n v="14.324330100841575" u="1"/>
        <n v="16.346240349262352" u="1"/>
        <n v="18.974723672209358" u="1"/>
        <n v="18.637738630805895" u="1"/>
        <n v="19.850884779858365" u="1"/>
        <n v="24.164293309822682" u="1"/>
        <n v="23.153338185612299" u="1"/>
        <n v="22.816353144208833" u="1"/>
        <n v="20.32266383782321" u="1"/>
        <n v="21.198824945472211" u="1"/>
        <n v="22.546765111086067" u="1"/>
        <n v="20.524854862665286" u="1"/>
        <n v="20.187869821261824" u="1"/>
        <n v="19.783487771577672" u="1"/>
        <n v="11.482666736835608" u="1"/>
        <n v="13.504008345914919" u="1"/>
        <n v="13.296375108745915" u="1"/>
        <n v="10.872206151995696" u="1"/>
        <n v="12.535053239126231" u="1"/>
        <n v="13.9681134036838" u="1"/>
        <n v="14.819018847985278" u="1"/>
        <n v="10.873987341774196" u="1"/>
        <n v="10.305349894644356" u="1"/>
        <n v="10.576379701831957" u="1"/>
        <n v="13.444861473821023" u="1"/>
        <n v="13.760089338423356" u="1"/>
        <n v="11.70068837427843" u="1"/>
        <n v="17.502162689004503" u="1"/>
        <n v="17.829261178561115" u="1"/>
        <n v="18.156359668117734" u="1"/>
        <n v="18.679717251408317" u="1"/>
        <n v="19.464753626344191" u="1"/>
        <n v="19.791852115900806" u="1"/>
        <n v="20.118950605457417" u="1"/>
        <n v="20.642308188748" u="1"/>
        <n v="15.4741520537535" u="1"/>
        <n v="15.801250543310111" u="1"/>
        <n v="16.128349032866726" u="1"/>
        <n v="16.651706616157306" u="1"/>
        <n v="11.679809574896776" u="1"/>
        <n v="15.408732355842174" u="1"/>
        <n v="15.735830845398789" u="1"/>
        <n v="16.062929334955403" u="1"/>
        <n v="16.586286918245985" u="1"/>
        <n v="16.259188428689374" u="1"/>
        <n v="16.455447522423341" u="1"/>
        <n v="16.978805105713921" u="1"/>
        <n v="15.932089939132755" u="1"/>
        <n v="16.390027824512018" u="1"/>
        <n v="16.717126314068629" u="1"/>
        <n v="17.240483897359216" u="1"/>
        <n v="17.305903595270536" u="1"/>
        <n v="17.633002084827147" u="1"/>
        <n v="16.782546011979949" u="1"/>
        <n v="17.109644501536568" u="1"/>
        <n v="17.436742991093183" u="1"/>
        <n v="17.960100574383763" u="1"/>
        <n v="17.763841480649795" u="1"/>
        <n v="18.287199063940378" u="1"/>
        <n v="15.997509637044079" u="1"/>
        <n v="16.324608126600694" u="1"/>
        <n v="14.689115678817624" u="1"/>
        <n v="19.922691511723446" u="1"/>
        <n v="16.913385407802597" u="1"/>
        <n v="9.0630216584438639" u="1"/>
        <n v="18.548877855585669" u="1"/>
        <n v="15.359722946150733" u="1"/>
        <n v="15.089124879646281" u="1"/>
        <n v="14.108958549863493" u="1"/>
        <n v="14.048476974463119" u="1"/>
        <n v="15.277892960019528" u="1"/>
        <n v="8.7355941050560215" u="1"/>
        <n v="15.10865539413987" u="1"/>
        <n v="15.604991449576145" u="1"/>
        <n v="17.617553405574824" u="1"/>
        <n v="10.915810479484263" u="1"/>
        <n v="16.72666125173204" u="1"/>
        <n v="16.188020981918275" u="1"/>
        <n v="19.756512769434444" u="1"/>
        <n v="25.47956563620566" u="1"/>
        <n v="17.399961588999236" u="1"/>
        <n v="17.938601858812998" u="1"/>
        <n v="7.6371066986248124" u="1"/>
        <n v="8.7064980574804611" u="1"/>
        <n v="16.322681049371717" u="1"/>
        <n v="19.689182735707728" u="1"/>
        <n v="12.013558890861622" u="1"/>
        <n v="12.282879025768503" u="1"/>
        <n v="13.023509396762424" u="1"/>
        <n v="14.033459902663225" u="1"/>
        <n v="16.053360914464832" u="1"/>
        <n v="12.956179363035703" u="1"/>
        <n v="12.549152063120959" u="1"/>
        <n v="13.444535019618931" u="1"/>
        <n v="11.267525478329738" u="1"/>
        <n v="12.408699834650687" u="1"/>
        <n v="11.352967250649153" u="1"/>
        <n v="12.063421439661273" u="1"/>
        <n v="12.677314721600077" u="1"/>
        <n v="11.580031686676092" u="1"/>
        <n v="11.011200161371494" u="1"/>
        <n v="11.027586254693025" u="1"/>
        <n v="8.4725261317713585" u="1"/>
        <n v="10.925758389052081" u="1"/>
        <n v="8.1061799025114034" u="1"/>
        <n v="11.523850795287983" u="1"/>
        <n v="19.110727220819037" u="1"/>
        <n v="10.840316616732666" u="1"/>
        <n v="17.675658402285826" u="1"/>
        <n v="136.68684754467702" u="1"/>
        <n v="8.7042723087473046" u="1"/>
        <n v="12.121943201523884" u="1"/>
        <n v="14.977081791461165" u="1"/>
        <n v="14.579071739874644" u="1"/>
        <n v="14.645406748472396" u="1"/>
        <n v="14.711741757070149" u="1"/>
        <n v="14.844411774265657" u="1"/>
        <n v="15.109751808656673" u="1"/>
        <n v="15.308756834449934" u="1"/>
        <n v="15.640431877438706" u="1"/>
        <n v="13.982056662494857" u="1"/>
        <n v="14.114726679690365" u="1"/>
        <n v="14.313731705483628" u="1"/>
        <n v="13.451376593712828" u="1"/>
        <n v="13.584046610908334" u="1"/>
        <n v="13.783051636701595" u="1"/>
        <n v="12.788026507735285" u="1"/>
        <n v="12.920696524930795" u="1"/>
        <n v="13.119701550724058" u="1"/>
        <n v="11.992006404562241" u="1"/>
        <n v="12.12467642175775" u="1"/>
        <n v="12.32368144755101" u="1"/>
        <n v="12.655356490539781" u="1"/>
        <n v="12.191011430355504" u="1"/>
        <n v="12.522686473344272" u="1"/>
        <n v="12.854361516333041" u="1"/>
        <n v="12.589021481942025" u="1"/>
        <n v="12.721691499137535" u="1"/>
        <n v="13.252371567919566" u="1"/>
        <n v="14.910746782863413" u="1"/>
        <n v="15.242421825852182" u="1"/>
        <n v="15.773101894634213" u="1"/>
        <n v="15.972106920427475" u="1"/>
        <n v="16.303781963416249" u="1"/>
        <n v="16.038441929025229" u="1"/>
        <n v="17.232224588065638" u="1"/>
        <n v="17.370954756057856" u="1"/>
        <n v="17.579050008046181" u="1"/>
        <n v="18.619526267987837" u="1"/>
        <n v="18.758256435980059" u="1"/>
        <n v="18.966351687968391" u="1"/>
        <n v="15.844922908143426" u="1"/>
        <n v="15.983653076135646" u="1"/>
        <n v="16.191748328123975" u="1"/>
        <n v="15.220637152178435" u="1"/>
        <n v="18.89698660397228" u="1"/>
        <n v="19.035716771964502" u="1"/>
        <n v="19.382542191945053" u="1"/>
        <n v="11.752382952372919" u="1"/>
        <n v="11.683017868376808" u="1"/>
        <n v="11.821748036369028" u="1"/>
        <n v="12.168573456349581" u="1"/>
        <n v="20.28428828389449" u="1"/>
        <n v="20.423018451886705" u="1"/>
        <n v="20.769843871867259" u="1"/>
        <n v="13.070319548299015" u="1"/>
        <n v="13.833335472256227" u="1"/>
        <n v="13.972065640248449" u="1"/>
        <n v="14.180160892236779" u="1"/>
        <n v="15.359367320170655" u="1"/>
        <n v="15.567462572158984" u="1"/>
        <n v="14.04143072424456" u="1"/>
        <n v="14.38825614422511" u="1"/>
        <n v="15.428732404166766" u="1"/>
        <n v="15.775557824147317" u="1"/>
        <n v="16.469208664108415" u="1"/>
        <n v="16.60793883210064" u="1"/>
        <n v="16.816034084088972" u="1"/>
        <n v="13.209049716291236" u="1"/>
        <n v="13.347779884283455" u="1"/>
        <n v="13.555875136271785" u="1"/>
        <n v="13.763970388260116" u="1"/>
        <n v="13.902700556252338" u="1"/>
        <n v="14.110795808240669" u="1"/>
        <n v="13.486510052275676" u="1"/>
        <n v="13.625240220267896" u="1"/>
        <n v="14.24952597623289" u="1"/>
        <n v="14.596351396213439" u="1"/>
        <n v="13.560561958876962" u="1"/>
        <n v="13.902261880040069" u="1"/>
        <n v="14.927361643529382" u="1"/>
        <n v="17.797640981299466" u="1"/>
        <n v="23.674879625304872" u="1"/>
        <n v="15.542421501622973" u="1"/>
        <n v="14.517321738133655" u="1"/>
        <n v="16.567521265112287" u="1"/>
        <n v="19.232780650184509" u="1"/>
        <n v="18.8910807290214" u="1"/>
        <n v="20.121200445208579" u="1"/>
        <n v="24.49495943609632" u="1"/>
        <n v="23.469859672607008" u="1"/>
        <n v="23.128159751443903" u="1"/>
        <n v="20.599580334836926" u="1"/>
        <n v="21.488000129860996" u="1"/>
        <n v="22.85479981451342" u="1"/>
        <n v="20.80460028753479" u="1"/>
        <n v="20.462900366371684" u="1"/>
        <n v="20.052860460975957" u="1"/>
        <n v="10.96847927521179" u="1"/>
        <n v="13.168312303627399" u="1"/>
        <n v="12.961145266633752" u="1"/>
        <n v="10.370386868975885" u="1"/>
        <n v="12.201532797657038" u="1"/>
        <n v="13.403569786315101" u="1"/>
        <n v="14.480370204587176" u="1"/>
        <n v="10.544196501707846" u="1"/>
        <n v="9.8150153488996938" u="1"/>
        <n v="10.247257082016951" u="1"/>
        <n v="12.890919152398615" u="1"/>
        <n v="13.423818315919565" u="1"/>
        <n v="11.182083706010324" u="1"/>
        <n v="17.739834376886424" u="1"/>
        <n v="18.071509419875191" u="1"/>
        <n v="18.403184462863965" u="1"/>
        <n v="18.933864531645995" u="1"/>
        <n v="19.729884634819037" u="1"/>
        <n v="20.061559677807811" u="1"/>
        <n v="20.393234720796578" u="1"/>
        <n v="20.92391478957861" u="1"/>
        <n v="15.683449110356053" u="1"/>
        <n v="16.015124153344818" u="1"/>
        <n v="16.346799196333592" u="1"/>
        <n v="16.877479265115621" u="1"/>
        <n v="11.836018611686326" u="1"/>
        <n v="15.617114101758297" u="1"/>
        <n v="15.948789144747069" u="1"/>
        <n v="16.280464187735838" u="1"/>
        <n v="16.811144256517867" u="1"/>
        <n v="16.4794692135291" u="1"/>
        <n v="16.678474239322362" u="1"/>
        <n v="17.209154308104392" u="1"/>
        <n v="16.14779417054033" u="1"/>
        <n v="16.612139230724608" u="1"/>
        <n v="16.943814273713379" u="1"/>
        <n v="17.474494342495404" u="1"/>
        <n v="17.540829351093159" u="1"/>
        <n v="17.872504394081933" u="1"/>
        <n v="17.010149282311126" u="1"/>
        <n v="17.3418243252999" u="1"/>
        <n v="17.673499368288667" u="1"/>
        <n v="18.2041794370707" u="1"/>
        <n v="18.005174411277437" u="1"/>
        <n v="18.535854480059466" u="1"/>
        <n v="16.214129179138084" u="1"/>
        <n v="16.545804222126851" u="1"/>
        <n v="14.887429007183004" u="1"/>
        <n v="20.194229695003315" u="1"/>
        <n v="17.142819299506634" u="1"/>
        <n v="9.1826182677761725" u="1"/>
        <n v="18.801194514450483" u="1"/>
        <n v="14.891751608631306" u="1"/>
        <n v="14.620268459228027" u="1"/>
        <n v="13.636896162500591" u="1"/>
        <n v="13.697609380950572" u="1"/>
        <n v="15.484444084562789" u="1"/>
        <n v="8.2770634471502333" u="1"/>
        <n v="15.312730543470913" u="1"/>
        <n v="15.816119127551559" u="1"/>
        <n v="17.856510344030628" u="1"/>
        <n v="10.413107755135593" u="1"/>
        <n v="16.133942665224996" u="1"/>
        <n v="16.726491996421927" u="1"/>
        <n v="16.187851726608169" u="1"/>
        <n v="19.756343514124335" u="1"/>
        <n v="25.479396380895547" u="1"/>
        <n v="17.399792333689128" u="1"/>
        <n v="17.938432603502889" u="1"/>
        <n v="7.6369374433147028" u="1"/>
        <n v="8.7063288021703524" u="1"/>
        <n v="16.322511794061604" u="1"/>
        <n v="19.689013480397616" u="1"/>
        <n v="12.013389635551514" u="1"/>
        <n v="12.282709770458395" u="1"/>
        <n v="13.023340141452316" u="1"/>
        <n v="14.033290647353118" u="1"/>
        <n v="16.053191659154724" u="1"/>
        <n v="12.956010107725595" u="1"/>
        <n v="12.544091273120959" u="1"/>
        <n v="13.439474229618932" u="1"/>
        <n v="11.262464688329739" u="1"/>
        <n v="12.403639044650687" u="1"/>
        <n v="11.347906460649154" u="1"/>
        <n v="12.058360649661275" u="1"/>
        <n v="12.672253931600078" u="1"/>
        <n v="11.574970896676094" u="1"/>
        <n v="11.006139371371495" u="1"/>
        <n v="11.022525464693027" u="1"/>
        <n v="8.4674653417713586" u="1"/>
        <n v="10.920697599052081" u="1"/>
        <n v="8.1011191125114035" u="1"/>
        <n v="11.518790005287984" u="1"/>
        <n v="19.105628616171149" u="1"/>
        <n v="10.835255826732666" u="1"/>
        <n v="17.670597612285828" u="1"/>
        <n v="136.68174894002908" u="1"/>
        <n v="8.6992115187473047" u="1"/>
        <n v="12.116882411523884" u="1"/>
        <n v="14.976915037461058" u="1"/>
        <n v="14.578904985874535" u="1"/>
        <n v="14.64523999447229" u="1"/>
        <n v="14.711575003070042" u="1"/>
        <n v="14.844245020265548" u="1"/>
        <n v="15.109585054656565" u="1"/>
        <n v="15.308590080449827" u="1"/>
        <n v="15.640265123438597" u="1"/>
        <n v="13.98188990849475" u="1"/>
        <n v="14.114559925690259" u="1"/>
        <n v="14.313564951483519" u="1"/>
        <n v="13.451209839712719" u="1"/>
        <n v="13.583879856908228" u="1"/>
        <n v="13.782884882701486" u="1"/>
        <n v="12.787859753735178" u="1"/>
        <n v="12.920529770930688" u="1"/>
        <n v="13.119534796723951" u="1"/>
        <n v="11.991839650562135" u="1"/>
        <n v="12.124509667757643" u="1"/>
        <n v="12.323514693550903" u="1"/>
        <n v="12.655189736539674" u="1"/>
        <n v="12.190844676355395" u="1"/>
        <n v="12.522519719344164" u="1"/>
        <n v="12.854194762332934" u="1"/>
        <n v="12.588854727941918" u="1"/>
        <n v="12.721524745137426" u="1"/>
        <n v="13.252204813919457" u="1"/>
        <n v="14.910580028863306" u="1"/>
        <n v="15.242255071852075" u="1"/>
        <n v="15.772935140634107" u="1"/>
        <n v="15.971940166427366" u="1"/>
        <n v="16.303615209416137" u="1"/>
        <n v="16.038275175025124" u="1"/>
        <n v="17.232050217013779" u="1"/>
        <n v="17.370780385005997" u="1"/>
        <n v="17.578875636994326" u="1"/>
        <n v="18.619351896935981" u="1"/>
        <n v="18.758082064928203" u="1"/>
        <n v="18.966177316916536" u="1"/>
        <n v="15.844748537091569" u="1"/>
        <n v="15.983478705083789" u="1"/>
        <n v="16.191573957072119" u="1"/>
        <n v="15.220462781126576" u="1"/>
        <n v="18.896812232920421" u="1"/>
        <n v="19.035542400912643" u="1"/>
        <n v="19.382367820893194" u="1"/>
        <n v="11.752208581321062" u="1"/>
        <n v="11.682843497324951" u="1"/>
        <n v="11.821573665317173" u="1"/>
        <n v="12.168399085297722" u="1"/>
        <n v="20.284113912842631" u="1"/>
        <n v="20.422844080834846" u="1"/>
        <n v="20.7696695008154" u="1"/>
        <n v="13.070145177247158" u="1"/>
        <n v="13.83316110120437" u="1"/>
        <n v="13.971891269196592" u="1"/>
        <n v="14.179986521184922" u="1"/>
        <n v="15.359192949118798" u="1"/>
        <n v="15.567288201107127" u="1"/>
        <n v="14.041256353192701" u="1"/>
        <n v="14.388081773173253" u="1"/>
        <n v="15.428558033114909" u="1"/>
        <n v="15.77538345309546" u="1"/>
        <n v="16.469034293056559" u="1"/>
        <n v="16.607764461048784" u="1"/>
        <n v="16.815859713037113" u="1"/>
        <n v="13.208875345239379" u="1"/>
        <n v="13.347605513231597" u="1"/>
        <n v="13.555700765219928" u="1"/>
        <n v="13.763796017208261" u="1"/>
        <n v="13.902526185200481" u="1"/>
        <n v="14.110621437188811" u="1"/>
        <n v="13.486335681223819" u="1"/>
        <n v="13.625065849216039" u="1"/>
        <n v="14.249351605181031" u="1"/>
        <n v="14.596177025161582" u="1"/>
        <n v="13.560390164737203" u="1"/>
        <n v="13.902090085900307" u="1"/>
        <n v="14.927189849389622" u="1"/>
        <n v="17.797469187159702" u="1"/>
        <n v="23.674707831165108" u="1"/>
        <n v="15.542249707483213" u="1"/>
        <n v="14.517149943993894" u="1"/>
        <n v="16.567349470972527" u="1"/>
        <n v="19.232608856044745" u="1"/>
        <n v="18.890908934881637" u="1"/>
        <n v="20.121028651068816" u="1"/>
        <n v="24.494787641956556" u="1"/>
        <n v="23.469687878467248" u="1"/>
        <n v="23.127987957304139" u="1"/>
        <n v="20.599408540697166" u="1"/>
        <n v="21.487828335721233" u="1"/>
        <n v="22.854628020373656" u="1"/>
        <n v="20.804428493395026" u="1"/>
        <n v="20.462728572231921" u="1"/>
        <n v="20.052688666836193" u="1"/>
        <n v="10.96341848521179" u="1"/>
        <n v="13.163251513627401" u="1"/>
        <n v="12.956084476633752" u="1"/>
        <n v="10.365326078975887" u="1"/>
        <n v="12.196472007657039" u="1"/>
        <n v="13.398508996315103" u="1"/>
        <n v="14.475309414587178" u="1"/>
        <n v="10.539135711707846" u="1"/>
        <n v="9.8099545588996939" u="1"/>
        <n v="10.242196292016951" u="1"/>
        <n v="12.885858362398617" u="1"/>
        <n v="13.418757525919567" u="1"/>
        <n v="11.177022916010324" u="1"/>
        <n v="17.739667622886316" u="1"/>
        <n v="18.071342665875083" u="1"/>
        <n v="18.403017708863857" u="1"/>
        <n v="18.933697777645886" u="1"/>
        <n v="19.729717880818928" u="1"/>
        <n v="20.061392923807698" u="1"/>
        <n v="20.393067966796469" u="1"/>
        <n v="20.923748035578502" u="1"/>
        <n v="15.683282356355944" u="1"/>
        <n v="16.014957399344713" u="1"/>
        <n v="16.346632442333483" u="1"/>
        <n v="16.877312511115512" u="1"/>
        <n v="11.835851857686219" u="1"/>
        <n v="15.61694734775819" u="1"/>
        <n v="15.948622390746962" u="1"/>
        <n v="16.280297433735729" u="1"/>
        <n v="16.810977502517762" u="1"/>
        <n v="16.479302459528991" u="1"/>
        <n v="16.678307485322254" u="1"/>
        <n v="17.208987554104283" u="1"/>
        <n v="16.147627416540221" u="1"/>
        <n v="16.6119724767245" u="1"/>
        <n v="16.943647519713267" u="1"/>
        <n v="17.474327588495299" u="1"/>
        <n v="17.540662597093053" u="1"/>
        <n v="17.872337640081827" u="1"/>
        <n v="17.009982528311021" u="1"/>
        <n v="17.341657571299795" u="1"/>
        <n v="17.673332614288558" u="1"/>
        <n v="18.204012683070591" u="1"/>
        <n v="18.005007657277329" u="1"/>
        <n v="18.535687726059358" u="1"/>
        <n v="16.213962425137979" u="1"/>
        <n v="16.545637468126746" u="1"/>
        <n v="14.887262253182895" u="1"/>
        <n v="20.194062941003207" u="1"/>
        <n v="17.142652545506529" u="1"/>
        <n v="9.1824515137760656" u="1"/>
        <n v="18.801027760450374" u="1"/>
        <n v="14.883316958631307" u="1"/>
        <n v="14.611833809228028" u="1"/>
        <n v="13.628461512500591" u="1"/>
        <n v="13.692317422287157" u="1"/>
        <n v="15.48427733056268" u="1"/>
        <n v="8.2720026571502316" u="1"/>
        <n v="15.312561288160804" u="1"/>
        <n v="15.815952373551452" u="1"/>
        <n v="17.856335972978769" u="1"/>
        <n v="10.408046965135595" u="1"/>
        <n v="16.726692684861057" u="1"/>
        <n v="16.188052415047299" u="1"/>
        <n v="19.756544202563465" u="1"/>
        <n v="25.479597069334677" u="1"/>
        <n v="17.399993022128257" u="1"/>
        <n v="17.938633291942018" u="1"/>
        <n v="7.637138131753832" u="1"/>
        <n v="8.7065294906094817" u="1"/>
        <n v="16.322712482500734" u="1"/>
        <n v="19.689214168836745" u="1"/>
        <n v="12.013590323990643" u="1"/>
        <n v="12.282910458897524" u="1"/>
        <n v="13.023540829891445" u="1"/>
        <n v="14.033491335792247" u="1"/>
        <n v="16.053392347593856" u="1"/>
        <n v="12.956210796164724" u="1"/>
        <n v="12.548165483120959" u="1"/>
        <n v="13.443548439618933" u="1"/>
        <n v="11.26653889832974" u="1"/>
        <n v="12.407713254650687" u="1"/>
        <n v="11.351980670649155" u="1"/>
        <n v="12.062434859661273" u="1"/>
        <n v="12.676328141600079" u="1"/>
        <n v="11.579045106676094" u="1"/>
        <n v="11.010213581371495" u="1"/>
        <n v="11.026599674693028" u="1"/>
        <n v="8.4715395517713592" u="1"/>
        <n v="10.924771809052082" u="1"/>
        <n v="8.1051933225114041" u="1"/>
        <n v="11.522864215287983" u="1"/>
        <n v="19.109733269010423" u="1"/>
        <n v="10.839330036732667" u="1"/>
        <n v="17.674671822285831" u="1"/>
        <n v="136.6858535928684" u="1"/>
        <n v="8.7032857287473053" u="1"/>
        <n v="12.120956621523886" u="1"/>
        <n v="14.977112760061186" u="1"/>
        <n v="14.579102708474664" u="1"/>
        <n v="14.645437717072417" u="1"/>
        <n v="14.711772725670169" u="1"/>
        <n v="14.844442742865677" u="1"/>
        <n v="15.109782777256694" u="1"/>
        <n v="15.308787803049954" u="1"/>
        <n v="15.640462846038726" u="1"/>
        <n v="13.982087631094878" u="1"/>
        <n v="14.114757648290386" u="1"/>
        <n v="14.313762674083648" u="1"/>
        <n v="13.451407562312847" u="1"/>
        <n v="13.584077579508355" u="1"/>
        <n v="13.783082605301615" u="1"/>
        <n v="12.788057476335306" u="1"/>
        <n v="12.920727493530816" u="1"/>
        <n v="13.119732519324078" u="1"/>
        <n v="11.992037373162262" u="1"/>
        <n v="12.12470739035777" u="1"/>
        <n v="12.323712416151031" u="1"/>
        <n v="12.655387459139801" u="1"/>
        <n v="12.191042398955524" u="1"/>
        <n v="12.522717441944291" u="1"/>
        <n v="12.854392484933062" u="1"/>
        <n v="12.589052450542045" u="1"/>
        <n v="12.721722467737555" u="1"/>
        <n v="13.252402536519586" u="1"/>
        <n v="14.910777751463433" u="1"/>
        <n v="15.242452794452202" u="1"/>
        <n v="15.773132863234235" u="1"/>
        <n v="15.972137889027493" u="1"/>
        <n v="16.303812932016267" u="1"/>
        <n v="16.038472897625251" u="1"/>
        <n v="17.232256971260981" u="1"/>
        <n v="17.370987139253199" u="1"/>
        <n v="17.579082391241531" u="1"/>
        <n v="18.619558651183183" u="1"/>
        <n v="18.758288819175405" u="1"/>
        <n v="18.966384071163734" u="1"/>
        <n v="15.844955291338771" u="1"/>
        <n v="15.98368545933099" u="1"/>
        <n v="16.191780711319321" u="1"/>
        <n v="15.220669535373778" u="1"/>
        <n v="18.89701898716762" u="1"/>
        <n v="19.035749155159845" u="1"/>
        <n v="19.382574575140396" u="1"/>
        <n v="11.752415335568264" u="1"/>
        <n v="11.683050251572153" u="1"/>
        <n v="11.821780419564375" u="1"/>
        <n v="12.168605839544925" u="1"/>
        <n v="20.284320667089833" u="1"/>
        <n v="20.423050835082048" u="1"/>
        <n v="20.769876255062602" u="1"/>
        <n v="13.070351931494359" u="1"/>
        <n v="13.833367855451572" u="1"/>
        <n v="13.972098023443793" u="1"/>
        <n v="14.180193275432124" u="1"/>
        <n v="15.359399703366" u="1"/>
        <n v="15.567494955354329" u="1"/>
        <n v="14.041463107439904" u="1"/>
        <n v="14.388288527420457" u="1"/>
        <n v="15.428764787362111" u="1"/>
        <n v="15.775590207342663" u="1"/>
        <n v="16.469241047303761" u="1"/>
        <n v="16.607971215295986" u="1"/>
        <n v="16.816066467284315" u="1"/>
        <n v="13.209082099486581" u="1"/>
        <n v="13.347812267478799" u="1"/>
        <n v="13.55590751946713" u="1"/>
        <n v="13.764002771455464" u="1"/>
        <n v="13.902732939447684" u="1"/>
        <n v="14.110828191436013" u="1"/>
        <n v="13.486542435471021" u="1"/>
        <n v="13.625272603463241" u="1"/>
        <n v="14.249558359428233" u="1"/>
        <n v="14.596383779408784" u="1"/>
        <n v="13.56059386350292" u="1"/>
        <n v="13.902293784666025" u="1"/>
        <n v="14.927393548155338" u="1"/>
        <n v="17.797672885925419" u="1"/>
        <n v="23.674911529930824" u="1"/>
        <n v="15.54245340624893" u="1"/>
        <n v="14.517353642759611" u="1"/>
        <n v="16.567553169738243" u="1"/>
        <n v="19.232812554810462" u="1"/>
        <n v="18.891112633647356" u="1"/>
        <n v="20.121232349834532" u="1"/>
        <n v="24.494991340722276" u="1"/>
        <n v="23.469891577232964" u="1"/>
        <n v="23.128191656069855" u="1"/>
        <n v="20.599612239462882" u="1"/>
        <n v="21.488032034486949" u="1"/>
        <n v="22.854831719139369" u="1"/>
        <n v="20.804632192160742" u="1"/>
        <n v="20.462932270997641" u="1"/>
        <n v="20.05289236560191" u="1"/>
        <n v="10.96749269521179" u="1"/>
        <n v="13.1673257236274" u="1"/>
        <n v="12.960158686633752" u="1"/>
        <n v="10.369400288975886" u="1"/>
        <n v="12.200546217657042" u="1"/>
        <n v="13.402583206315102" u="1"/>
        <n v="14.479383624587177" u="1"/>
        <n v="10.543209921707847" u="1"/>
        <n v="9.8140287688996946" u="1"/>
        <n v="10.24627050201695" u="1"/>
        <n v="12.889932572398616" u="1"/>
        <n v="13.422831735919566" u="1"/>
        <n v="11.181097126010325" u="1"/>
        <n v="17.739865345486443" u="1"/>
        <n v="18.071540388475206" u="1"/>
        <n v="18.403215431463984" u="1"/>
        <n v="18.933895500246013" u="1"/>
        <n v="19.729915603419055" u="1"/>
        <n v="20.061590646407829" u="1"/>
        <n v="20.393265689396596" u="1"/>
        <n v="20.923945758178629" u="1"/>
        <n v="15.683480078956073" u="1"/>
        <n v="16.01515512194484" u="1"/>
        <n v="16.346830164933614" u="1"/>
        <n v="16.877510233715643" u="1"/>
        <n v="11.836049580286346" u="1"/>
        <n v="15.617145070358317" u="1"/>
        <n v="15.948820113347091" u="1"/>
        <n v="16.280495156335856" u="1"/>
        <n v="16.811175225117889" u="1"/>
        <n v="16.479500182129119" u="1"/>
        <n v="16.678505207922381" u="1"/>
        <n v="17.20918527670441" u="1"/>
        <n v="16.147825139140348" u="1"/>
        <n v="16.612170199324627" u="1"/>
        <n v="16.943845242313394" u="1"/>
        <n v="17.474525311095427" u="1"/>
        <n v="17.540860319693181" u="1"/>
        <n v="17.872535362681951" u="1"/>
        <n v="17.010180250911148" u="1"/>
        <n v="17.341855293899922" u="1"/>
        <n v="17.673530336888685" u="1"/>
        <n v="18.204210405670718" u="1"/>
        <n v="18.005205379877456" u="1"/>
        <n v="18.535885448659485" u="1"/>
        <n v="16.214160147738106" u="1"/>
        <n v="16.545835190726873" u="1"/>
        <n v="14.887459975783024" u="1"/>
        <n v="20.194260663603334" u="1"/>
        <n v="17.142850268106656" u="1"/>
        <n v="9.1826492363761911" u="1"/>
        <n v="18.801225483050501" u="1"/>
        <n v="14.890107308631308" u="1"/>
        <n v="14.618624159228029" u="1"/>
        <n v="13.635251862500592" u="1"/>
        <n v="11.746906920205614" u="1"/>
        <n v="15.484475053162809" u="1"/>
        <n v="8.2760768671502323" u="1"/>
        <n v="15.312761976599933" u="1"/>
        <n v="15.81615009615158" u="1"/>
        <n v="17.856542727225971" u="1"/>
        <n v="10.412121175135594" u="1"/>
        <n v="16.726054350548647" u="1"/>
        <n v="16.187414080734889" u="1"/>
        <n v="19.755905868251052" u="1"/>
        <n v="25.478958735022267" u="1"/>
        <n v="17.399354687815848" u="1"/>
        <n v="17.937994957629606" u="1"/>
        <n v="7.6364997974414219" u="1"/>
        <n v="8.7058911562970724" u="1"/>
        <n v="16.322074148188324" u="1"/>
        <n v="19.688575834524336" u="1"/>
        <n v="12.012951989678232" u="1"/>
        <n v="12.282272124585115" u="1"/>
        <n v="13.022902495579036" u="1"/>
        <n v="14.032853001479836" u="1"/>
        <n v="16.052754013281444" u="1"/>
        <n v="12.955572461852313" u="1"/>
        <n v="12.543689333120959" u="1"/>
        <n v="13.439072289618933" u="1"/>
        <n v="11.26206274832974" u="1"/>
        <n v="12.403237104650687" u="1"/>
        <n v="11.347504520649155" u="1"/>
        <n v="12.057958709661275" u="1"/>
        <n v="12.671851991600079" u="1"/>
        <n v="11.574568956676094" u="1"/>
        <n v="11.005737431371495" u="1"/>
        <n v="11.022123524693027" u="1"/>
        <n v="8.4670634017713589" u="1"/>
        <n v="10.920295659052082" u="1"/>
        <n v="8.1007171725114038" u="1"/>
        <n v="11.518388065287985" u="1"/>
        <n v="19.105223672841714" u="1"/>
        <n v="10.834853886732667" u="1"/>
        <n v="17.670195672285832" u="1"/>
        <n v="136.6813439966997" u="1"/>
        <n v="8.6988095787473068" u="1"/>
        <n v="12.116480471523886" u="1"/>
        <n v="14.976483859260782" u="1"/>
        <n v="14.578473807674259" u="1"/>
        <n v="14.644808816272013" u="1"/>
        <n v="14.711143824869765" u="1"/>
        <n v="14.843813842065272" u="1"/>
        <n v="15.109153876456288" u="1"/>
        <n v="15.30815890224955" u="1"/>
        <n v="15.639833945238321" u="1"/>
        <n v="13.981458730294474" u="1"/>
        <n v="14.114128747489982" u="1"/>
        <n v="14.313133773283242" u="1"/>
        <n v="13.450778661512443" u="1"/>
        <n v="13.583448678707951" u="1"/>
        <n v="13.78245370450121" u="1"/>
        <n v="12.787428575534902" u="1"/>
        <n v="12.920098592730412" u="1"/>
        <n v="13.119103618523674" u="1"/>
        <n v="11.991408472361858" u="1"/>
        <n v="12.124078489557366" u="1"/>
        <n v="12.323083515350627" u="1"/>
        <n v="12.654758558339397" u="1"/>
        <n v="12.190413498155118" u="1"/>
        <n v="12.522088541143887" u="1"/>
        <n v="12.853763584132658" u="1"/>
        <n v="12.588423549741641" u="1"/>
        <n v="12.721093566937149" u="1"/>
        <n v="13.25177363571918" u="1"/>
        <n v="14.910148850663029" u="1"/>
        <n v="15.241823893651798" u="1"/>
        <n v="15.772503962433831" u="1"/>
        <n v="15.97150898822709" u="1"/>
        <n v="16.30318403121586" u="1"/>
        <n v="16.037843996824847" u="1"/>
        <n v="17.231599343293976" u="1"/>
        <n v="17.370329511286197" u="1"/>
        <n v="17.578424763274526" u="1"/>
        <n v="18.618901023216182" u="1"/>
        <n v="18.7576311912084" u="1"/>
        <n v="18.965726443196736" u="1"/>
        <n v="15.844297663371767" u="1"/>
        <n v="15.983027831363987" u="1"/>
        <n v="16.19112308335232" u="1"/>
        <n v="15.220011907406775" u="1"/>
        <n v="18.896361359200625" u="1"/>
        <n v="19.03509152719284" u="1"/>
        <n v="19.381916947173391" u="1"/>
        <n v="11.751757707601262" u="1"/>
        <n v="11.68239262360515" u="1"/>
        <n v="11.821122791597372" u="1"/>
        <n v="12.167948211577922" u="1"/>
        <n v="20.283663039122828" u="1"/>
        <n v="20.422393207115046" u="1"/>
        <n v="20.769218627095601" u="1"/>
        <n v="13.069694303527356" u="1"/>
        <n v="13.832710227484569" u="1"/>
        <n v="13.97144039547679" u="1"/>
        <n v="14.179535647465121" u="1"/>
        <n v="15.358742075398997" u="1"/>
        <n v="15.566837327387326" u="1"/>
        <n v="14.040805479472901" u="1"/>
        <n v="14.387630899453454" u="1"/>
        <n v="15.428107159395108" u="1"/>
        <n v="15.77493257937566" u="1"/>
        <n v="16.46858341933676" u="1"/>
        <n v="16.607313587328981" u="1"/>
        <n v="16.815408839317314" u="1"/>
        <n v="13.208424471519578" u="1"/>
        <n v="13.347154639511796" u="1"/>
        <n v="13.555249891500127" u="1"/>
        <n v="13.763345143488461" u="1"/>
        <n v="13.902075311480681" u="1"/>
        <n v="14.11017056346901" u="1"/>
        <n v="13.485884807504018" u="1"/>
        <n v="13.624614975496238" u="1"/>
        <n v="14.24890073146123" u="1"/>
        <n v="14.595726151441781" u="1"/>
        <n v="13.559945954175824" u="1"/>
        <n v="13.901645875338927" u="1"/>
        <n v="14.926745638828242" u="1"/>
        <n v="17.797024976598323" u="1"/>
        <n v="23.674263620603728" u="1"/>
        <n v="15.541805496921832" u="1"/>
        <n v="14.516705733432515" u="1"/>
        <n v="16.566905260411147" u="1"/>
        <n v="19.232164645483365" u="1"/>
        <n v="18.890464724320257" u="1"/>
        <n v="20.120584440507436" u="1"/>
        <n v="24.494343431395176" u="1"/>
        <n v="23.469243667905868" u="1"/>
        <n v="23.127543746742759" u="1"/>
        <n v="20.598964330135782" u="1"/>
        <n v="21.487384125159853" u="1"/>
        <n v="22.854183809812273" u="1"/>
        <n v="20.803984282833646" u="1"/>
        <n v="20.462284361670541" u="1"/>
        <n v="20.052244456274813" u="1"/>
        <n v="10.96301654521179" u="1"/>
        <n v="13.162849573627399" u="1"/>
        <n v="12.955682536633752" u="1"/>
        <n v="10.364924138975885" u="1"/>
        <n v="12.196070067657041" u="1"/>
        <n v="13.398107056315101" u="1"/>
        <n v="14.474907474587177" u="1"/>
        <n v="10.538733771707847" u="1"/>
        <n v="9.8095526188996942" u="1"/>
        <n v="10.241794352016949" u="1"/>
        <n v="12.885456422398617" u="1"/>
        <n v="13.418355585919567" u="1"/>
        <n v="11.176620976010325" u="1"/>
        <n v="17.739236444686039" u="1"/>
        <n v="18.07091148767481" u="1"/>
        <n v="18.40258653066358" u="1"/>
        <n v="18.933266599445609" u="1"/>
        <n v="19.729286702618651" u="1"/>
        <n v="20.060961745607422" u="1"/>
        <n v="20.392636788596192" u="1"/>
        <n v="20.923316857378225" u="1"/>
        <n v="15.682851178155667" u="1"/>
        <n v="16.014526221144436" u="1"/>
        <n v="16.346201264133207" u="1"/>
        <n v="16.876881332915236" u="1"/>
        <n v="11.835420679485942" u="1"/>
        <n v="15.616516169557913" u="1"/>
        <n v="15.948191212546686" u="1"/>
        <n v="16.279866255535453" u="1"/>
        <n v="16.810546324317485" u="1"/>
        <n v="16.478871281328715" u="1"/>
        <n v="16.677876307121977" u="1"/>
        <n v="17.208556375904006" u="1"/>
        <n v="16.147196238339944" u="1"/>
        <n v="16.611541298524223" u="1"/>
        <n v="16.94321634151299" u="1"/>
        <n v="17.473896410295023" u="1"/>
        <n v="17.540231418892777" u="1"/>
        <n v="17.871906461881547" u="1"/>
        <n v="17.009551350110744" u="1"/>
        <n v="17.341226393099518" u="1"/>
        <n v="17.672901436088281" u="1"/>
        <n v="18.203581504870314" u="1"/>
        <n v="18.004576479077052" u="1"/>
        <n v="18.535256547859081" u="1"/>
        <n v="16.213531246937702" u="1"/>
        <n v="16.545206289926469" u="1"/>
        <n v="14.886831074982618" u="1"/>
        <n v="20.19363176280293" u="1"/>
        <n v="17.142221367306252" u="1"/>
        <n v="9.182020335575789" u="1"/>
        <n v="18.800596582250098" u="1"/>
        <n v="14.882647058631306" u="1"/>
        <n v="14.611163909228029" u="1"/>
        <n v="13.627791612500591" u="1"/>
        <n v="11.742226306947359" u="1"/>
        <n v="15.483846152362403" u="1"/>
        <n v="15.312123642287522" u="1"/>
        <n v="15.815521195351176" u="1"/>
        <n v="17.855885099258966" u="1"/>
        <n v="10.407645025135594" u="1"/>
        <n v="12.441497103120957" u="1"/>
        <n v="13.336880059618931" u="1"/>
        <n v="11.159870518329738" u="1"/>
        <n v="12.301044874650687" u="1"/>
        <n v="11.245312290649153" u="1"/>
        <n v="11.955766479661273" u="1"/>
        <n v="12.569659761600077" u="1"/>
        <n v="11.472376726676092" u="1"/>
        <n v="10.903545201371493" u="1"/>
        <n v="10.919931294693026" u="1"/>
        <n v="8.3648711717713589" u="1"/>
        <n v="10.818103429052082" u="1"/>
        <n v="7.9985249425114038" u="1"/>
        <n v="11.416195835287983" u="1"/>
        <n v="19.002267853917001" u="1"/>
        <n v="10.732661656732667" u="1"/>
        <n v="17.568003442285828" u="1"/>
        <n v="136.57838817777497" u="1"/>
        <n v="8.5966173487473032" u="1"/>
        <n v="12.014288241523884" u="1"/>
        <n v="10.86082431521179" u="1"/>
        <n v="13.060657343627399" u="1"/>
        <n v="12.853490306633752" u="1"/>
        <n v="10.262731908975885" u="1"/>
        <n v="12.093877837657038" u="1"/>
        <n v="13.295914826315101" u="1"/>
        <n v="14.372715244587177" u="1"/>
        <n v="10.436541541707847" u="1"/>
        <n v="9.7073603888996924" u="1"/>
        <n v="10.139602122016951" u="1"/>
        <n v="12.783264192398615" u="1"/>
        <n v="13.316163355919565" u="1"/>
        <n v="11.074428746010323" u="1"/>
        <n v="14.769100136409085" u="1"/>
        <n v="14.497616987005806" u="1"/>
        <n v="13.514244690278369" u="1"/>
        <n v="11.635366101943331" u="1"/>
        <n v="10.305452795135594" u="1"/>
        <n v="16.724990460027964" u="1"/>
        <n v="16.186350190214203" u="1"/>
        <n v="19.754841977730372" u="1"/>
        <n v="25.477894844501584" u="1"/>
        <n v="17.398290797295164" u="1"/>
        <n v="17.936931067108926" u="1"/>
        <n v="7.6354359069207387" u="1"/>
        <n v="8.7048272657763892" u="1"/>
        <n v="16.321010257667641" u="1"/>
        <n v="19.687511944003656" u="1"/>
        <n v="12.011888099157549" u="1"/>
        <n v="12.28120823406443" u="1"/>
        <n v="13.021838605058353" u="1"/>
        <n v="14.031789110959151" u="1"/>
        <n v="16.05169012276076" u="1"/>
        <n v="12.95450857133163" u="1"/>
        <n v="12.435634463120959" u="1"/>
        <n v="13.331017419618933" u="1"/>
        <n v="11.15400787832974" u="1"/>
        <n v="12.295182234650687" u="1"/>
        <n v="11.239449650649155" u="1"/>
        <n v="11.949903839661275" u="1"/>
        <n v="12.563797121600079" u="1"/>
        <n v="11.466514086676094" u="1"/>
        <n v="10.897682561371495" u="1"/>
        <n v="10.914068654693027" u="1"/>
        <n v="8.3590085317713605" u="1"/>
        <n v="10.812240789052082" u="1"/>
        <n v="7.9926623025114045" u="1"/>
        <n v="11.410333195287985" u="1"/>
        <n v="18.996361407778572" u="1"/>
        <n v="10.726799016732667" u="1"/>
        <n v="17.562140802285832" u="1"/>
        <n v="136.57248173163651" u="1"/>
        <n v="8.5907547087473066" u="1"/>
        <n v="12.008425601523886" u="1"/>
        <n v="14.975435691260108" u="1"/>
        <n v="14.577425639673585" u="1"/>
        <n v="14.643760648271339" u="1"/>
        <n v="14.710095656869091" u="1"/>
        <n v="14.842765674064598" u="1"/>
        <n v="15.108105708455614" u="1"/>
        <n v="15.307110734248877" u="1"/>
        <n v="15.638785777237647" u="1"/>
        <n v="13.9804105622938" u="1"/>
        <n v="14.113080579489308" u="1"/>
        <n v="14.312085605282569" u="1"/>
        <n v="13.449730493511771" u="1"/>
        <n v="13.582400510707277" u="1"/>
        <n v="13.781405536500536" u="1"/>
        <n v="12.786380407534228" u="1"/>
        <n v="12.919050424729738" u="1"/>
        <n v="13.118055450523" u="1"/>
        <n v="11.990360304361184" u="1"/>
        <n v="12.123030321556692" u="1"/>
        <n v="12.322035347349953" u="1"/>
        <n v="12.653710390338723" u="1"/>
        <n v="12.189365330154446" u="1"/>
        <n v="12.521040373143215" u="1"/>
        <n v="12.852715416131984" u="1"/>
        <n v="12.587375381740967" u="1"/>
        <n v="12.720045398936477" u="1"/>
        <n v="13.250725467718507" u="1"/>
        <n v="14.909100682662356" u="1"/>
        <n v="15.240775725651124" u="1"/>
        <n v="15.771455794433155" u="1"/>
        <n v="15.970460820226418" u="1"/>
        <n v="16.302135863215188" u="1"/>
        <n v="16.036795828824172" u="1"/>
        <n v="17.230503296682308" u="1"/>
        <n v="17.369233464674526" u="1"/>
        <n v="17.577328716662855" u="1"/>
        <n v="18.617804976604507" u="1"/>
        <n v="18.756535144596729" u="1"/>
        <n v="18.964630396585061" u="1"/>
        <n v="15.843201616760096" u="1"/>
        <n v="15.981931784752316" u="1"/>
        <n v="16.190027036740648" u="1"/>
        <n v="15.218915860795105" u="1"/>
        <n v="18.895265312588947" u="1"/>
        <n v="19.033995480581172" u="1"/>
        <n v="19.380820900561723" u="1"/>
        <n v="11.750661660989591" u="1"/>
        <n v="11.681296576993478" u="1"/>
        <n v="11.820026744985698" u="1"/>
        <n v="12.166852164966251" u="1"/>
        <n v="20.28256699251116" u="1"/>
        <n v="20.421297160503379" u="1"/>
        <n v="20.768122580483929" u="1"/>
        <n v="13.068598256915685" u="1"/>
        <n v="13.831614180872897" u="1"/>
        <n v="13.970344348865119" u="1"/>
        <n v="14.17843960085345" u="1"/>
        <n v="15.357646028787325" u="1"/>
        <n v="15.565741280775654" u="1"/>
        <n v="14.03970943286123" u="1"/>
        <n v="14.386534852841782" u="1"/>
        <n v="15.427011112783436" u="1"/>
        <n v="15.773836532763989" u="1"/>
        <n v="16.467487372725088" u="1"/>
        <n v="16.606217540717306" u="1"/>
        <n v="16.814312792705643" u="1"/>
        <n v="13.207328424907907" u="1"/>
        <n v="13.346058592900125" u="1"/>
        <n v="13.554153844888456" u="1"/>
        <n v="13.762249096876788" u="1"/>
        <n v="13.90097926486901" u="1"/>
        <n v="14.109074516857339" u="1"/>
        <n v="13.484788760892346" u="1"/>
        <n v="13.623518928884568" u="1"/>
        <n v="14.247804684849562" u="1"/>
        <n v="14.594630104830109" u="1"/>
        <n v="13.558866105297328" u="1"/>
        <n v="13.900566026460433" u="1"/>
        <n v="14.925665789949749" u="1"/>
        <n v="17.795945127719829" u="1"/>
        <n v="23.673183771725238" u="1"/>
        <n v="15.540725648043338" u="1"/>
        <n v="14.515625884554019" u="1"/>
        <n v="16.565825411532654" u="1"/>
        <n v="19.231084796604872" u="1"/>
        <n v="18.889384875441767" u="1"/>
        <n v="20.119504591628942" u="1"/>
        <n v="24.493263582516686" u="1"/>
        <n v="23.468163819027374" u="1"/>
        <n v="23.126463897864266" u="1"/>
        <n v="20.597884481257292" u="1"/>
        <n v="21.486304276281363" u="1"/>
        <n v="22.85310396093378" u="1"/>
        <n v="20.802904433955153" u="1"/>
        <n v="20.461204512792051" u="1"/>
        <n v="20.051164607396323" u="1"/>
        <n v="10.85496167521179" u="1"/>
        <n v="13.054794703627399" u="1"/>
        <n v="12.847627666633752" u="1"/>
        <n v="10.256869268975887" u="1"/>
        <n v="12.088015197657041" u="1"/>
        <n v="13.290052186315101" u="1"/>
        <n v="14.366852604587178" u="1"/>
        <n v="10.430678901707847" u="1"/>
        <n v="9.7014977488996941" u="1"/>
        <n v="10.133739482016949" u="1"/>
        <n v="12.777401552398617" u="1"/>
        <n v="13.310300715919567" u="1"/>
        <n v="11.068566106010325" u="1"/>
        <n v="17.738188276685367" u="1"/>
        <n v="18.069863319674131" u="1"/>
        <n v="18.401538362662908" u="1"/>
        <n v="18.932218431444937" u="1"/>
        <n v="19.728238534617979" u="1"/>
        <n v="20.059913577606753" u="1"/>
        <n v="20.39158862059552" u="1"/>
        <n v="20.922268689377553" u="1"/>
        <n v="15.681803010154995" u="1"/>
        <n v="16.013478053143764" u="1"/>
        <n v="16.345153096132535" u="1"/>
        <n v="16.875833164914564" u="1"/>
        <n v="11.834372511485268" u="1"/>
        <n v="15.61546800155724" u="1"/>
        <n v="15.947143044546012" u="1"/>
        <n v="16.278818087534781" u="1"/>
        <n v="16.80949815631681" u="1"/>
        <n v="16.477823113328043" u="1"/>
        <n v="16.676828139121305" u="1"/>
        <n v="17.207508207903334" u="1"/>
        <n v="16.146148070339272" u="1"/>
        <n v="16.610493130523551" u="1"/>
        <n v="16.942168173512314" u="1"/>
        <n v="17.472848242294347" u="1"/>
        <n v="17.539183250892101" u="1"/>
        <n v="17.870858293880875" u="1"/>
        <n v="17.008503182110069" u="1"/>
        <n v="17.340178225098843" u="1"/>
        <n v="17.671853268087609" u="1"/>
        <n v="18.202533336869642" u="1"/>
        <n v="18.00352831107638" u="1"/>
        <n v="18.534208379858409" u="1"/>
        <n v="16.212483078937026" u="1"/>
        <n v="16.544158121925793" u="1"/>
        <n v="14.885782906981946" u="1"/>
        <n v="20.192583594802258" u="1"/>
        <n v="17.14117319930558" u="1"/>
        <n v="9.1809721675751153" u="1"/>
        <n v="18.799548414249426" u="1"/>
        <n v="14.75892194196464" u="1"/>
        <n v="14.487438792561361" u="1"/>
        <n v="13.504066495833925" u="1"/>
        <n v="11.629235666074923" u="1"/>
        <n v="15.48279798436173" u="1"/>
        <n v="15.311059751766839" u="1"/>
        <n v="15.814473027350502" u="1"/>
        <n v="17.854789052647298" u="1"/>
        <n v="10.299590155135595" u="1"/>
        <n v="12.115290666091902" u="1"/>
        <n v="13.168682379618932" u="1"/>
        <n v="10.851220609859469" u="1"/>
        <n v="12.132847194650687" u="1"/>
        <n v="10.935491946941632" u="1"/>
        <n v="11.787568799661274" u="1"/>
        <n v="12.241697671715146" u="1"/>
        <n v="11.304179046676094" u="1"/>
        <n v="10.598406598612982" u="1"/>
        <n v="10.751733614693027" u="1"/>
        <n v="8.1966734917713602" u="1"/>
        <n v="10.514135261530821" u="1"/>
        <n v="7.733181137819467" u="1"/>
        <n v="11.104034621105956" u="1"/>
        <n v="18.832813386726716" u="1"/>
        <n v="10.429863924448657" u="1"/>
        <n v="17.171570891021638" u="1"/>
        <n v="136.40893371058468" u="1"/>
        <n v="8.3230804973946011" u="1"/>
        <n v="11.693933980681091" u="1"/>
        <n v="10.556270930071902" u="1"/>
        <n v="12.892459663627401" u="1"/>
        <n v="12.685292626633752" u="1"/>
        <n v="9.966371570496765" u="1"/>
        <n v="11.925680157657039" u="1"/>
        <n v="12.958004036913525" u="1"/>
        <n v="14.204517564587178" u="1"/>
        <n v="10.268343861707846" u="1"/>
        <n v="9.4186078794627122" u="1"/>
        <n v="9.9714044420169508" u="1"/>
        <n v="12.452376014420551" u="1"/>
        <n v="13.147965675919567" u="1"/>
        <n v="10.766949272777309" u="1"/>
        <n v="14.21188140312535" u="1"/>
        <n v="13.945827916710137" u="1"/>
        <n v="12.982123065917248" u="1"/>
        <n v="11.459485425242162" u="1"/>
        <n v="10.008507239037847" u="1"/>
        <n v="7.0294656033802561" u="1"/>
        <n v="16.723844359785229" u="1"/>
        <n v="16.185204089971467" u="1"/>
        <n v="19.753695877487637" u="1"/>
        <n v="25.476748744258849" u="1"/>
        <n v="17.397144697052429" u="1"/>
        <n v="17.935784966866191" u="1"/>
        <n v="7.2976396380444006" u="1"/>
        <n v="8.7036811655336521" u="1"/>
        <n v="16.319864157424906" u="1"/>
        <n v="19.686365843760917" u="1"/>
        <n v="12.010741998914813" u="1"/>
        <n v="12.280062133821694" u="1"/>
        <n v="13.020692504815615" u="1"/>
        <n v="14.030643010716416" u="1"/>
        <n v="16.050544022518025" u="1"/>
        <n v="12.953362471088894" u="1"/>
        <n v="12.101363242091901" u="1"/>
        <n v="13.154754955618932" u="1"/>
        <n v="10.837293185859469" u="1"/>
        <n v="12.118919770650686" u="1"/>
        <n v="10.921564522941631" u="1"/>
        <n v="11.773641375661274" u="1"/>
        <n v="12.227770247715146" u="1"/>
        <n v="11.290251622676093" u="1"/>
        <n v="10.584479174612982" u="1"/>
        <n v="10.737806190693027" u="1"/>
        <n v="8.1827460677713599" u="1"/>
        <n v="10.500207837530821" u="1"/>
        <n v="7.7192537138194668" u="1"/>
        <n v="11.090107197105956" u="1"/>
        <n v="18.818781895844957" u="1"/>
        <n v="10.415936500448657" u="1"/>
        <n v="17.157643467021639" u="1"/>
        <n v="136.39490221970291" u="1"/>
        <n v="8.3091530733946009" u="1"/>
        <n v="11.680006556681091" u="1"/>
        <n v="14.974306528459383" u="1"/>
        <n v="14.57629647687286" u="1"/>
        <n v="14.642631485470615" u="1"/>
        <n v="14.708966494068367" u="1"/>
        <n v="14.841636511263873" u="1"/>
        <n v="15.10697654565489" u="1"/>
        <n v="15.30598157144815" u="1"/>
        <n v="15.637656614436922" u="1"/>
        <n v="13.979281399493074" u="1"/>
        <n v="14.111951416688584" u="1"/>
        <n v="14.310956442481844" u="1"/>
        <n v="13.448601330711044" u="1"/>
        <n v="13.581271347906553" u="1"/>
        <n v="13.780276373699811" u="1"/>
        <n v="12.785251244733503" u="1"/>
        <n v="12.917921261929012" u="1"/>
        <n v="13.116926287722276" u="1"/>
        <n v="11.98923114156046" u="1"/>
        <n v="12.121901158755966" u="1"/>
        <n v="12.320906184549228" u="1"/>
        <n v="12.652581227537997" u="1"/>
        <n v="12.18823616735372" u="1"/>
        <n v="12.519911210342491" u="1"/>
        <n v="12.851586253331259" u="1"/>
        <n v="12.586246218940243" u="1"/>
        <n v="12.718916236135751" u="1"/>
        <n v="13.249596304917782" u="1"/>
        <n v="14.907971519861631" u="1"/>
        <n v="15.2396465628504" u="1"/>
        <n v="15.770326631632431" u="1"/>
        <n v="15.969331657425693" u="1"/>
        <n v="16.301006700414465" u="1"/>
        <n v="16.035666666023445" u="1"/>
        <n v="17.229322555559733" u="1"/>
        <n v="17.368052723551955" u="1"/>
        <n v="17.57614797554028" u="1"/>
        <n v="18.616624235481936" u="1"/>
        <n v="18.755354403474154" u="1"/>
        <n v="18.96344965546249" u="1"/>
        <n v="15.842020875637523" u="1"/>
        <n v="15.980751043629743" u="1"/>
        <n v="16.188846295618074" u="1"/>
        <n v="15.217735119672533" u="1"/>
        <n v="18.894084571466376" u="1"/>
        <n v="19.032814739458598" u="1"/>
        <n v="19.379640159439148" u="1"/>
        <n v="11.749480919867018" u="1"/>
        <n v="11.680115835870906" u="1"/>
        <n v="11.818846003863126" u="1"/>
        <n v="12.165671423843678" u="1"/>
        <n v="20.281386251388589" u="1"/>
        <n v="20.420116419380804" u="1"/>
        <n v="20.766941839361358" u="1"/>
        <n v="13.067417515793112" u="1"/>
        <n v="13.830433439750324" u="1"/>
        <n v="13.969163607742546" u="1"/>
        <n v="14.177258859730877" u="1"/>
        <n v="15.356465287664754" u="1"/>
        <n v="15.564560539653082" u="1"/>
        <n v="14.038528691738657" u="1"/>
        <n v="14.385354111719209" u="1"/>
        <n v="15.425830371660863" u="1"/>
        <n v="15.772655791641416" u="1"/>
        <n v="16.466306631602514" u="1"/>
        <n v="16.605036799594735" u="1"/>
        <n v="16.813132051583072" u="1"/>
        <n v="13.206147683785334" u="1"/>
        <n v="13.344877851777552" u="1"/>
        <n v="13.552973103765883" u="1"/>
        <n v="13.761068355754215" u="1"/>
        <n v="13.899798523746437" u="1"/>
        <n v="14.107893775734768" u="1"/>
        <n v="13.483608019769775" u="1"/>
        <n v="13.622338187761995" u="1"/>
        <n v="14.246623943726989" u="1"/>
        <n v="14.593449363707537" u="1"/>
        <n v="13.55770281355095" u="1"/>
        <n v="13.899402734714057" u="1"/>
        <n v="14.92450249820337" u="1"/>
        <n v="17.794781835973453" u="1"/>
        <n v="23.672020479978858" u="1"/>
        <n v="15.539562356296962" u="1"/>
        <n v="14.514462592807643" u="1"/>
        <n v="16.564662119786277" u="1"/>
        <n v="19.229921504858495" u="1"/>
        <n v="18.88822158369539" u="1"/>
        <n v="20.118341299882566" u="1"/>
        <n v="24.49210029077031" u="1"/>
        <n v="23.467000527280998" u="1"/>
        <n v="23.125300606117889" u="1"/>
        <n v="20.596721189510916" u="1"/>
        <n v="21.485140984534986" u="1"/>
        <n v="22.851940669187403" u="1"/>
        <n v="20.801741142208776" u="1"/>
        <n v="20.460041221045675" u="1"/>
        <n v="20.050001315649947" u="1"/>
        <n v="10.542343506071902" u="1"/>
        <n v="12.8785322396274" u="1"/>
        <n v="12.671365202633751" u="1"/>
        <n v="9.9524441464967648" u="1"/>
        <n v="11.911752733657039" u="1"/>
        <n v="12.944076612913525" u="1"/>
        <n v="14.190590140587178" u="1"/>
        <n v="10.254416437707846" u="1"/>
        <n v="9.4046804554627119" u="1"/>
        <n v="9.9574770180169505" u="1"/>
        <n v="12.438448590420551" u="1"/>
        <n v="13.134038251919566" u="1"/>
        <n v="10.753021848777308" u="1"/>
        <n v="17.737059113884641" u="1"/>
        <n v="18.068734156873408" u="1"/>
        <n v="18.400409199862182" u="1"/>
        <n v="18.931089268644211" u="1"/>
        <n v="19.727109371817253" u="1"/>
        <n v="20.058784414806027" u="1"/>
        <n v="20.390459457794794" u="1"/>
        <n v="20.921139526576827" u="1"/>
        <n v="15.680673847354269" u="1"/>
        <n v="16.012348890343041" u="1"/>
        <n v="16.344023933331808" u="1"/>
        <n v="16.874704002113837" u="1"/>
        <n v="11.833243348684544" u="1"/>
        <n v="15.614338838756515" u="1"/>
        <n v="15.946013881745285" u="1"/>
        <n v="16.277688924734054" u="1"/>
        <n v="16.808368993516083" u="1"/>
        <n v="16.47669395052732" u="1"/>
        <n v="16.675698976320579" u="1"/>
        <n v="17.206379045102608" u="1"/>
        <n v="16.145018907538546" u="1"/>
        <n v="16.609363967722825" u="1"/>
        <n v="16.941039010711592" u="1"/>
        <n v="17.471719079493624" u="1"/>
        <n v="17.538054088091378" u="1"/>
        <n v="17.869729131080149" u="1"/>
        <n v="17.007374019309346" u="1"/>
        <n v="17.339049062298116" u="1"/>
        <n v="17.670724105286883" u="1"/>
        <n v="18.201404174068916" u="1"/>
        <n v="18.002399148275657" u="1"/>
        <n v="18.533079217057686" u="1"/>
        <n v="16.2113539161363" u="1"/>
        <n v="16.543028959125071" u="1"/>
        <n v="14.88465374418122" u="1"/>
        <n v="20.191454432001535" u="1"/>
        <n v="17.140044036504854" u="1"/>
        <n v="9.1798430047743906" u="1"/>
        <n v="18.798419251448699" u="1"/>
        <n v="14.187701847569794" u="1"/>
        <n v="13.921648361154581" u="1"/>
        <n v="12.957943510361693" u="1"/>
        <n v="11.444921819145906" u="1"/>
        <n v="15.481668821561005" u="1"/>
        <n v="15.309913651524104" u="1"/>
        <n v="15.813343864549777" u="1"/>
        <n v="17.853608311524724" u="1"/>
        <n v="9.9945798150378469" u="1"/>
        <n v="8.5095802451253633" u="1"/>
        <n v="7.35708049099925" u="1"/>
        <n v="16.696881244027551" u="1"/>
        <n v="16.159151641449622" u="1"/>
        <n v="19.721610258528422" u="1"/>
        <n v="25.434987285918954" u="1"/>
        <n v="17.369043247249969" u="1"/>
        <n v="17.906772849827902" u="1"/>
        <n v="8.4965048047140836" u="1"/>
        <n v="8.6902775629730407" u="1"/>
        <n v="16.293584042094107" u="1"/>
        <n v="19.654394058206179" u="1"/>
        <n v="11.991747221470645" u="1"/>
        <n v="12.260612022759611" u="1"/>
        <n v="12.999990226304266" u="1"/>
        <n v="14.00823323113789" u="1"/>
        <n v="16.024719240805137" u="1"/>
        <n v="12.932774025982026" u="1"/>
        <n v="12.387681505021146" u="1"/>
        <n v="13.163135814934069" u="1"/>
        <n v="11.095064533352129" u="1"/>
        <n v="12.12905189368956" u="1"/>
        <n v="11.181238998130063" u="1"/>
        <n v="11.784357253274727" u="1"/>
        <n v="12.516943202188047" u="1"/>
        <n v="11.301784756693957" u="1"/>
        <n v="10.836541139018326" u="1"/>
        <n v="10.750273332030222" u="1"/>
        <n v="8.1995329929604406" u="1"/>
        <n v="10.750366674240391" u="1"/>
        <n v="7.9066093365685557" u="1"/>
        <n v="11.353587927685933" u="1"/>
        <n v="18.817815514640166" u="1"/>
        <n v="10.664192209462456" u="1"/>
        <n v="17.55814939169721" u="1"/>
        <n v="136.19515248252688" u="1"/>
        <n v="8.5098305900140954" u="1"/>
        <n v="11.956809181131474" u="1"/>
        <n v="14.950281935703748" u="1"/>
        <n v="14.552944790941728" u="1"/>
        <n v="14.619167648402065" u="1"/>
        <n v="14.685390505862401" u="1"/>
        <n v="14.817836220783075" u="1"/>
        <n v="15.08272765062442" u="1"/>
        <n v="15.281396223005427" u="1"/>
        <n v="15.612510510307112" u="1"/>
        <n v="13.956939073798701" u="1"/>
        <n v="14.089384788719375" u="1"/>
        <n v="14.288053361100381" u="1"/>
        <n v="13.427156214116009" u="1"/>
        <n v="13.559601929036681" u="1"/>
        <n v="13.758270501417691" u="1"/>
        <n v="12.764927639512642" u="1"/>
        <n v="12.897373354433315" u="1"/>
        <n v="13.096041926814324" u="1"/>
        <n v="11.970253349988605" u="1"/>
        <n v="12.102699064909279" u="1"/>
        <n v="12.301367637290289" u="1"/>
        <n v="12.63248192459197" u="1"/>
        <n v="12.168921922369615" u="1"/>
        <n v="12.500036209671297" u="1"/>
        <n v="12.831150496972979" u="1"/>
        <n v="12.566259067131634" u="1"/>
        <n v="12.698704782052307" u="1"/>
        <n v="13.228487641734997" u="1"/>
        <n v="14.884059078243412" u="1"/>
        <n v="15.215173365545095" u="1"/>
        <n v="15.744956225227787" u="1"/>
        <n v="15.943624797608791" u="1"/>
        <n v="16.274739084910479" u="1"/>
        <n v="16.009847655069134" u="1"/>
        <n v="17.201544479628282" u="1"/>
        <n v="17.340040099582243" u="1"/>
        <n v="17.54778352951319" u="1"/>
        <n v="18.586500679167909" u="1"/>
        <n v="18.724996299121869" u="1"/>
        <n v="18.932739729052816" u="1"/>
        <n v="15.816588280088656" u="1"/>
        <n v="15.955083900042618" u="1"/>
        <n v="16.16282732997356" u="1"/>
        <n v="15.193357990295826" u="1"/>
        <n v="18.863491919075834" u="1"/>
        <n v="19.001987539029791" u="1"/>
        <n v="19.348226588914699" u="1"/>
        <n v="11.73096749144676" u="1"/>
        <n v="11.661719681469776" u="1"/>
        <n v="11.800215301423743" u="1"/>
        <n v="12.146454351308646" u="1"/>
        <n v="20.248448118615457" u="1"/>
        <n v="20.386943738569421" u="1"/>
        <n v="20.733182788454325" u="1"/>
        <n v="13.046675881009406" u="1"/>
        <n v="13.808401790756198" u="1"/>
        <n v="13.946897410710163" u="1"/>
        <n v="14.154640840641102" u="1"/>
        <n v="15.331853610249787" u="1"/>
        <n v="15.53959704018073" u="1"/>
        <n v="14.016145220687141" u="1"/>
        <n v="14.362384270572049" u="1"/>
        <n v="15.401101420226766" u="1"/>
        <n v="15.747340470111675" u="1"/>
        <n v="16.439818569881485" u="1"/>
        <n v="16.578314189835446" u="1"/>
        <n v="16.786057619766396" u="1"/>
        <n v="13.185171500963367" u="1"/>
        <n v="13.32366712091733" u="1"/>
        <n v="13.531410550848273" u="1"/>
        <n v="13.739153980779218" u="1"/>
        <n v="13.877649600733179" u="1"/>
        <n v="14.085393030664124" u="1"/>
        <n v="13.462162740871292" u="1"/>
        <n v="13.600658360825253" u="1"/>
        <n v="14.223888650618086" u="1"/>
        <n v="14.570127700502992" u="1"/>
        <n v="13.536112296334204" u="1"/>
        <n v="13.877234512969581" u="1"/>
        <n v="14.900601162875706" u="1"/>
        <n v="17.766027782612863" u="1"/>
        <n v="23.633329908741327" u="1"/>
        <n v="15.514621152819384" u="1"/>
        <n v="14.491254502913256" u="1"/>
        <n v="16.537987802725514" u="1"/>
        <n v="19.198741092481441" u="1"/>
        <n v="18.857618875846068" u="1"/>
        <n v="20.085658855733421" u="1"/>
        <n v="24.452023228666224" u="1"/>
        <n v="23.428656578760101" u="1"/>
        <n v="23.087534362124725" u="1"/>
        <n v="20.563229959022948" u="1"/>
        <n v="21.45014772227492" u="1"/>
        <n v="22.814636588816427" u="1"/>
        <n v="20.76790328900417" u="1"/>
        <n v="20.426781072368794" u="1"/>
        <n v="20.017434412406342" u="1"/>
        <n v="10.793453906629358" u="1"/>
        <n v="12.887380102602201" u="1"/>
        <n v="12.6805633183533" u="1"/>
        <n v="10.190232653183816" u="1"/>
        <n v="11.922235109440662" u="1"/>
        <n v="13.249426152800488" u="1"/>
        <n v="14.197219736178575" u="1"/>
        <n v="10.267700835449451" u="1"/>
        <n v="9.630098632127245" u="1"/>
        <n v="9.9712634446926938" u="1"/>
        <n v="12.732379364132882" u="1"/>
        <n v="13.142454136509178" u="1"/>
        <n v="11.008890068574194" u="1"/>
        <n v="17.708363596207036" u="1"/>
        <n v="18.03947788350872" u="1"/>
        <n v="18.370592170810401" u="1"/>
        <n v="18.900375030493091" u="1"/>
        <n v="19.69504932001713" u="1"/>
        <n v="20.026163607318814" u="1"/>
        <n v="20.357277894620495" u="1"/>
        <n v="20.887060754303189" u="1"/>
        <n v="15.655455014936603" u="1"/>
        <n v="15.986569302238285" u="1"/>
        <n v="16.317683589539971" u="1"/>
        <n v="16.847466449222662" u="1"/>
        <n v="11.814529282237087" u="1"/>
        <n v="15.589232157476266" u="1"/>
        <n v="15.920346444777953" u="1"/>
        <n v="16.251460732079629" u="1"/>
        <n v="16.781243591762326" u="1"/>
        <n v="16.450129304460642" u="1"/>
        <n v="16.648797876841652" u="1"/>
        <n v="17.178580736524342" u="1"/>
        <n v="16.119015017158958" u="1"/>
        <n v="16.582575019381313" u="1"/>
        <n v="16.913689306682997" u="1"/>
        <n v="17.443472166365687" u="1"/>
        <n v="17.509695023826023" u="1"/>
        <n v="17.840809311127707" u="1"/>
        <n v="16.979912164143336" u="1"/>
        <n v="17.311026451445017" u="1"/>
        <n v="17.642140738746701" u="1"/>
        <n v="18.171923598429387" u="1"/>
        <n v="17.973255026048385" u="1"/>
        <n v="18.503037885731068" u="1"/>
        <n v="16.185237874619297" u="1"/>
        <n v="16.516352161920977" u="1"/>
        <n v="14.860780725412566" u="1"/>
        <n v="20.158609322239485" u="1"/>
        <n v="17.112357879064007" u="1"/>
        <n v="9.1656149838236285" u="1"/>
        <n v="18.76792931557242" u="1"/>
        <n v="14.081000894977954" u="1"/>
        <n v="13.807722383706798" u="1"/>
        <n v="12.817846887324599" u="1"/>
        <n v="11.457592187519309" u="1"/>
        <n v="15.456786442555591" u="1"/>
        <n v="15.28534103726048" u="1"/>
        <n v="15.787900729857277" u="1"/>
        <n v="17.824774769421115" u="1"/>
        <n v="10.233319885572785" u="1"/>
        <n v="16.134250960056246" u="1"/>
        <n v="17.133268372334175" u="1"/>
        <n v="16.581426851161925" u="1"/>
        <n v="20.237376928928065" u="1"/>
        <n v="26.100693091383199" u="1"/>
        <n v="17.82307027379948" u="1"/>
        <n v="18.374911794971727" u="1"/>
        <n v="8.7176851744573902" u="1"/>
        <n v="8.9165432123387394" u="1"/>
        <n v="16.719387231454988" u="1"/>
        <n v="20.168396738781539" u="1"/>
        <n v="12.304655062077002" u="1"/>
        <n v="12.580575822663127" u="1"/>
        <n v="13.339357914274965" u="1"/>
        <n v="14.374060766472931" u="1"/>
        <n v="16.443466470868863" u="1"/>
        <n v="13.270377724128437" u="1"/>
        <n v="12.773772947101788" u="1"/>
        <n v="13.514422237170947" u="1"/>
        <n v="11.441104745646035" u="1"/>
        <n v="12.453200311906702" u="1"/>
        <n v="11.529949292409752" u="1"/>
        <n v="12.099459670151953" u="1"/>
        <n v="12.907039767247365" u="1"/>
        <n v="11.604222771695305" u="1"/>
        <n v="11.174571105354882" u="1"/>
        <n v="11.038237744887706" u="1"/>
        <n v="8.4205569959025688" u="1"/>
        <n v="11.085726558591167" u="1"/>
        <n v="8.1538565153885081" u="1"/>
        <n v="11.707638385937186" u="1"/>
        <n v="19.317544279671012" u="1"/>
        <n v="10.996882011827449" u="1"/>
        <n v="18.104445752924807" u="1"/>
        <n v="139.77527595926284" u="1"/>
        <n v="8.7757683427345263" u="1"/>
        <n v="12.329550213283204" u="1"/>
        <n v="15.340858715900193" u="1"/>
        <n v="14.93309404508326" u="1"/>
        <n v="15.001054823552749" u="1"/>
        <n v="15.069015602022239" u="1"/>
        <n v="15.204937158961213" u="1"/>
        <n v="15.47678027283917" u="1"/>
        <n v="15.680662608247633" u="1"/>
        <n v="16.020466500595081" u="1"/>
        <n v="14.321447038857865" u="1"/>
        <n v="14.45736859579684" u="1"/>
        <n v="14.661250931205306" u="1"/>
        <n v="13.777760811101952" u="1"/>
        <n v="13.913682368040933" u="1"/>
        <n v="14.117564703449396" u="1"/>
        <n v="13.098153026407068" u="1"/>
        <n v="13.234074583346043" u="1"/>
        <n v="13.43795691875451" u="1"/>
        <n v="12.282623684773204" u="1"/>
        <n v="12.418545241712181" u="1"/>
        <n v="12.622427577120648" u="1"/>
        <n v="12.962231469468088" u="1"/>
        <n v="12.48650602018167" u="1"/>
        <n v="12.82630991252911" u="1"/>
        <n v="13.166113804876554" u="1"/>
        <n v="12.894270690998601" u="1"/>
        <n v="13.030192247937578" u="1"/>
        <n v="13.573878475693487" u="1"/>
        <n v="15.272897937430704" u="1"/>
        <n v="15.612701829778146" u="1"/>
        <n v="16.156388057534059" u="1"/>
        <n v="16.360270392942525" u="1"/>
        <n v="16.700074285289968" u="1"/>
        <n v="16.428231171412012" u="1"/>
        <n v="17.65112140888797" u="1"/>
        <n v="17.79325164167539" u="1"/>
        <n v="18.006446990856517" u="1"/>
        <n v="19.072423736762168" u="1"/>
        <n v="19.214553969549584" u="1"/>
        <n v="19.427749318730719" u="1"/>
        <n v="16.229819081013773" u="1"/>
        <n v="16.371949313801188" u="1"/>
        <n v="16.585144662982319" u="1"/>
        <n v="15.59023303347038" u="1"/>
        <n v="19.356684202337004" u="1"/>
        <n v="19.498814435124427" u="1"/>
        <n v="19.854140017092973" u="1"/>
        <n v="12.036977213784885" u="1"/>
        <n v="11.965912097391177" u="1"/>
        <n v="12.108042330178598" u="1"/>
        <n v="12.463367912147147" u="1"/>
        <n v="20.777986530211205" u="1"/>
        <n v="20.920116762998621" u="1"/>
        <n v="21.275442344967168" u="1"/>
        <n v="13.387214425265377" u="1"/>
        <n v="14.168930705596184" u="1"/>
        <n v="14.311060938383603" u="1"/>
        <n v="14.524256287564732" u="1"/>
        <n v="15.732363266257803" u="1"/>
        <n v="15.94555861543893" u="1"/>
        <n v="14.382126054777313" u="1"/>
        <n v="14.737451636745863" u="1"/>
        <n v="15.803428382651511" u="1"/>
        <n v="16.158753964620061" u="1"/>
        <n v="16.869405128557158" u="1"/>
        <n v="17.011535361344581" u="1"/>
        <n v="17.224730710525709" u="1"/>
        <n v="13.529344658052795" u="1"/>
        <n v="13.671474890840216" u="1"/>
        <n v="13.884670240021345" u="1"/>
        <n v="14.097865589202474" u="1"/>
        <n v="14.239995821989893" u="1"/>
        <n v="14.453191171171024" u="1"/>
        <n v="13.813605123627633" u="1"/>
        <n v="13.955735356415053" u="1"/>
        <n v="14.595321403958442" u="1"/>
        <n v="14.950646985926992" u="1"/>
        <n v="13.889522747982733" u="1"/>
        <n v="14.239597212976378" u="1"/>
        <n v="15.289820607957312" u="1"/>
        <n v="18.230446113903927" u="1"/>
        <n v="24.251726911794613" u="1"/>
        <n v="15.919954644945873" u="1"/>
        <n v="14.869731249964937" u="1"/>
        <n v="16.970178039926807" u="1"/>
        <n v="19.700758866877237" u="1"/>
        <n v="19.350684401883591" u="1"/>
        <n v="20.61095247586071" u="1"/>
        <n v="25.091905627779362" u="1"/>
        <n v="24.041682232798426" u="1"/>
        <n v="23.691607767804783" u="1"/>
        <n v="21.101056726851816" u="1"/>
        <n v="22.011250335835289" u="1"/>
        <n v="23.411548195809871" u="1"/>
        <n v="21.311101405848003" u="1"/>
        <n v="20.961026940854353" u="1"/>
        <n v="20.540937582861982" u="1"/>
        <n v="11.130148831973024" u="1"/>
        <n v="13.23142972376715" u="1"/>
        <n v="13.019185338714298" u="1"/>
        <n v="10.508237004627006" u="1"/>
        <n v="12.240955926853854" u="1"/>
        <n v="13.662218414738959" u="1"/>
        <n v="14.575644162435193" u="1"/>
        <n v="10.54300084643106" u="1"/>
        <n v="9.9307474506628459" u="1"/>
        <n v="10.238783894521974" u="1"/>
        <n v="13.129151134156656" u="1"/>
        <n v="13.493197798665662" u="1"/>
        <n v="11.352260198882318" u="1"/>
        <n v="18.171322152825869" u="1"/>
        <n v="18.511126045173313" u="1"/>
        <n v="18.85092993752076" u="1"/>
        <n v="19.39461616527667" u="1"/>
        <n v="20.210145506910532" u="1"/>
        <n v="20.549949399257979" u="1"/>
        <n v="20.88975329160542" u="1"/>
        <n v="21.433439519361329" u="1"/>
        <n v="16.064538020271723" u="1"/>
        <n v="16.404341912619167" u="1"/>
        <n v="16.74414580496661" u="1"/>
        <n v="17.28783203272252" u="1"/>
        <n v="12.122812869041381" u="1"/>
        <n v="15.996577241802234" u="1"/>
        <n v="16.336381134149679" u="1"/>
        <n v="16.676185026497123" u="1"/>
        <n v="17.219871254253029" u="1"/>
        <n v="16.880067361905589" u="1"/>
        <n v="17.083949697314051" u="1"/>
        <n v="17.627635925069963" u="1"/>
        <n v="16.540263469558145" u="1"/>
        <n v="17.015988918844567" u="1"/>
        <n v="17.355792811192011" u="1"/>
        <n v="17.899479038947916" u="1"/>
        <n v="17.967439817417407" u="1"/>
        <n v="18.307243709764847" u="1"/>
        <n v="17.423753589661494" u="1"/>
        <n v="17.763557482008942" u="1"/>
        <n v="18.103361374356382" u="1"/>
        <n v="18.647047602112295" u="1"/>
        <n v="18.443165266703829" u="1"/>
        <n v="18.986851494459735" u="1"/>
        <n v="16.608224248027632" u="1"/>
        <n v="16.948028140375076" u="1"/>
        <n v="15.249008678637859" u="1"/>
        <n v="20.68587095619695" u="1"/>
        <n v="17.559675146600473" u="1"/>
        <n v="9.4043817302618358" u="1"/>
        <n v="19.258694608337688" u="1"/>
        <n v="14.632290035872941" u="1"/>
        <n v="14.348232845477455" u="1"/>
        <n v="13.319314578044912" u="1"/>
        <n v="11.764385871602773" u="1"/>
        <n v="15.860655684863255" u="1"/>
        <n v="15.684684379257021" u="1"/>
        <n v="16.200459577210701" u="1"/>
        <n v="18.290707456431356" u="1"/>
        <n v="12.769284460003071" u="1"/>
        <n v="13.119358924996714" u="1"/>
        <n v="14.16958231997765" u="1"/>
        <n v="17.110207825924267" u="1"/>
        <n v="23.131488623814953" u="1"/>
        <n v="14.79971635696621" u="1"/>
        <n v="13.749492961985274" u="1"/>
        <n v="15.849939751947142" u="1"/>
        <n v="18.860580150892488" u="1"/>
        <n v="18.510505685898845" u="1"/>
        <n v="20.260878010867064" u="1"/>
        <n v="19.560729080879778" u="1"/>
        <n v="19.910803545873424" u="1"/>
        <n v="19.420699294882322" u="1"/>
        <n v="87.799957005668148" u="1"/>
        <n v="13.957753887717573" u="1"/>
        <n v="15.11308712169888" u="1"/>
        <n v="17.085101837855603" u="1"/>
        <n v="16.534833101482658" u="1"/>
        <n v="20.180363479953431" u="1"/>
        <n v="26.026968803916002" u="1"/>
        <n v="17.772937758321785" u="1"/>
        <n v="18.323206494694734" u="1"/>
        <n v="8.6935036081681503" u="1"/>
        <n v="8.8919684498496725" u="1"/>
        <n v="16.672400285575893" u="1"/>
        <n v="20.111579887906817" u="1"/>
        <n v="12.27025039459231" u="1"/>
        <n v="12.545384762778784" u="1"/>
        <n v="13.302004275291585" u="1"/>
        <n v="14.333758155990862" u="1"/>
        <n v="16.397265917389419" u="1"/>
        <n v="13.233220683244967" u="1"/>
        <n v="12.737566771568529" u="1"/>
        <n v="13.475980273133301" u="1"/>
        <n v="11.408921478505361" u="1"/>
        <n v="12.41796184487219" u="1"/>
        <n v="11.497497831376238" u="1"/>
        <n v="12.065289035451821" u="1"/>
        <n v="12.870431300874849" u="1"/>
        <n v="11.571547102263304" u="1"/>
        <n v="11.143192419892724" u="1"/>
        <n v="11.007270607190712" u="1"/>
        <n v="8.3974918174799793" u="1"/>
        <n v="11.054616067021849" u="1"/>
        <n v="8.1315964222828736" u="1"/>
        <n v="11.674650537117994" u="1"/>
        <n v="19.261602093773565" u="1"/>
        <n v="10.966039714150972" u="1"/>
        <n v="18.052147943821211" u="1"/>
        <n v="139.35570956503193" u="1"/>
        <n v="8.7516308923790209" u="1"/>
        <n v="12.29468500721414" u="1"/>
        <n v="15.297277856313672" u="1"/>
        <n v="14.890675341752381" u="1"/>
        <n v="14.958442427512596" u="1"/>
        <n v="15.026209513272811" u="1"/>
        <n v="15.16174368479324" u="1"/>
        <n v="15.432812027834101" u="1"/>
        <n v="15.636113285114746" u="1"/>
        <n v="15.974948713915825" u="1"/>
        <n v="14.280771569910444" u="1"/>
        <n v="14.416305741430875" u="1"/>
        <n v="14.61960699871152" u="1"/>
        <n v="13.73863488382872" u="1"/>
        <n v="13.874169055349153" u="1"/>
        <n v="14.077470312629796" u="1"/>
        <n v="13.06096402622657" u="1"/>
        <n v="13.196498197746999" u="1"/>
        <n v="13.399799455027646" u="1"/>
        <n v="12.247758997103988" u="1"/>
        <n v="12.383293168624418" u="1"/>
        <n v="12.586594425905064" u="1"/>
        <n v="12.925429854706138" u="1"/>
        <n v="12.451060254384632" u="1"/>
        <n v="12.789895683185708" u="1"/>
        <n v="13.128731111986784" u="1"/>
        <n v="12.857662768945923" u="1"/>
        <n v="12.993196940466355" u="1"/>
        <n v="13.535333626548075" u="1"/>
        <n v="15.229510770553459" u="1"/>
        <n v="15.568346199354531" u="1"/>
        <n v="16.110482885436255" u="1"/>
        <n v="16.313784142716901" u="1"/>
        <n v="16.652619571517977" u="1"/>
        <n v="16.381551228477115" u="1"/>
        <n v="17.601499040904788" u="1"/>
        <n v="17.743224193137241" u="1"/>
        <n v="17.955811921485921" u="1"/>
        <n v="19.018750563229336" u="1"/>
        <n v="19.160475715461789" u="1"/>
        <n v="19.373063443810473" u="1"/>
        <n v="16.184247518580236" u="1"/>
        <n v="16.325972670812689" u="1"/>
        <n v="16.538560399161369" u="1"/>
        <n v="15.546484333534186" u="1"/>
        <n v="19.302200867694246" u="1"/>
        <n v="19.4439260199267" u="1"/>
        <n v="19.798238900507837" u="1"/>
        <n v="12.003355527722812" u="1"/>
        <n v="11.932492951606584" u="1"/>
        <n v="12.074218103839039" u="1"/>
        <n v="12.428530984420176" u="1"/>
        <n v="20.719452390018795" u="1"/>
        <n v="20.861177542251252" u="1"/>
        <n v="21.215490422832385" u="1"/>
        <n v="13.349744473931136" u="1"/>
        <n v="14.129232811209635" u="1"/>
        <n v="14.270957963442092" u="1"/>
        <n v="14.483545691790773" u="1"/>
        <n v="15.688209485766642" u="1"/>
        <n v="15.900797214115324" u="1"/>
        <n v="14.341820539558318" u="1"/>
        <n v="14.696133420139459" u="1"/>
        <n v="15.75907206188287" u="1"/>
        <n v="16.113384942464009" u="1"/>
        <n v="16.822010703626283" u="1"/>
        <n v="16.963735855858737" u="1"/>
        <n v="17.17632358420742" u="1"/>
        <n v="13.491469626163589" u="1"/>
        <n v="13.633194778396044" u="1"/>
        <n v="13.845782506744726" u="1"/>
        <n v="14.05837023509341" u="1"/>
        <n v="14.200095387325865" u="1"/>
        <n v="14.412683115674547" u="1"/>
        <n v="13.774919930628499" u="1"/>
        <n v="13.916645082860954" u="1"/>
        <n v="14.554408267907" u="1"/>
        <n v="14.908721148488137" u="1"/>
        <n v="12.733565534220464" u="1"/>
        <n v="13.082642263857052" u="1"/>
        <n v="14.129872452766817" u="1"/>
        <n v="17.062116981714162" u="1"/>
        <n v="23.066236731463484" u="1"/>
        <n v="14.758210566112677" u="1"/>
        <n v="13.71098037720291" u="1"/>
        <n v="15.805440755022442" u="1"/>
        <n v="18.807500629897106" u="1"/>
        <n v="18.458423900260517" u="1"/>
        <n v="20.55288427808005" u="1"/>
        <n v="25.021066417428383" u="1"/>
        <n v="23.973836228518614" u="1"/>
        <n v="23.624759498882032" u="1"/>
        <n v="20.203807548443457" u="1"/>
        <n v="21.949191196626401" u="1"/>
        <n v="19.505654089170285" u="1"/>
        <n v="19.854730818806871" u="1"/>
        <n v="19.366023397315647" u="1"/>
        <n v="11.098904243457286" u="1"/>
        <n v="13.193842025597004" u="1"/>
        <n v="12.982238339944782" u="1"/>
        <n v="10.47886977336114" u="1"/>
        <n v="12.206358159219972" u="1"/>
        <n v="13.62333030027731" u="1"/>
        <n v="14.533998701394406" u="1"/>
        <n v="10.513528674002195" u="1"/>
        <n v="9.9031234797004348" u="1"/>
        <n v="10.210230057900677" u="1"/>
        <n v="13.091872183052043" u="1"/>
        <n v="13.454819904568076" u="1"/>
        <n v="11.320345125634484" u="1"/>
        <n v="18.120187277577685" u="1"/>
        <n v="18.459022706378764" u="1"/>
        <n v="18.79785813517984" u="1"/>
        <n v="19.339994821261559" u="1"/>
        <n v="20.153199850384144" u="1"/>
        <n v="20.492035279185224" u="1"/>
        <n v="20.830870707986296" u="1"/>
        <n v="21.373007394068019" u="1"/>
        <n v="16.019407619011016" u="1"/>
        <n v="16.358243047812088" u="1"/>
        <n v="16.697078476613168" u="1"/>
        <n v="17.23921516269489" u="1"/>
        <n v="12.08891664491853" u="1"/>
        <n v="15.951640533250798" u="1"/>
        <n v="16.290475962051875" u="1"/>
        <n v="16.629311390852955" u="1"/>
        <n v="17.171448076934674" u="1"/>
        <n v="16.832612648133601" u="1"/>
        <n v="17.035913905414244" u="1"/>
        <n v="17.578050591495966" u="1"/>
        <n v="16.493777219332525" u="1"/>
        <n v="16.968146819654031" u="1"/>
        <n v="17.306982248455107" u="1"/>
        <n v="17.849118934536829" u="1"/>
        <n v="17.916886020297042" u="1"/>
        <n v="18.255721449098118" u="1"/>
        <n v="17.37474933421532" u="1"/>
        <n v="17.713584763016396" u="1"/>
        <n v="18.052420191817472" u="1"/>
        <n v="18.594556877899194" u="1"/>
        <n v="18.391255620618548" u="1"/>
        <n v="18.93339230670027" u="1"/>
        <n v="16.561544305092738" u="1"/>
        <n v="16.900379733893814" u="1"/>
        <n v="13.918627960444342" u="1"/>
        <n v="15.206202589888431" u="1"/>
        <n v="15.070668418368001" u="1"/>
        <n v="20.62756945070565" u="1"/>
        <n v="17.51028350573575" u="1"/>
        <n v="9.3782332145099243" u="1"/>
        <n v="19.204460649741129" u="1"/>
        <n v="11.731334239869268" u="1"/>
        <n v="15.816106361730368" u="1"/>
        <n v="87.537270251410874" u="1"/>
        <n v="15.640646404876616" u="1"/>
        <n v="16.154941790531446" u="1"/>
        <n v="18.239262225950831" u="1"/>
        <n v="17.08405245493293" u="1"/>
        <n v="16.533783718559981" u="1"/>
        <n v="20.179314097030755" u="1"/>
        <n v="26.025919420993329" u="1"/>
        <n v="17.771888375399111" u="1"/>
        <n v="18.322157111772061" u="1"/>
        <n v="8.6924542252454753" u="1"/>
        <n v="8.8909190669269975" u="1"/>
        <n v="16.671350902653217" u="1"/>
        <n v="20.110530504984144" u="1"/>
        <n v="12.269201011669635" u="1"/>
        <n v="12.544335379856109" u="1"/>
        <n v="13.30095489236891" u="1"/>
        <n v="14.332708773068189" u="1"/>
        <n v="16.396216534466745" u="1"/>
        <n v="13.232171300322292" u="1"/>
        <n v="12.73569105156853" u="1"/>
        <n v="13.474104553133301" u="1"/>
        <n v="11.407045758505362" u="1"/>
        <n v="12.416086124872191" u="1"/>
        <n v="11.495622111376239" u="1"/>
        <n v="12.063413315451822" u="1"/>
        <n v="12.868555580874849" u="1"/>
        <n v="11.569671382263307" u="1"/>
        <n v="11.141316699892725" u="1"/>
        <n v="11.005394887190713" u="1"/>
        <n v="8.3956160974799783" u="1"/>
        <n v="8.1297207022828761" u="1"/>
        <n v="11.672774817117997" u="1"/>
        <n v="19.259712358236197" u="1"/>
        <n v="10.964163994150972" u="1"/>
        <n v="18.05027222382121" u="1"/>
        <n v="139.35381982949457" u="1"/>
        <n v="8.7497551723790199" u="1"/>
        <n v="15.296243981513006" u="1"/>
        <n v="14.889641466951716" u="1"/>
        <n v="14.95740855271193" u="1"/>
        <n v="15.025175638472145" u="1"/>
        <n v="15.160709809992575" u="1"/>
        <n v="15.431778153033436" u="1"/>
        <n v="15.635079410314082" u="1"/>
        <n v="15.973914839115162" u="1"/>
        <n v="14.27973769510978" u="1"/>
        <n v="14.41527186663021" u="1"/>
        <n v="14.618573123910855" u="1"/>
        <n v="13.737601009028056" u="1"/>
        <n v="13.873135180548489" u="1"/>
        <n v="14.076436437829132" u="1"/>
        <n v="13.059930151425904" u="1"/>
        <n v="13.195464322946334" u="1"/>
        <n v="13.39876558022698" u="1"/>
        <n v="12.246725122303324" u="1"/>
        <n v="12.382259293823754" u="1"/>
        <n v="12.585560551104399" u="1"/>
        <n v="12.924395979905473" u="1"/>
        <n v="12.450026379583969" u="1"/>
        <n v="12.788861808385043" u="1"/>
        <n v="13.127697237186119" u="1"/>
        <n v="12.856628894145258" u="1"/>
        <n v="12.992163065665689" u="1"/>
        <n v="13.53429975174741" u="1"/>
        <n v="15.228476895752793" u="1"/>
        <n v="15.567312324553868" u="1"/>
        <n v="16.10944901063559" u="1"/>
        <n v="16.312750267916236" u="1"/>
        <n v="16.651585696717316" u="1"/>
        <n v="16.380517353676453" u="1"/>
        <n v="17.600417940383274" u="1"/>
        <n v="17.742143092615727" u="1"/>
        <n v="17.954730820964407" u="1"/>
        <n v="19.017669462707826" u="1"/>
        <n v="19.159394614940275" u="1"/>
        <n v="19.371982343288963" u="1"/>
        <n v="16.183166418058722" u="1"/>
        <n v="16.324891570291175" u="1"/>
        <n v="16.537479298639859" u="1"/>
        <n v="15.545403233012673" u="1"/>
        <n v="19.301119767172732" u="1"/>
        <n v="19.442844919405186" u="1"/>
        <n v="19.797157799986326" u="1"/>
        <n v="12.002274427201298" u="1"/>
        <n v="11.931411851085072" u="1"/>
        <n v="12.073137003317527" u="1"/>
        <n v="12.427449883898664" u="1"/>
        <n v="20.718371289497284" u="1"/>
        <n v="20.860096441729738" u="1"/>
        <n v="21.214409322310871" u="1"/>
        <n v="13.348663373409622" u="1"/>
        <n v="14.128151710688122" u="1"/>
        <n v="14.269876862920579" u="1"/>
        <n v="14.482464591269261" u="1"/>
        <n v="15.68712838524513" u="1"/>
        <n v="15.899716113593811" u="1"/>
        <n v="14.340739439036806" u="1"/>
        <n v="14.695052319617945" u="1"/>
        <n v="15.757990961361356" u="1"/>
        <n v="16.112303841942495" u="1"/>
        <n v="16.820929603104769" u="1"/>
        <n v="16.962654755337223" u="1"/>
        <n v="17.175242483685906" u="1"/>
        <n v="13.490388525642077" u="1"/>
        <n v="13.63211367787453" u="1"/>
        <n v="13.844701406223214" u="1"/>
        <n v="14.057289134571898" u="1"/>
        <n v="14.199014286804353" u="1"/>
        <n v="14.411602015153033" u="1"/>
        <n v="13.773838830106987" u="1"/>
        <n v="13.915563982339441" u="1"/>
        <n v="14.553327167385488" u="1"/>
        <n v="14.907640047966625" u="1"/>
        <n v="12.732500410553948" u="1"/>
        <n v="13.081577140190538" u="1"/>
        <n v="14.128807329100303" u="1"/>
        <n v="17.061051858047648" u="1"/>
        <n v="23.06517160779697" u="1"/>
        <n v="14.757145442446163" u="1"/>
        <n v="13.709915253536396" u="1"/>
        <n v="15.804375631355926" u="1"/>
        <n v="18.806435506230592" u="1"/>
        <n v="18.457358776594003" u="1"/>
        <n v="20.551819154413536" u="1"/>
        <n v="25.020001293761865" u="1"/>
        <n v="23.9727711048521" u="1"/>
        <n v="23.623694375215514" u="1"/>
        <n v="20.202742424776943" u="1"/>
        <n v="21.948126072959887" u="1"/>
        <n v="19.504588965503768" u="1"/>
        <n v="19.853665695140357" u="1"/>
        <n v="19.364958273649133" u="1"/>
        <n v="11.097028523457288" u="1"/>
        <n v="13.191966305597004" u="1"/>
        <n v="12.980362619944783" u="1"/>
        <n v="10.476994053361141" u="1"/>
        <n v="12.204482439219973" u="1"/>
        <n v="13.621454580277311" u="1"/>
        <n v="14.532122981394407" u="1"/>
        <n v="11.052740347021849" u="1"/>
        <n v="10.511652954002196" u="1"/>
        <n v="9.9012477597004356" u="1"/>
        <n v="10.208354337900678" u="1"/>
        <n v="13.089996463052044" u="1"/>
        <n v="13.452944184568079" u="1"/>
        <n v="11.318469405634485" u="1"/>
        <n v="12.292809287214141" u="1"/>
        <n v="18.11915340277702" u="1"/>
        <n v="18.457988831578099" u="1"/>
        <n v="18.796824260379175" u="1"/>
        <n v="19.338960946460894" u="1"/>
        <n v="20.152165975583479" u="1"/>
        <n v="20.491001404384559" u="1"/>
        <n v="20.829836833185631" u="1"/>
        <n v="21.371973519267353" u="1"/>
        <n v="16.018373744210354" u="1"/>
        <n v="16.357209173011427" u="1"/>
        <n v="16.696044601812503" u="1"/>
        <n v="17.238181287894225" u="1"/>
        <n v="12.087882770117867" u="1"/>
        <n v="15.950606658450132" u="1"/>
        <n v="16.289442087251214" u="1"/>
        <n v="16.62827751605229" u="1"/>
        <n v="17.170414202134008" u="1"/>
        <n v="16.831578773332936" u="1"/>
        <n v="17.034880030613579" u="1"/>
        <n v="17.577016716695301" u="1"/>
        <n v="16.49274334453186" u="1"/>
        <n v="16.967112944853366" u="1"/>
        <n v="17.305948373654441" u="1"/>
        <n v="17.848085059736164" u="1"/>
        <n v="17.915852145496377" u="1"/>
        <n v="18.254687574297453" u="1"/>
        <n v="17.373715459414655" u="1"/>
        <n v="17.712550888215731" u="1"/>
        <n v="18.051386317016807" u="1"/>
        <n v="18.593523003098529" u="1"/>
        <n v="18.390221745817882" u="1"/>
        <n v="18.932358431899605" u="1"/>
        <n v="16.560510430292073" u="1"/>
        <n v="16.899345859093149" u="1"/>
        <n v="13.917594085643676" u="1"/>
        <n v="15.205168715087767" u="1"/>
        <n v="15.069634543567338" u="1"/>
        <n v="20.626535575904985" u="1"/>
        <n v="17.509249630935084" u="1"/>
        <n v="9.377199339709259" u="1"/>
        <n v="19.203426774940464" u="1"/>
        <n v="14.630474313650719" u="1"/>
        <n v="14.346417123255232" u="1"/>
        <n v="13.31749885582269" u="1"/>
        <n v="11.729372840027713" u="1"/>
        <n v="15.815072486929703" u="1"/>
        <n v="87.535394531410873" u="1"/>
        <n v="15.639597021953943" u="1"/>
        <n v="16.153907915730784" u="1"/>
        <n v="18.238181125429321" u="1"/>
        <n v="17.086465552068482" u="1"/>
        <n v="16.536196815695529" u="1"/>
        <n v="20.181727194166303" u="1"/>
        <n v="26.028332518128877" u="1"/>
        <n v="17.774301472534663" u="1"/>
        <n v="18.324570208907609" u="1"/>
        <n v="8.6948673223810271" u="1"/>
        <n v="8.8933321640625476" u="1"/>
        <n v="16.673763999788768" u="1"/>
        <n v="20.112943602119692" u="1"/>
        <n v="12.271614108805187" u="1"/>
        <n v="12.54674847699166" u="1"/>
        <n v="13.303367989504462" u="1"/>
        <n v="14.335121870203739" u="1"/>
        <n v="16.398629631602294" u="1"/>
        <n v="13.234584397457843" u="1"/>
        <n v="12.752840491568529" u="1"/>
        <n v="13.4912539931333" u="1"/>
        <n v="11.424195198505361" u="1"/>
        <n v="12.43323556487219" u="1"/>
        <n v="11.512771551376238" u="1"/>
        <n v="12.080562755451822" u="1"/>
        <n v="12.885705020874848" u="1"/>
        <n v="11.586820822263306" u="1"/>
        <n v="11.158466139892724" u="1"/>
        <n v="11.022544327190712" u="1"/>
        <n v="8.412765537479979" u="1"/>
        <n v="8.1468701422828751" u="1"/>
        <n v="11.689924257117996" u="1"/>
        <n v="19.276989940292097" u="1"/>
        <n v="10.981313434150971" u="1"/>
        <n v="18.067421663821211" u="1"/>
        <n v="139.37109741155049" u="1"/>
        <n v="8.7669046123790189" u="1"/>
        <n v="15.298621417114536" u="1"/>
        <n v="14.892018902553243" u="1"/>
        <n v="14.95978598831346" u="1"/>
        <n v="15.027553074073673" u="1"/>
        <n v="15.163087245594102" u="1"/>
        <n v="15.434155588634965" u="1"/>
        <n v="15.63745684591561" u="1"/>
        <n v="15.976292274716688" u="1"/>
        <n v="14.282115130711308" u="1"/>
        <n v="14.417649302231737" u="1"/>
        <n v="14.620950559512382" u="1"/>
        <n v="13.739978444629585" u="1"/>
        <n v="13.875512616150017" u="1"/>
        <n v="14.07881387343066" u="1"/>
        <n v="13.062307587027432" u="1"/>
        <n v="13.197841758547861" u="1"/>
        <n v="13.401143015828508" u="1"/>
        <n v="12.24910255790485" u="1"/>
        <n v="12.384636729425281" u="1"/>
        <n v="12.587937986705926" u="1"/>
        <n v="12.926773415507" u="1"/>
        <n v="12.452403815185496" u="1"/>
        <n v="12.791239243986571" u="1"/>
        <n v="13.130074672787645" u="1"/>
        <n v="12.859006329746785" u="1"/>
        <n v="12.994540501267215" u="1"/>
        <n v="13.536677187348939" u="1"/>
        <n v="15.230854331354323" u="1"/>
        <n v="15.569689760155395" u="1"/>
        <n v="16.111826446237117" u="1"/>
        <n v="16.315127703517764" u="1"/>
        <n v="16.653963132318843" u="1"/>
        <n v="16.38289478927798" u="1"/>
        <n v="17.60290397337975" u="1"/>
        <n v="17.744629125612203" u="1"/>
        <n v="17.957216853960883" u="1"/>
        <n v="19.020155495704291" u="1"/>
        <n v="19.161880647936744" u="1"/>
        <n v="19.374468376285432" u="1"/>
        <n v="16.185652451055194" u="1"/>
        <n v="16.327377603287648" u="1"/>
        <n v="16.539965331636331" u="1"/>
        <n v="15.547889266009147" u="1"/>
        <n v="19.303605800169205" u="1"/>
        <n v="19.445330952401658" u="1"/>
        <n v="19.799643832982792" u="1"/>
        <n v="12.004760460197772" u="1"/>
        <n v="11.933897884081544" u="1"/>
        <n v="12.075623036313999" u="1"/>
        <n v="12.429935916895136" u="1"/>
        <n v="20.720857322493753" u="1"/>
        <n v="20.86258247472621" u="1"/>
        <n v="21.216895355307344" u="1"/>
        <n v="13.351149406406094" u="1"/>
        <n v="14.130637743684595" u="1"/>
        <n v="14.272362895917052" u="1"/>
        <n v="14.484950624265734" u="1"/>
        <n v="15.689614418241602" u="1"/>
        <n v="15.902202146590284" u="1"/>
        <n v="14.343225472033279" u="1"/>
        <n v="14.697538352614417" u="1"/>
        <n v="15.760476994357829" u="1"/>
        <n v="16.114789874938968" u="1"/>
        <n v="16.823415636101242" u="1"/>
        <n v="16.965140788333699" u="1"/>
        <n v="17.177728516682382" u="1"/>
        <n v="13.492874558638549" u="1"/>
        <n v="13.634599710871004" u="1"/>
        <n v="13.847187439219686" u="1"/>
        <n v="14.05977516756837" u="1"/>
        <n v="14.201500319800825" u="1"/>
        <n v="14.414088048149505" u="1"/>
        <n v="13.776324863103458" u="1"/>
        <n v="13.918050015335913" u="1"/>
        <n v="14.555813200381962" u="1"/>
        <n v="14.910126080963098" u="1"/>
        <n v="12.734949704146532" u="1"/>
        <n v="13.084026433783121" u="1"/>
        <n v="14.131256622692886" u="1"/>
        <n v="17.063501151640232" u="1"/>
        <n v="23.067620901389549" u="1"/>
        <n v="14.759594736038746" u="1"/>
        <n v="13.712364547128978" u="1"/>
        <n v="15.806824924948511" u="1"/>
        <n v="18.808884799823172" u="1"/>
        <n v="18.459808070186586" u="1"/>
        <n v="20.554268448006116" u="1"/>
        <n v="25.022450587354449" u="1"/>
        <n v="23.975220398444684" u="1"/>
        <n v="23.626143668808098" u="1"/>
        <n v="20.205191718369527" u="1"/>
        <n v="21.950575366552467" u="1"/>
        <n v="19.507038259096348" u="1"/>
        <n v="19.856114988732941" u="1"/>
        <n v="19.367407567241717" u="1"/>
        <n v="11.114177963457287" u="1"/>
        <n v="13.209115745597003" u="1"/>
        <n v="12.997512059944782" u="1"/>
        <n v="10.49414349336114" u="1"/>
        <n v="12.221631879219972" u="1"/>
        <n v="13.638604020277311" u="1"/>
        <n v="14.549272421394408" u="1"/>
        <n v="11.069889787021848" u="1"/>
        <n v="10.528802394002195" u="1"/>
        <n v="9.9183971997004345" u="1"/>
        <n v="10.225503777900677" u="1"/>
        <n v="13.107145903052043" u="1"/>
        <n v="13.470093624568078" u="1"/>
        <n v="11.335618845634484" u="1"/>
        <n v="12.30995872721414" u="1"/>
        <n v="18.12153083837855" u="1"/>
        <n v="18.460366267179626" u="1"/>
        <n v="18.799201695980702" u="1"/>
        <n v="19.341338382062421" u="1"/>
        <n v="20.154543411185006" u="1"/>
        <n v="20.493378839986082" u="1"/>
        <n v="20.832214268787158" u="1"/>
        <n v="21.374350954868881" u="1"/>
        <n v="16.020751179811878" u="1"/>
        <n v="16.359586608612954" u="1"/>
        <n v="16.69842203741403" u="1"/>
        <n v="17.240558723495749" u="1"/>
        <n v="12.090260205719394" u="1"/>
        <n v="15.952984094051661" u="1"/>
        <n v="16.291819522852737" u="1"/>
        <n v="16.630654951653813" u="1"/>
        <n v="17.172791637735536" u="1"/>
        <n v="16.833956208934463" u="1"/>
        <n v="17.037257466215106" u="1"/>
        <n v="17.579394152296832" u="1"/>
        <n v="16.495120780133384" u="1"/>
        <n v="16.969490380454893" u="1"/>
        <n v="17.308325809255969" u="1"/>
        <n v="17.850462495337691" u="1"/>
        <n v="17.918229581097904" u="1"/>
        <n v="18.25706500989898" u="1"/>
        <n v="17.376092895016182" u="1"/>
        <n v="17.714928323817261" u="1"/>
        <n v="18.053763752618334" u="1"/>
        <n v="18.595900438700056" u="1"/>
        <n v="18.39259918141941" u="1"/>
        <n v="18.934735867501129" u="1"/>
        <n v="16.5628878658936" u="1"/>
        <n v="16.901723294694676" u="1"/>
        <n v="13.919971521245206" u="1"/>
        <n v="15.207546150689295" u="1"/>
        <n v="15.072011979168865" u="1"/>
        <n v="20.628913011506508" u="1"/>
        <n v="17.511627066536615" u="1"/>
        <n v="9.3795767753107864" u="1"/>
        <n v="19.205804210541988" u="1"/>
        <n v="14.647075202539609" u="1"/>
        <n v="14.363018012144122" u="1"/>
        <n v="13.33409974471158" u="1"/>
        <n v="11.747305638579073" u="1"/>
        <n v="15.81744992253123" u="1"/>
        <n v="87.55254397141087" u="1"/>
        <n v="15.642010119089493" u="1"/>
        <n v="16.156285351332308" u="1"/>
        <n v="18.24066715842579" u="1"/>
        <n v="25.377062195099985" u="1"/>
        <n v="19.839768940324294" u="1"/>
        <n v="18.730265121038673" u="1"/>
        <n v="17.18207269486501" u="1"/>
        <n v="17.69438736165035" u="1"/>
        <n v="22.042415232251688" u="1"/>
        <n v="18.535974129643037" u="1"/>
        <n v="24.158141870133665" u="1"/>
        <n v="21.353193504879794" u="1"/>
        <n v="24.221542088378559" u="1"/>
        <n v="10.897270415298731" u="1"/>
        <n v="14.131704129953489" u="1"/>
        <n v="17.372570115103493" u="1"/>
        <n v="16.812959188917155" u="1"/>
        <n v="20.520381574901627" u="1"/>
        <n v="26.466247665631442" u="1"/>
        <n v="18.072083772836407" u="1"/>
        <n v="18.631694699022745" u="1"/>
        <n v="8.8385034907618696" u="1"/>
        <n v="9.0403377701375867" u="1"/>
        <n v="16.952861920463739" u="1"/>
        <n v="20.450430209128339" u="1"/>
        <n v="12.475974510973051" u="1"/>
        <n v="12.75577997406622" u="1"/>
        <n v="13.525244997572431" u="1"/>
        <n v="14.57451548417181" u="1"/>
        <n v="16.673056457370571" u="1"/>
        <n v="13.455293631799139" u="1"/>
        <n v="12.654812762426328" u="1"/>
        <n v="13.706804141550499" u="1"/>
        <n v="11.337059439267847" u="1"/>
        <n v="12.630823200921292" u="1"/>
        <n v="11.424909660811744" u="1"/>
        <n v="12.272162887378224" u="1"/>
        <n v="12.786588094742175" u="1"/>
        <n v="11.770038448417925" u="1"/>
        <n v="11.073508774636149" u="1"/>
        <n v="11.196181946749013" u="1"/>
        <n v="8.5420956265302994" u="1"/>
        <n v="8.0866012421435958" u="1"/>
        <n v="11.600610103899545" u="1"/>
        <n v="19.590666589621694" u="1"/>
        <n v="10.897808331548354" u="1"/>
        <n v="17.925826055060256" u="1"/>
        <n v="141.72367228152248" u="1"/>
        <n v="8.7015527929508849" u="1"/>
        <n v="14.934173265212433" u="1"/>
        <n v="14.520667654729918" u="1"/>
        <n v="14.589585256477003" u="1"/>
        <n v="14.658502858224089" u="1"/>
        <n v="14.796338061718261" u="1"/>
        <n v="15.072008468706603" u="1"/>
        <n v="15.278761273947859" u="1"/>
        <n v="15.623349282683288" u="1"/>
        <n v="13.969326840753233" u="1"/>
        <n v="14.107162044247403" u="1"/>
        <n v="14.313914849488658" u="1"/>
        <n v="12.659892407558603" u="1"/>
        <n v="12.797727611052775" u="1"/>
        <n v="13.004480416294031" u="1"/>
        <n v="13.349068425029461" u="1"/>
        <n v="11.901798788340662" u="1"/>
        <n v="12.039633991834833" u="1"/>
        <n v="12.246386797076092" u="1"/>
        <n v="12.590974805811518" u="1"/>
        <n v="12.108551593581918" u="1"/>
        <n v="12.453139602317346" u="1"/>
        <n v="12.522057204064433" u="1"/>
        <n v="12.866645212799861" u="1"/>
        <n v="13.21123322153529" u="1"/>
        <n v="14.727420459971174" u="1"/>
        <n v="15.692266884430374" u="1"/>
        <n v="15.830102087924546" u="1"/>
        <n v="16.036854893165803" u="1"/>
        <n v="16.381442901901231" u="1"/>
        <n v="16.657113308889578" u="1"/>
        <n v="18.113852984243859" u="1"/>
        <n v="18.257984275851438" u="1"/>
        <n v="18.618312504870385" u="1"/>
        <n v="19.555165900319654" u="1"/>
        <n v="19.699297191927229" u="1"/>
        <n v="20.059625420946176" u="1"/>
        <n v="16.672540068168065" u="1"/>
        <n v="16.816671359775647" u="1"/>
        <n v="17.176999588794594" u="1"/>
        <n v="15.807752318522589" u="1"/>
        <n v="15.591555381111219" u="1"/>
        <n v="15.735686672718797" u="1"/>
        <n v="16.096014901737746" u="1"/>
        <n v="12.204470028333102" u="1"/>
        <n v="13.573717298605105" u="1"/>
        <n v="13.717848590212686" u="1"/>
        <n v="14.078176819231633" u="1"/>
        <n v="17.032868297187015" u="1"/>
        <n v="18.474181213262806" u="1"/>
        <n v="22.077463503452286" u="1"/>
        <n v="14.582636339858162" u="1"/>
        <n v="14.726767631465741" u="1"/>
        <n v="15.087095860484689" u="1"/>
        <n v="16.023949255933957" u="1"/>
        <n v="16.168080547541535" u="1"/>
        <n v="16.528408776560482" u="1"/>
        <n v="14.798833277269532" u="1"/>
        <n v="14.942964568877111" u="1"/>
        <n v="15.303292797896058" u="1"/>
        <n v="16.240146193345328" u="1"/>
        <n v="16.384277484952907" u="1"/>
        <n v="16.744605713971858" u="1"/>
        <n v="17.537327817813541" u="1"/>
        <n v="13.645782944408896" u="1"/>
        <n v="13.789914236016475" u="1"/>
        <n v="14.150242465035424" u="1"/>
        <n v="14.222308110839215" u="1"/>
        <n v="14.366439402446792" u="1"/>
        <n v="13.934045527624054" u="1"/>
        <n v="14.438505048250581" u="1"/>
        <n v="14.87089892307332" u="1"/>
        <n v="15.23122715209227" u="1"/>
        <n v="12.947116673677211" u="1"/>
        <n v="13.30211985497667" u="1"/>
        <n v="14.367129398875036" u="1"/>
        <n v="17.349156121790479" u="1"/>
        <n v="23.455210840141127" u="1"/>
        <n v="15.00613512521406" u="1"/>
        <n v="13.941125581315688" u="1"/>
        <n v="16.071144669112428" u="1"/>
        <n v="19.124172028287759" u="1"/>
        <n v="18.769168846988297" u="1"/>
        <n v="20.899187934785044" u="1"/>
        <n v="25.443228655418086" u="1"/>
        <n v="24.378219111519716" u="1"/>
        <n v="24.02321593022026" u="1"/>
        <n v="20.544184753485581" u="1"/>
        <n v="22.319200659982869" u="1"/>
        <n v="19.834178390886667" u="1"/>
        <n v="20.189181572186126" u="1"/>
        <n v="19.692177118366885" u="1"/>
        <n v="11.029583663864202" u="1"/>
        <n v="13.419875890716044" u="1"/>
        <n v="13.204679702590203" u="1"/>
        <n v="10.414632113056909" u="1"/>
        <n v="12.415627012795452" u="1"/>
        <n v="13.533314977865317" u="1"/>
        <n v="14.782785082179709" u="1"/>
        <n v="10.985658553092252" u="1"/>
        <n v="10.694057507788717" u="1"/>
        <n v="9.8436056730215675" u="1"/>
        <n v="10.385609638141677" u="1"/>
        <n v="13.006213648601923" u="1"/>
        <n v="13.685284522737916" u="1"/>
        <n v="11.24920921772395" u="1"/>
        <n v="12.215561654706836" u="1"/>
        <n v="18.42526705891235" u="1"/>
        <n v="18.769855067647782" u="1"/>
        <n v="19.114443076383207" u="1"/>
        <n v="19.665783890359894" u="1"/>
        <n v="20.49279511132492" u="1"/>
        <n v="20.837383120060348" u="1"/>
        <n v="21.181971128795777" u="1"/>
        <n v="21.733311942772463" u="1"/>
        <n v="16.288821404752699" u="1"/>
        <n v="16.633409413488121" u="1"/>
        <n v="16.977997422223552" u="1"/>
        <n v="17.529338236200235" u="1"/>
        <n v="12.291600503421725" u="1"/>
        <n v="16.219903803005611" u="1"/>
        <n v="16.564491811741039" u="1"/>
        <n v="16.909079820476464" u="1"/>
        <n v="17.460420634453151" u="1"/>
        <n v="17.115832625717726" u="1"/>
        <n v="17.322585430958981" u="1"/>
        <n v="17.873926244935667" u="1"/>
        <n v="16.771244616982294" u="1"/>
        <n v="17.253667829211896" u="1"/>
        <n v="17.598255837947324" u="1"/>
        <n v="18.149596651924011" u="1"/>
        <n v="18.218514253671092" u="1"/>
        <n v="18.563102262406524" u="1"/>
        <n v="17.667173439694409" u="1"/>
        <n v="18.011761448429837" u="1"/>
        <n v="18.356349457165265" u="1"/>
        <n v="18.907690271141949" u="1"/>
        <n v="18.700937465900697" u="1"/>
        <n v="19.252278279877377" u="1"/>
        <n v="16.840162218729382" u="1"/>
        <n v="17.184750227464811" u="1"/>
        <n v="14.152375750593039" u="1"/>
        <n v="15.461810183787666" u="1"/>
        <n v="15.323974980293494" u="1"/>
        <n v="20.975218323554518" u="1"/>
        <n v="17.805008643188579" u="1"/>
        <n v="9.5348964335382966" u="1"/>
        <n v="19.52794868686572" u="1"/>
        <n v="14.564949861436974" u="1"/>
        <n v="14.282574036077708" u="1"/>
        <n v="13.259746046443039" u="1"/>
        <n v="11.932631344586463" u="1"/>
        <n v="16.082068599511441" u="1"/>
        <n v="89.02546998559508" u="1"/>
        <n v="15.90359143386436" u="1"/>
        <n v="16.426656608246869" u="1"/>
        <n v="18.762443796477967" u="1"/>
        <n v="17.736091041441494" u="1"/>
        <n v="18.080679050176922" u="1"/>
        <n v="18.976607872889041" u="1"/>
        <n v="19.803619093854063" u="1"/>
        <n v="20.148207102589492" u="1"/>
        <n v="21.044135925301607" u="1"/>
        <n v="15.599645387281837" u="1"/>
        <n v="15.944233396017266" u="1"/>
        <n v="15.530727785534754" u="1"/>
        <n v="15.875315794270181" u="1"/>
        <n v="16.150986201258526" u="1"/>
        <n v="13.132947639881589" u="1"/>
        <n v="17.372678922088561" u="1"/>
        <n v="16.813067995902223" u="1"/>
        <n v="20.520490381886699" u="1"/>
        <n v="26.466356472616514" u="1"/>
        <n v="18.072192579821479" u="1"/>
        <n v="18.631803506007817" u="1"/>
        <n v="8.8386122977469395" u="1"/>
        <n v="9.0404465771226583" u="1"/>
        <n v="16.952970727448808" u="1"/>
        <n v="20.450539016113407" u="1"/>
        <n v="12.476083317958119" u="1"/>
        <n v="12.75588878105129" u="1"/>
        <n v="13.525353804557499" u="1"/>
        <n v="14.574624291156878" u="1"/>
        <n v="16.673165264355642" u="1"/>
        <n v="13.455402438784208" u="1"/>
        <n v="12.651664232426327" u="1"/>
        <n v="13.703655611550499" u="1"/>
        <n v="11.333910909267848" u="1"/>
        <n v="12.627674670921293" u="1"/>
        <n v="11.421761130811745" u="1"/>
        <n v="12.269014357378223" u="1"/>
        <n v="12.783439564742174" u="1"/>
        <n v="11.766889918417926" u="1"/>
        <n v="11.070360244636149" u="1"/>
        <n v="11.193033416749012" u="1"/>
        <n v="8.5389470965303005" u="1"/>
        <n v="8.0834527121435951" u="1"/>
        <n v="11.597461573899544" u="1"/>
        <n v="19.587494533541118" u="1"/>
        <n v="10.894659801548354" u="1"/>
        <n v="17.922677525060255" u="1"/>
        <n v="141.7205002254419" u="1"/>
        <n v="8.698404262950886" u="1"/>
        <n v="14.934280464212501" u="1"/>
        <n v="14.520774853729986" u="1"/>
        <n v="14.589692455477071" u="1"/>
        <n v="14.658610057224157" u="1"/>
        <n v="14.796445260718329" u="1"/>
        <n v="15.072115667706672" u="1"/>
        <n v="15.278868472947927" u="1"/>
        <n v="15.623456481683355" u="1"/>
        <n v="13.969434039753301" u="1"/>
        <n v="14.107269243247472" u="1"/>
        <n v="14.314022048488726" u="1"/>
        <n v="12.659999606558673" u="1"/>
        <n v="12.797834810052843" u="1"/>
        <n v="13.004587615294099" u="1"/>
        <n v="13.349175624029529" u="1"/>
        <n v="11.901905987340729" u="1"/>
        <n v="12.039741190834901" u="1"/>
        <n v="12.246493996076159" u="1"/>
        <n v="12.591082004811584" u="1"/>
        <n v="12.108658792581986" u="1"/>
        <n v="12.453246801317416" u="1"/>
        <n v="12.522164403064503" u="1"/>
        <n v="12.866752411799929" u="1"/>
        <n v="13.211340420535358" u="1"/>
        <n v="14.727527658971242" u="1"/>
        <n v="15.692374083430444" u="1"/>
        <n v="15.830209286924612" u="1"/>
        <n v="16.036962092165872" u="1"/>
        <n v="16.3815501009013" u="1"/>
        <n v="16.657220507889644" u="1"/>
        <n v="18.11396507992005" u="1"/>
        <n v="18.258096371527632" u="1"/>
        <n v="18.618424600546579" u="1"/>
        <n v="19.555277995995851" u="1"/>
        <n v="19.699409287603427" u="1"/>
        <n v="20.059737516622373" u="1"/>
        <n v="16.672652163844255" u="1"/>
        <n v="16.816783455451837" u="1"/>
        <n v="17.177111684470788" u="1"/>
        <n v="15.807864414198781" u="1"/>
        <n v="15.591667476787411" u="1"/>
        <n v="15.735798768394991" u="1"/>
        <n v="16.09612699741394" u="1"/>
        <n v="12.204582124009294" u="1"/>
        <n v="13.573829394281299" u="1"/>
        <n v="13.717960685888878" u="1"/>
        <n v="14.078288914907827" u="1"/>
        <n v="17.032980392863205" u="1"/>
        <n v="18.474293308939" u="1"/>
        <n v="22.077575599128483" u="1"/>
        <n v="14.582748435534354" u="1"/>
        <n v="14.726879727141933" u="1"/>
        <n v="15.087207956160883" u="1"/>
        <n v="16.024061351610147" u="1"/>
        <n v="16.168192643217726" u="1"/>
        <n v="16.528520872236676" u="1"/>
        <n v="14.798945372945724" u="1"/>
        <n v="14.943076664553304" u="1"/>
        <n v="15.30340489357225" u="1"/>
        <n v="16.240258289021519" u="1"/>
        <n v="16.384389580629101" u="1"/>
        <n v="16.744717809648048" u="1"/>
        <n v="17.537439913489731" u="1"/>
        <n v="13.64589504008509" u="1"/>
        <n v="13.790026331692667" u="1"/>
        <n v="14.150354560711618" u="1"/>
        <n v="14.222420206515407" u="1"/>
        <n v="14.366551498122986" u="1"/>
        <n v="13.934157623300246" u="1"/>
        <n v="14.438617143926773" u="1"/>
        <n v="14.871011018749513" u="1"/>
        <n v="15.231339247768465" u="1"/>
        <n v="12.947227112767056" u="1"/>
        <n v="13.302230294066513" u="1"/>
        <n v="14.367239837964881" u="1"/>
        <n v="17.34926656088032" u="1"/>
        <n v="23.455321279230972" u="1"/>
        <n v="15.006245564303907" u="1"/>
        <n v="13.941236020405535" u="1"/>
        <n v="16.071255108202273" u="1"/>
        <n v="19.124282467377604" u="1"/>
        <n v="18.769279286078145" u="1"/>
        <n v="20.899298373874888" u="1"/>
        <n v="25.443339094507934" u="1"/>
        <n v="24.378329550609564" u="1"/>
        <n v="24.023326369310109" u="1"/>
        <n v="20.544295192575429" u="1"/>
        <n v="22.319311099072713" u="1"/>
        <n v="19.834288829976515" u="1"/>
        <n v="20.189292011275974" u="1"/>
        <n v="19.692287557456734" u="1"/>
        <n v="11.026435133864201" u="1"/>
        <n v="13.416727360716045" u="1"/>
        <n v="13.201531172590201" u="1"/>
        <n v="10.41148358305691" u="1"/>
        <n v="12.412478482795452" u="1"/>
        <n v="13.530166447865316" u="1"/>
        <n v="13.129799109881588" u="1"/>
        <n v="10.982510023092253" u="1"/>
        <n v="10.690908977788714" u="1"/>
        <n v="9.8404571430215686" u="1"/>
        <n v="10.382461108141676" u="1"/>
        <n v="13.003065118601922" u="1"/>
        <n v="13.682135992737916" u="1"/>
        <n v="11.246060687723949" u="1"/>
        <n v="12.212413124706833" u="1"/>
        <n v="17.736198240441563" u="1"/>
        <n v="18.080786249176992" u="1"/>
        <n v="18.42537425791242" u="1"/>
        <n v="18.976715071889107" u="1"/>
        <n v="19.803726292854133" u="1"/>
        <n v="20.148314301589561" u="1"/>
        <n v="20.492902310324986" u="1"/>
        <n v="21.044243124301676" u="1"/>
        <n v="15.599752586281905" u="1"/>
        <n v="15.944340595017332" u="1"/>
        <n v="16.288928603752765" u="1"/>
        <n v="16.840269417729449" u="1"/>
        <n v="12.291707702421792" u="1"/>
        <n v="15.530834984534822" u="1"/>
        <n v="15.87542299327025" u="1"/>
        <n v="16.22001100200568" u="1"/>
        <n v="16.77135181598236" u="1"/>
        <n v="16.426763807246939" u="1"/>
        <n v="16.564599010741109" u="1"/>
        <n v="16.909187019476533" u="1"/>
        <n v="17.46052783345322" u="1"/>
        <n v="16.633516612488194" u="1"/>
        <n v="17.184857426464877" u="1"/>
        <n v="17.529445435200305" u="1"/>
        <n v="17.874033443935733" u="1"/>
        <n v="16.978104621223622" u="1"/>
        <n v="17.322692629959047" u="1"/>
        <n v="17.667280638694475" u="1"/>
        <n v="18.218621452671162" u="1"/>
        <n v="18.011868647429907" u="1"/>
        <n v="18.563209461406593" u="1"/>
        <n v="18.701044664900767" u="1"/>
        <n v="16.151093400258596" u="1"/>
        <n v="14.152482949593107" u="1"/>
        <n v="15.461917382787734" u="1"/>
        <n v="15.324082179293562" u="1"/>
        <n v="20.975325522554588" u="1"/>
        <n v="17.115939824717792" u="1"/>
        <n v="9.5350036325383662" u="1"/>
        <n v="19.52805588586579" u="1"/>
        <n v="14.561902041992527" u="1"/>
        <n v="14.279526216633263" u="1"/>
        <n v="13.256698226998592" u="1"/>
        <n v="11.929338994852426" u="1"/>
        <n v="89.022321455595076" u="1"/>
        <n v="15.90370024084943" u="1"/>
        <n v="12.183288016426328" u="1"/>
        <n v="13.235279395550499" u="1"/>
        <n v="10.865534693267849" u="1"/>
        <n v="12.159298454921293" u="1"/>
        <n v="10.953384914811746" u="1"/>
        <n v="11.800638141378224" u="1"/>
        <n v="12.315063348742177" u="1"/>
        <n v="11.298513702417926" u="1"/>
        <n v="10.601984028636151" u="1"/>
        <n v="10.724657200749013" u="1"/>
        <n v="8.0705708805303011" u="1"/>
        <n v="7.6150764961435948" u="1"/>
        <n v="11.129085357899545" u="1"/>
        <n v="19.115618571120699" u="1"/>
        <n v="10.426283585548354" u="1"/>
        <n v="17.454301309060256" u="1"/>
        <n v="141.2486242630215" u="1"/>
        <n v="8.2300280469508849" u="1"/>
        <n v="10.558058917864201" u="1"/>
        <n v="12.948351144716046" u="1"/>
        <n v="12.733154956590203" u="1"/>
        <n v="9.9431073670569106" u="1"/>
        <n v="11.944102266795452" u="1"/>
        <n v="13.061790231865317" u="1"/>
        <n v="12.661422893881589" u="1"/>
        <n v="10.514133807092254" u="1"/>
        <n v="10.222532761788717" u="1"/>
        <n v="9.3720809270215693" u="1"/>
        <n v="9.9140848921416769" u="1"/>
        <n v="12.534688902601925" u="1"/>
        <n v="13.213759776737916" u="1"/>
        <n v="10.777684471723949" u="1"/>
        <n v="11.744036908706837" u="1"/>
        <n v="11.439568114416897" u="1"/>
        <n v="17.372884446393694" u="1"/>
        <n v="16.813273520207357" u="1"/>
        <n v="20.520695906191833" u="1"/>
        <n v="26.466561996921648" u="1"/>
        <n v="18.072398104126613" u="1"/>
        <n v="18.632009030312947" u="1"/>
        <n v="8.8388178220520714" u="1"/>
        <n v="9.0406521014277903" u="1"/>
        <n v="16.953176251753938" u="1"/>
        <n v="20.45074454041854" u="1"/>
        <n v="12.476288842263251" u="1"/>
        <n v="12.756094305356422" u="1"/>
        <n v="13.525559328862631" u="1"/>
        <n v="14.57482981546201" u="1"/>
        <n v="16.673370788660776" u="1"/>
        <n v="13.45560796308934" u="1"/>
        <n v="12.180045700426328" u="1"/>
        <n v="13.2320370795505" u="1"/>
        <n v="10.862292377267849" u="1"/>
        <n v="12.156056138921294" u="1"/>
        <n v="10.950142598811746" u="1"/>
        <n v="11.797395825378224" u="1"/>
        <n v="12.311821032742175" u="1"/>
        <n v="11.295271386417927" u="1"/>
        <n v="10.59874171263615" u="1"/>
        <n v="10.721414884749013" u="1"/>
        <n v="8.0673285645303014" u="1"/>
        <n v="7.6118341801435951" u="1"/>
        <n v="11.125843041899545" u="1"/>
        <n v="19.112352028263256" u="1"/>
        <n v="10.423041269548355" u="1"/>
        <n v="17.451058993060258" u="1"/>
        <n v="141.24535772016404" u="1"/>
        <n v="8.2267857309508869" u="1"/>
        <n v="14.934482951212631" u="1"/>
        <n v="14.520977340730116" u="1"/>
        <n v="14.589894942477201" u="1"/>
        <n v="14.658812544224288" u="1"/>
        <n v="14.79664774771846" u="1"/>
        <n v="15.072318154706803" u="1"/>
        <n v="15.279070959948058" u="1"/>
        <n v="15.623658968683484" u="1"/>
        <n v="13.96963652675343" u="1"/>
        <n v="14.107471730247601" u="1"/>
        <n v="14.314224535488856" u="1"/>
        <n v="12.660202093558803" u="1"/>
        <n v="12.798037297052973" u="1"/>
        <n v="13.00479010229423" u="1"/>
        <n v="13.34937811102966" u="1"/>
        <n v="11.90210847434086" u="1"/>
        <n v="12.039943677835032" u="1"/>
        <n v="12.246696483076288" u="1"/>
        <n v="12.591284491811715" u="1"/>
        <n v="12.108861279582115" u="1"/>
        <n v="12.453449288317545" u="1"/>
        <n v="12.522366890064632" u="1"/>
        <n v="12.86695489880006" u="1"/>
        <n v="13.211542907535488" u="1"/>
        <n v="14.727730145971373" u="1"/>
        <n v="15.692576570430573" u="1"/>
        <n v="15.830411773924743" u="1"/>
        <n v="16.037164579166003" u="1"/>
        <n v="16.381752587901431" u="1"/>
        <n v="16.657422994889775" u="1"/>
        <n v="18.114176816197308" u="1"/>
        <n v="18.258308107804886" u="1"/>
        <n v="18.618636336823833" u="1"/>
        <n v="19.555489732273106" u="1"/>
        <n v="19.699621023880677" u="1"/>
        <n v="20.059949252899628" u="1"/>
        <n v="16.672863900121509" u="1"/>
        <n v="16.816995191729092" u="1"/>
        <n v="17.177323420748042" u="1"/>
        <n v="15.808076150476035" u="1"/>
        <n v="15.591879213064665" u="1"/>
        <n v="15.736010504672246" u="1"/>
        <n v="16.096338733691194" u="1"/>
        <n v="12.204793860286548" u="1"/>
        <n v="13.574041130558554" u="1"/>
        <n v="13.718172422166132" u="1"/>
        <n v="14.078500651185081" u="1"/>
        <n v="14.582960171811608" u="1"/>
        <n v="14.727091463419189" u="1"/>
        <n v="15.087419692438138" u="1"/>
        <n v="16.024273087887401" u="1"/>
        <n v="16.168404379494984" u="1"/>
        <n v="16.528732608513931" u="1"/>
        <n v="14.799157109222978" u="1"/>
        <n v="14.943288400830559" u="1"/>
        <n v="15.303616629849504" u="1"/>
        <n v="16.240470025298773" u="1"/>
        <n v="16.384601316906355" u="1"/>
        <n v="16.744929545925302" u="1"/>
        <n v="17.03319212914046" u="1"/>
        <n v="17.537651649766985" u="1"/>
        <n v="13.646106776362345" u="1"/>
        <n v="13.790238067969922" u="1"/>
        <n v="14.150566296988872" u="1"/>
        <n v="14.222631942792662" u="1"/>
        <n v="14.36676323440024" u="1"/>
        <n v="13.934369359577502" u="1"/>
        <n v="14.43882888020403" u="1"/>
        <n v="14.871222755026768" u="1"/>
        <n v="15.23155098404572" u="1"/>
        <n v="12.947435719936765" u="1"/>
        <n v="13.302438901236222" u="1"/>
        <n v="14.36744844513459" u="1"/>
        <n v="17.349475168050031" u="1"/>
        <n v="23.455529886400683" u="1"/>
        <n v="15.006454171473615" u="1"/>
        <n v="13.941444627575244" u="1"/>
        <n v="16.071463715371983" u="1"/>
        <n v="19.124491074547315" u="1"/>
        <n v="18.769487893247852" u="1"/>
        <n v="20.899506981044599" u="1"/>
        <n v="25.443547701677641" u="1"/>
        <n v="24.378538157779271" u="1"/>
        <n v="24.023534976479816" u="1"/>
        <n v="20.54450379974514" u="1"/>
        <n v="22.319519706242424" u="1"/>
        <n v="19.834497437146222" u="1"/>
        <n v="20.189500618445681" u="1"/>
        <n v="19.692496164626441" u="1"/>
        <n v="10.554816601864202" u="1"/>
        <n v="12.945108828716046" u="1"/>
        <n v="12.729912640590202" u="1"/>
        <n v="9.9398650510569109" u="1"/>
        <n v="11.940859950795453" u="1"/>
        <n v="13.058547915865317" u="1"/>
        <n v="12.658180577881589" u="1"/>
        <n v="10.510891491092254" u="1"/>
        <n v="10.219290445788715" u="1"/>
        <n v="9.3688386110215696" u="1"/>
        <n v="9.9108425761416772" u="1"/>
        <n v="12.531446586601923" u="1"/>
        <n v="13.210517460737917" u="1"/>
        <n v="10.77444215572395" u="1"/>
        <n v="11.740794592706834" u="1"/>
        <n v="17.736400727441694" u="1"/>
        <n v="18.080988736177122" u="1"/>
        <n v="18.425576744912551" u="1"/>
        <n v="18.976917558889241" u="1"/>
        <n v="19.80392877985426" u="1"/>
        <n v="20.148516788589692" u="1"/>
        <n v="20.49310479732512" u="1"/>
        <n v="21.044445611301807" u="1"/>
        <n v="15.599955073282034" u="1"/>
        <n v="15.944543082017463" u="1"/>
        <n v="16.289131090752893" u="1"/>
        <n v="16.840471904729579" u="1"/>
        <n v="12.291910189421921" u="1"/>
        <n v="15.531037471534951" u="1"/>
        <n v="15.875625480270379" u="1"/>
        <n v="16.220213489005808" u="1"/>
        <n v="16.771554302982491" u="1"/>
        <n v="16.426966294247066" u="1"/>
        <n v="16.564801497741236" u="1"/>
        <n v="16.909389506476664" u="1"/>
        <n v="17.460730320453351" u="1"/>
        <n v="16.633719099488321" u="1"/>
        <n v="17.185059913465007" u="1"/>
        <n v="17.529647922200436" u="1"/>
        <n v="17.874235930935864" u="1"/>
        <n v="16.978307108223753" u="1"/>
        <n v="17.322895116959181" u="1"/>
        <n v="17.667483125694606" u="1"/>
        <n v="18.218823939671292" u="1"/>
        <n v="18.012071134430037" u="1"/>
        <n v="18.563411948406724" u="1"/>
        <n v="18.701247151900898" u="1"/>
        <n v="16.151295887258726" u="1"/>
        <n v="14.152685436593236" u="1"/>
        <n v="15.462119869787863" u="1"/>
        <n v="15.324284666293693" u="1"/>
        <n v="20.975528009554719" u="1"/>
        <n v="17.116142311717923" u="1"/>
        <n v="9.5352061195384969" u="1"/>
        <n v="19.528258372865917" u="1"/>
        <n v="14.552486225325861" u="1"/>
        <n v="14.270110399966597" u="1"/>
        <n v="13.247282410331929" u="1"/>
        <n v="11.43617769469078" u="1"/>
        <n v="17.466664541037716" u="1"/>
        <n v="16.903991407679332" u="1"/>
        <n v="20.631700916178634" u="1"/>
        <n v="26.610102958111483" u="1"/>
        <n v="18.170005957735697" u="1"/>
        <n v="18.732679091094081" u="1"/>
        <n v="8.8858992573223343" u="1"/>
        <n v="9.0888379797118493" u="1"/>
        <n v="17.044659691018925" u="1"/>
        <n v="20.561366774508837" u="1"/>
        <n v="12.54327462415184" u="1"/>
        <n v="12.824611190831035" u="1"/>
        <n v="13.598286749198813" u="1"/>
        <n v="14.653298874245786" u="1"/>
        <n v="16.763323124339735" u="1"/>
        <n v="13.527952607529015" u="1"/>
        <n v="13.302690665444636" u="1"/>
        <n v="12.220821925990915" u="1"/>
        <n v="11.860199012839677" u="1"/>
        <n v="11.355326934427939" u="1"/>
        <n v="10.778330273385958" u="1"/>
        <n v="8.1097207160667821" u="1"/>
        <n v="19.21516977276092" u="1"/>
        <n v="142.01649080389652" u="1"/>
        <n v="15.014939030013611" u="1"/>
        <n v="14.599170704871947" u="1"/>
        <n v="14.668465425728888" u="1"/>
        <n v="14.737760146585835" u="1"/>
        <n v="14.876349588299725" u="1"/>
        <n v="15.153528471727501" u="1"/>
        <n v="15.361412634298329" u="1"/>
        <n v="15.707886238583047" u="1"/>
        <n v="14.044812938016396" u="1"/>
        <n v="14.183402379730282" u="1"/>
        <n v="14.391286542301113" u="1"/>
        <n v="12.728213241734458" u="1"/>
        <n v="12.866802683448347" u="1"/>
        <n v="13.074686846019178" u="1"/>
        <n v="13.421160450303898" u="1"/>
        <n v="11.965971312308074" u="1"/>
        <n v="12.104560754021961" u="1"/>
        <n v="12.312444916592792" u="1"/>
        <n v="12.658918520877513" u="1"/>
        <n v="12.173855474878906" u="1"/>
        <n v="12.520329079163627" u="1"/>
        <n v="12.589623800020572" u="1"/>
        <n v="12.93609740430529" u="1"/>
        <n v="13.282571008590009" u="1"/>
        <n v="14.807054867442778" u="1"/>
        <n v="15.777180959439995" u="1"/>
        <n v="15.915770401153885" u="1"/>
        <n v="16.123654563724717" u="1"/>
        <n v="16.470128168009438" u="1"/>
        <n v="16.747307051437215" u="1"/>
        <n v="18.21197445009588" u="1"/>
        <n v="18.356894432299416" u="1"/>
        <n v="18.719194387808255" u="1"/>
        <n v="19.661174272131237" u="1"/>
        <n v="19.806094254334774" u="1"/>
        <n v="20.168394209843608" u="1"/>
        <n v="16.762774628060519" u="1"/>
        <n v="16.907694610264059" u="1"/>
        <n v="17.269994565772901" u="1"/>
        <n v="15.89325473483931" u="1"/>
        <n v="15.675874761534004" u="1"/>
        <n v="15.820794743737538" u="1"/>
        <n v="16.183094699246382" u="1"/>
        <n v="12.270255179750917" u="1"/>
        <n v="13.646995010684508" u="1"/>
        <n v="13.791914992888042" u="1"/>
        <n v="14.154214948396881" u="1"/>
        <n v="14.661434886109253" u="1"/>
        <n v="14.806354868312789" u="1"/>
        <n v="15.16865482382163" u="1"/>
        <n v="16.110634708144609" u="1"/>
        <n v="16.255554690348145" u="1"/>
        <n v="16.617854645856983" u="1"/>
        <n v="14.878814859414559" u="1"/>
        <n v="15.023734841618094" u="1"/>
        <n v="15.386034797126932" u="1"/>
        <n v="16.328014681449918" u="1"/>
        <n v="16.472934663653451" u="1"/>
        <n v="16.835234619162293" u="1"/>
        <n v="17.125074583569365" u="1"/>
        <n v="17.632294521281739" u="1"/>
        <n v="13.719455001786272" u="1"/>
        <n v="13.86437498398981" u="1"/>
        <n v="14.226674939498649" u="1"/>
        <n v="14.299134930600415" u="1"/>
        <n v="14.444054912803951" u="1"/>
        <n v="14.009294966193345" u="1"/>
        <n v="14.516514903905719" u="1"/>
        <n v="14.951274850516326" u="1"/>
        <n v="15.313574806025166" u="1"/>
        <n v="13.016980358693498" u="1"/>
        <n v="13.373926127667723" u="1"/>
        <n v="14.444763434590397" u="1"/>
        <n v="17.443107893973899" u="1"/>
        <n v="23.582575120330581" u="1"/>
        <n v="15.087265818744006" u="1"/>
        <n v="14.016428511821328" u="1"/>
        <n v="16.158103125666681" u="1"/>
        <n v="19.227836738845024" u="1"/>
        <n v="18.8708909698708" u="1"/>
        <n v="21.012565583716157" u="1"/>
        <n v="25.581471426586241" u="1"/>
        <n v="24.510634119663568" u="1"/>
        <n v="24.15368835068934" u="1"/>
        <n v="20.655619814741929" u="1"/>
        <n v="22.440348659613054" u="1"/>
        <n v="19.941728276793476" u="1"/>
        <n v="20.298674045767704" u="1"/>
        <n v="19.79894996920379" u="1"/>
        <n v="13.014192334923646" u="1"/>
        <n v="12.7978185870329" u="1"/>
        <n v="12.004448178100173" u="1"/>
        <n v="12.725694004402653" u="1"/>
        <n v="10.27345819497422" u="1"/>
        <n v="9.9633224896641561" u="1"/>
        <n v="13.281053290655562" u="1"/>
        <n v="17.832188981345713" u="1"/>
        <n v="18.17866258563043" u="1"/>
        <n v="18.525136189915152" u="1"/>
        <n v="19.079493956770705" u="1"/>
        <n v="19.91103060705403" u="1"/>
        <n v="20.257504211338755" u="1"/>
        <n v="20.603977815623473" u="1"/>
        <n v="21.158335582479026" u="1"/>
        <n v="15.684052634780446" u="1"/>
        <n v="16.030526239065164" u="1"/>
        <n v="16.376999843349889" u="1"/>
        <n v="16.931357610205442" u="1"/>
        <n v="12.357906033647133" u="1"/>
        <n v="15.614757913923505" u="1"/>
        <n v="15.961231518208226" u="1"/>
        <n v="16.307705122492944" u="1"/>
        <n v="16.862062889348497" u="1"/>
        <n v="16.515589285063779" u="1"/>
        <n v="16.654178726777666" u="1"/>
        <n v="17.000652331062383" u="1"/>
        <n v="17.555010097917936" u="1"/>
        <n v="16.723473447634607" u="1"/>
        <n v="17.27783121449016" u="1"/>
        <n v="17.624304818774878" u="1"/>
        <n v="17.970778423059603" u="1"/>
        <n v="17.069947051919328" u="1"/>
        <n v="17.41642065620405" u="1"/>
        <n v="17.762894260488768" u="1"/>
        <n v="18.31725202734432" u="1"/>
        <n v="18.109367864773493" u="1"/>
        <n v="18.663725631629038" u="1"/>
        <n v="18.802315073342932" u="1"/>
        <n v="16.238410401635999" u="1"/>
        <n v="14.228863496784623" u="1"/>
        <n v="15.545463193066556" u="1"/>
        <n v="15.406873751352668" u="1"/>
        <n v="21.089040861622081" u="1"/>
        <n v="17.208536493633218" u="1"/>
        <n v="9.5861171993693706" u="1"/>
        <n v="19.633851723626254" u="1"/>
        <n v="14.600320528476487" u="1"/>
        <n v="14.316965383898946" u="1"/>
        <n v="13.290590082429175" u="1"/>
        <n v="11.49692423457458" u="1"/>
        <n v="17.467960553126549" u="1"/>
        <n v="16.905287419768165" u="1"/>
        <n v="20.632996928267467" u="1"/>
        <n v="26.611398970200312" u="1"/>
        <n v="18.171301969824526" u="1"/>
        <n v="18.733975103182917" u="1"/>
        <n v="8.8871952694111673" u="1"/>
        <n v="9.0901339918006823" u="1"/>
        <n v="17.045955703107762" u="1"/>
        <n v="20.56266278659767" u="1"/>
        <n v="12.544570636240673" u="1"/>
        <n v="12.825907202919867" u="1"/>
        <n v="13.599582761287646" u="1"/>
        <n v="14.654594886334618" u="1"/>
        <n v="16.764619136428564" u="1"/>
        <n v="13.529248619617848" u="1"/>
        <n v="12.180273466426328" u="1"/>
        <n v="13.302918431444636" u="1"/>
        <n v="10.862520143267847" u="1"/>
        <n v="12.221049691990915" u="1"/>
        <n v="10.950370364811745" u="1"/>
        <n v="11.860426778839676" u="1"/>
        <n v="12.312048798742175" u="1"/>
        <n v="11.355554700427938" u="1"/>
        <n v="10.59896947863615" u="1"/>
        <n v="10.778558039385954" u="1"/>
        <n v="8.1099484820667822" u="1"/>
        <n v="7.6120619461435952" u="1"/>
        <n v="11.126070807899543" u="1"/>
        <n v="19.215399240647599" u="1"/>
        <n v="10.423269035548353" u="1"/>
        <n v="17.451286759060253" u="1"/>
        <n v="142.01672027178316" u="1"/>
        <n v="8.227013496950887" u="1"/>
        <n v="15.016215889214431" u="1"/>
        <n v="14.600447564072764" u="1"/>
        <n v="14.669742284929708" u="1"/>
        <n v="14.739037005786654" u="1"/>
        <n v="14.877626447500544" u="1"/>
        <n v="15.154805330928321" u="1"/>
        <n v="15.362689493499149" u="1"/>
        <n v="15.709163097783868" u="1"/>
        <n v="14.046089797217213" u="1"/>
        <n v="14.184679238931102" u="1"/>
        <n v="14.392563401501933" u="1"/>
        <n v="12.729490100935278" u="1"/>
        <n v="12.868079542649168" u="1"/>
        <n v="13.075963705219998" u="1"/>
        <n v="13.422437309504716" u="1"/>
        <n v="11.967248171508894" u="1"/>
        <n v="12.105837613222782" u="1"/>
        <n v="12.313721775793612" u="1"/>
        <n v="12.660195380078333" u="1"/>
        <n v="12.175132334079725" u="1"/>
        <n v="12.521605938364447" u="1"/>
        <n v="12.590900659221392" u="1"/>
        <n v="12.93737426350611" u="1"/>
        <n v="13.283847867790829" u="1"/>
        <n v="14.808331726643598" u="1"/>
        <n v="15.778457818640813" u="1"/>
        <n v="15.917047260354707" u="1"/>
        <n v="16.124931422925535" u="1"/>
        <n v="16.47140502721026" u="1"/>
        <n v="16.748583910638033" u="1"/>
        <n v="18.213309634150097" u="1"/>
        <n v="18.358229616353629" u="1"/>
        <n v="18.720529571862468" u="1"/>
        <n v="19.662509456185457" u="1"/>
        <n v="19.80742943838899" u="1"/>
        <n v="20.169729393897828" u="1"/>
        <n v="16.764109812114739" u="1"/>
        <n v="16.909029794318275" u="1"/>
        <n v="17.271329749827114" u="1"/>
        <n v="15.894589918893526" u="1"/>
        <n v="15.677209945588221" u="1"/>
        <n v="15.822129927791755" u="1"/>
        <n v="16.184429883300599" u="1"/>
        <n v="12.271590363805135" u="1"/>
        <n v="13.648330194738724" u="1"/>
        <n v="13.793250176942259" u="1"/>
        <n v="14.155550132451097" u="1"/>
        <n v="14.662770070163472" u="1"/>
        <n v="14.807690052367008" u="1"/>
        <n v="15.169990007875848" u="1"/>
        <n v="16.111969892198825" u="1"/>
        <n v="16.256889874402365" u="1"/>
        <n v="16.619189829911203" u="1"/>
        <n v="14.880150043468774" u="1"/>
        <n v="15.025070025672312" u="1"/>
        <n v="15.38736998118115" u="1"/>
        <n v="16.329349865504135" u="1"/>
        <n v="16.474269847707667" u="1"/>
        <n v="16.836569803216513" u="1"/>
        <n v="17.126409767623581" u="1"/>
        <n v="17.633629705335952" u="1"/>
        <n v="13.720790185840491" u="1"/>
        <n v="13.865710168044027" u="1"/>
        <n v="14.228010123552863" u="1"/>
        <n v="14.300470114654633" u="1"/>
        <n v="14.445390096858169" u="1"/>
        <n v="14.010630150247561" u="1"/>
        <n v="14.517850087959935" u="1"/>
        <n v="14.952610034570542" u="1"/>
        <n v="15.314909990079382" u="1"/>
        <n v="13.018295810963663" u="1"/>
        <n v="13.375241579937887" u="1"/>
        <n v="14.446078886860564" u="1"/>
        <n v="17.444423346244061" u="1"/>
        <n v="23.583890572600748" u="1"/>
        <n v="15.088581271014171" u="1"/>
        <n v="14.01774396409149" u="1"/>
        <n v="16.159418577936851" u="1"/>
        <n v="19.22915219111519" u="1"/>
        <n v="18.872206422140966" u="1"/>
        <n v="21.013881035986323" u="1"/>
        <n v="25.582786878856407" u="1"/>
        <n v="24.511949571933734" u="1"/>
        <n v="24.155003802959509" u="1"/>
        <n v="20.656935267012095" u="1"/>
        <n v="22.44166411188322" u="1"/>
        <n v="19.943043729063643" u="1"/>
        <n v="20.299989498037871" u="1"/>
        <n v="19.800265421473956" u="1"/>
        <n v="10.5550443678642" u="1"/>
        <n v="13.014420100923644" u="1"/>
        <n v="12.798046353032898" u="1"/>
        <n v="9.9400928170569092" u="1"/>
        <n v="12.004675944100171" u="1"/>
        <n v="13.058775681865315" u="1"/>
        <n v="12.725921770402651" u="1"/>
        <n v="10.511119257092252" u="1"/>
        <n v="10.27368596097422" u="1"/>
        <n v="9.3690663770215696" u="1"/>
        <n v="9.9635502556641544" u="1"/>
        <n v="12.531674352601923" u="1"/>
        <n v="13.28128105665556" u="1"/>
        <n v="10.774669921723948" u="1"/>
        <n v="11.741022358706836" u="1"/>
        <n v="17.833465840546531" u="1"/>
        <n v="18.179939444831252" u="1"/>
        <n v="18.526413049115973" u="1"/>
        <n v="19.080770815971526" u="1"/>
        <n v="19.912307466254852" u="1"/>
        <n v="20.258781070539577" u="1"/>
        <n v="20.605254674824295" u="1"/>
        <n v="21.159612441679847" u="1"/>
        <n v="15.685329493981268" u="1"/>
        <n v="16.031803098265986" u="1"/>
        <n v="16.378276702550707" u="1"/>
        <n v="16.93263446940626" u="1"/>
        <n v="12.359182892847953" u="1"/>
        <n v="15.616034773124325" u="1"/>
        <n v="15.962508377409044" u="1"/>
        <n v="16.308981981693762" u="1"/>
        <n v="16.863339748549315" u="1"/>
        <n v="16.516866144264597" u="1"/>
        <n v="16.655455585978487" u="1"/>
        <n v="17.001929190263201" u="1"/>
        <n v="17.556286957118754" u="1"/>
        <n v="16.724750306835428" u="1"/>
        <n v="17.279108073690981" u="1"/>
        <n v="17.625581677975699" u="1"/>
        <n v="17.97205528226042" u="1"/>
        <n v="17.071223911120146" u="1"/>
        <n v="17.417697515404868" u="1"/>
        <n v="17.764171119689586" u="1"/>
        <n v="18.318528886545142" u="1"/>
        <n v="18.11064472397431" u="1"/>
        <n v="18.665002490829863" u="1"/>
        <n v="18.803591932543753" u="1"/>
        <n v="16.239687260836821" u="1"/>
        <n v="14.230140355985441" u="1"/>
        <n v="15.546740052267378" u="1"/>
        <n v="15.408150610553488" u="1"/>
        <n v="21.090317720822902" u="1"/>
        <n v="17.20981335283404" u="1"/>
        <n v="9.587394058570192" u="1"/>
        <n v="19.635128582827075" u="1"/>
        <n v="14.600981970143154" u="1"/>
        <n v="14.317626825565611" u="1"/>
        <n v="13.291251524095841" u="1"/>
        <n v="11.497162404555342" u="1"/>
        <n v="17.703520212708096" u="1"/>
        <n v="17.133155335363377" u="1"/>
        <n v="20.911822647772158" u="1"/>
        <n v="26.971949469559828" u="1"/>
        <n v="18.416476309388997" u="1"/>
        <n v="18.986841186733724" u="1"/>
        <n v="9.0054558332010863" u="1"/>
        <n v="9.2111687287383699" u="1"/>
        <n v="17.275746554699559" u="1"/>
        <n v="20.840527038104071" u="1"/>
        <n v="12.712827535941779" u="1"/>
        <n v="12.998009974614142" u="1"/>
        <n v="13.782261680963131" u="1"/>
        <n v="14.851695825984486" u="1"/>
        <n v="16.990564116027194" u="1"/>
        <n v="13.71096607129504" u="1"/>
        <n v="12.387352739393565" u="1"/>
        <n v="13.480388231455111" u="1"/>
        <n v="11.046590608127616" u="1"/>
        <n v="12.383730342000518" u="1"/>
        <n v="11.135974750212009" u="1"/>
        <n v="12.018177712182322" u="1"/>
        <n v="12.521428952520163" u="1"/>
        <n v="11.506404030436844" u="1"/>
        <n v="10.778438181874424" u="1"/>
        <n v="10.921519822727728" u="1"/>
        <n v="8.2164303620730657" u="1"/>
        <n v="7.7393773510049346" u="1"/>
        <n v="11.314743034380806" u="1"/>
        <n v="19.473659940690045" u="1"/>
        <n v="10.599669897705631" u="1"/>
        <n v="17.750401264457377" u="1"/>
        <n v="143.95367552210152" u="1"/>
        <n v="8.3650663455957108" u="1"/>
        <n v="15.218307885448445" u="1"/>
        <n v="14.796856005637073" u="1"/>
        <n v="14.867097985605634" u="1"/>
        <n v="14.937339965574198" u="1"/>
        <n v="15.07782392551132" u="1"/>
        <n v="15.358791845385568" u="1"/>
        <n v="15.569517785291254" u="1"/>
        <n v="15.920727685134061" u="1"/>
        <n v="14.23492016588858" u="1"/>
        <n v="14.375404125825701" u="1"/>
        <n v="14.586130065731387" u="1"/>
        <n v="12.900322546485906" u="1"/>
        <n v="13.040806506423028" u="1"/>
        <n v="13.251532446328714" u="1"/>
        <n v="13.602742346171523" u="1"/>
        <n v="12.127660766831724" u="1"/>
        <n v="12.268144726768849" u="1"/>
        <n v="12.478870666674535" u="1"/>
        <n v="12.830080566517344" u="1"/>
        <n v="12.33838670673741" u="1"/>
        <n v="12.689596606580219" u="1"/>
        <n v="12.759838586548781" u="1"/>
        <n v="13.11104848639159" u="1"/>
        <n v="13.462258386234398" u="1"/>
        <n v="15.007581945542757" u="1"/>
        <n v="15.990969665102622" u="1"/>
        <n v="16.13145362503975" u="1"/>
        <n v="16.342179564945432" u="1"/>
        <n v="16.693389464788243" u="1"/>
        <n v="16.97435738466249" u="1"/>
        <n v="18.458960669548119" u="1"/>
        <n v="18.605861708488732" u="1"/>
        <n v="18.973114305840276" u="1"/>
        <n v="19.927971058954288" u="1"/>
        <n v="20.074872097894904" u="1"/>
        <n v="20.442124695246441" u="1"/>
        <n v="16.989950280141951" u="1"/>
        <n v="17.136851319082567" u="1"/>
        <n v="17.504103916434111" u="1"/>
        <n v="16.108544046498256" u="1"/>
        <n v="15.888192488087327" u="1"/>
        <n v="16.035093527027946" u="1"/>
        <n v="16.402346124379488" u="1"/>
        <n v="12.436018072982842" u="1"/>
        <n v="13.831577942918699" u="1"/>
        <n v="13.978478981859316" u="1"/>
        <n v="14.345731579210856" u="1"/>
        <n v="14.859885215503013" u="1"/>
        <n v="15.006786254443629" u="1"/>
        <n v="15.374038851795172" u="1"/>
        <n v="16.328895604909178" u="1"/>
        <n v="16.475796643849794" u="1"/>
        <n v="16.843049241201339" u="1"/>
        <n v="15.080236773913938" u="1"/>
        <n v="15.227137812854554" u="1"/>
        <n v="15.594390410206096" u="1"/>
        <n v="16.549247163320103" u="1"/>
        <n v="16.696148202260723" u="1"/>
        <n v="17.063400799612264" u="1"/>
        <n v="17.357202877493496" u="1"/>
        <n v="17.871356513785653" u="1"/>
        <n v="13.905028462389007" u="1"/>
        <n v="14.051929501329624" u="1"/>
        <n v="14.419182098681164" u="1"/>
        <n v="14.492632618151472" u="1"/>
        <n v="14.639533657092089" u="1"/>
        <n v="14.19883054027024" u="1"/>
        <n v="14.712984176562397" u="1"/>
        <n v="15.153687293384246" u="1"/>
        <n v="15.520939890735789" u="1"/>
        <n v="13.192980124233351" u="1"/>
        <n v="13.554805343298906" u="1"/>
        <n v="14.640281000495579" u="1"/>
        <n v="17.679612840646271" u="1"/>
        <n v="23.903006608573865" u="1"/>
        <n v="15.291566394813586" u="1"/>
        <n v="14.206090737616911" u="1"/>
        <n v="16.377042052010257" u="1"/>
        <n v="19.488738935974059" u="1"/>
        <n v="19.126913716908501" u="1"/>
        <n v="21.297865031301853" u="1"/>
        <n v="25.929227835340988" u="1"/>
        <n v="24.84375217814431" u="1"/>
        <n v="24.481926959078756" u="1"/>
        <n v="20.936039812236288" u="1"/>
        <n v="22.745165907564076" u="1"/>
        <n v="20.212389374105172" u="1"/>
        <n v="20.574214593170733" u="1"/>
        <n v="20.067659286478957" u="1"/>
        <n v="10.733746110832225" u="1"/>
        <n v="13.187946127600553" u="1"/>
        <n v="12.968614549709635" u="1"/>
        <n v="10.108057116241447" u="1"/>
        <n v="12.164398764109601" u="1"/>
        <n v="13.281194160237535" u="1"/>
        <n v="12.895504023745993" u="1"/>
        <n v="10.689054039790028" u="1"/>
        <n v="10.40974614098225" u="1"/>
        <n v="9.5270601926928702" u="1"/>
        <n v="10.095370879338601" u="1"/>
        <n v="12.744889307731155" u="1"/>
        <n v="13.458455073666018" u="1"/>
        <n v="10.957206466043219" u="1"/>
        <n v="11.940432028971584" u="1"/>
        <n v="18.07406965489745" u="1"/>
        <n v="18.425279554740253" u="1"/>
        <n v="18.776489454583064" u="1"/>
        <n v="19.338425294331561" u="1"/>
        <n v="20.181329053954297" u="1"/>
        <n v="20.532538953797111" u="1"/>
        <n v="20.883748853639919" u="1"/>
        <n v="21.445684693388412" u="1"/>
        <n v="15.896568275872028" u="1"/>
        <n v="16.247778175714839" u="1"/>
        <n v="16.598988075557646" u="1"/>
        <n v="17.160923915306146" u="1"/>
        <n v="12.524953237381062" u="1"/>
        <n v="15.826326295903467" u="1"/>
        <n v="16.177536195746274" u="1"/>
        <n v="16.528746095589085" u="1"/>
        <n v="17.090681935337578" u="1"/>
        <n v="16.739472035494771" u="1"/>
        <n v="16.879955995431896" u="1"/>
        <n v="17.231165895274703" u="1"/>
        <n v="17.793101735023196" u="1"/>
        <n v="16.950197975400457" u="1"/>
        <n v="17.51213381514895" u="1"/>
        <n v="17.863343714991757" u="1"/>
        <n v="18.214553614834571" u="1"/>
        <n v="17.301407875243267" u="1"/>
        <n v="17.652617775086075" u="1"/>
        <n v="18.003827674928882" u="1"/>
        <n v="18.565763514677382" u="1"/>
        <n v="18.355037574771693" u="1"/>
        <n v="18.916973414520186" u="1"/>
        <n v="19.057457374457314" u="1"/>
        <n v="16.458504115620524" u="1"/>
        <n v="14.421486696532231" u="1"/>
        <n v="15.756084315934904" u="1"/>
        <n v="15.615600355997779" u="1"/>
        <n v="21.375442713419847" u="1"/>
        <n v="17.441891835180389" u="1"/>
        <n v="9.7152740386385918" u="1"/>
        <n v="19.900361134080054" u="1"/>
        <n v="14.917558749909505" u="1"/>
        <n v="14.627722279085605" u="1"/>
        <n v="13.577870173656819" u="1"/>
        <n v="11.649747388715374" u="1"/>
        <n v="17.705227273407196" u="1"/>
        <n v="17.134862396062474" u="1"/>
        <n v="20.913529708471255" u="1"/>
        <n v="26.973656530258921" u="1"/>
        <n v="18.418183370088091" u="1"/>
        <n v="18.988548247432817" u="1"/>
        <n v="9.0071628939001851" u="1"/>
        <n v="9.2128757894374669" u="1"/>
        <n v="17.277453615398652" u="1"/>
        <n v="20.842234098803164" u="1"/>
        <n v="12.714534596640876" u="1"/>
        <n v="12.999717035313237" u="1"/>
        <n v="13.783968741662228" u="1"/>
        <n v="14.853402886683581" u="1"/>
        <n v="16.992271176726291" u="1"/>
        <n v="13.712673131994137" u="1"/>
        <n v="12.389992145393567" u="1"/>
        <n v="13.483027637455111" u="1"/>
        <n v="11.049230014127616" u="1"/>
        <n v="12.386369748000519" u="1"/>
        <n v="11.138614156212011" u="1"/>
        <n v="12.020817118182322" u="1"/>
        <n v="12.524068358520164" u="1"/>
        <n v="11.509043436436844" u="1"/>
        <n v="10.781077587874424" u="1"/>
        <n v="10.924159228727728" u="1"/>
        <n v="8.2190697680730658" u="1"/>
        <n v="7.7420167570049347" u="1"/>
        <n v="11.317382440380806" u="1"/>
        <n v="19.476319068553337" u="1"/>
        <n v="10.60230930370563" u="1"/>
        <n v="17.753040670457377" u="1"/>
        <n v="143.95633464996482" u="1"/>
        <n v="8.3677057515957092" u="1"/>
        <n v="15.219989718649526" u="1"/>
        <n v="14.798537838838154" u="1"/>
        <n v="14.868779818806715" u="1"/>
        <n v="14.939021798775277" u="1"/>
        <n v="15.079505758712401" u="1"/>
        <n v="15.360473678586647" u="1"/>
        <n v="15.571199618492333" u="1"/>
        <n v="15.92240951833514" u="1"/>
        <n v="14.236601999089659" u="1"/>
        <n v="14.377085959026783" u="1"/>
        <n v="14.587811898932468" u="1"/>
        <n v="12.902004379686986" u="1"/>
        <n v="13.042488339624109" u="1"/>
        <n v="13.253214279529795" u="1"/>
        <n v="13.604424179372602" u="1"/>
        <n v="12.129342600032805" u="1"/>
        <n v="12.26982655996993" u="1"/>
        <n v="12.480552499875616" u="1"/>
        <n v="12.831762399718423" u="1"/>
        <n v="12.340068539938491" u="1"/>
        <n v="12.691278439781298" u="1"/>
        <n v="12.761520419749862" u="1"/>
        <n v="13.11273031959267" u="1"/>
        <n v="13.463940219435479" u="1"/>
        <n v="15.009263778743838" u="1"/>
        <n v="15.992651498303704" u="1"/>
        <n v="16.133135458240826" u="1"/>
        <n v="16.343861398146512" u="1"/>
        <n v="16.695071297989323" u="1"/>
        <n v="16.976039217863569" u="1"/>
        <n v="18.460719326156841" u="1"/>
        <n v="18.607620365097461" u="1"/>
        <n v="18.974872962449002" u="1"/>
        <n v="19.929729715563013" u="1"/>
        <n v="20.076630754503626" u="1"/>
        <n v="20.443883351855167" u="1"/>
        <n v="16.99170893675068" u="1"/>
        <n v="17.138609975691296" u="1"/>
        <n v="17.50586257304284" u="1"/>
        <n v="16.110302703106981" u="1"/>
        <n v="15.889951144696054" u="1"/>
        <n v="16.036852183636672" u="1"/>
        <n v="16.404104780988213" u="1"/>
        <n v="12.437776729591567" u="1"/>
        <n v="13.833336599527426" u="1"/>
        <n v="13.980237638468044" u="1"/>
        <n v="14.347490235819583" u="1"/>
        <n v="14.861643872111738" u="1"/>
        <n v="15.008544911052356" u="1"/>
        <n v="15.375797508403899" u="1"/>
        <n v="16.330654261517903" u="1"/>
        <n v="16.477555300458523" u="1"/>
        <n v="16.84480789781006" u="1"/>
        <n v="15.081995430522666" u="1"/>
        <n v="15.228896469463281" u="1"/>
        <n v="15.596149066814821" u="1"/>
        <n v="16.551005819928832" u="1"/>
        <n v="16.697906858869452" u="1"/>
        <n v="17.065159456220989" u="1"/>
        <n v="17.358961534102225" u="1"/>
        <n v="17.873115170394378" u="1"/>
        <n v="13.906787118997734" u="1"/>
        <n v="14.05368815793835" u="1"/>
        <n v="14.420940755289891" u="1"/>
        <n v="14.494391274760199" u="1"/>
        <n v="14.641292313700816" u="1"/>
        <n v="14.200589196878965" u="1"/>
        <n v="14.714742833171124" u="1"/>
        <n v="15.155445949992972" u="1"/>
        <n v="15.522698547344515" u="1"/>
        <n v="13.194712790842933" u="1"/>
        <n v="13.556538009908492" u="1"/>
        <n v="14.642013667105163" u="1"/>
        <n v="17.681345507255852" u="1"/>
        <n v="23.904739275183445" u="1"/>
        <n v="15.293299061423166" u="1"/>
        <n v="14.207823404226493" u="1"/>
        <n v="16.378774718619841" u="1"/>
        <n v="19.490471602583639" u="1"/>
        <n v="19.128646383518085" u="1"/>
        <n v="21.299597697911434" u="1"/>
        <n v="25.930960501950569" u="1"/>
        <n v="24.845484844753891" u="1"/>
        <n v="24.483659625688336" u="1"/>
        <n v="20.937772478845869" u="1"/>
        <n v="22.746898574173656" u="1"/>
        <n v="20.214122040714752" u="1"/>
        <n v="20.575947259780314" u="1"/>
        <n v="20.069391953088537" u="1"/>
        <n v="10.736385516832225" u="1"/>
        <n v="13.190585533600553" u="1"/>
        <n v="12.971253955709635" u="1"/>
        <n v="10.110696522241447" u="1"/>
        <n v="12.167038170109601" u="1"/>
        <n v="13.283833566237535" u="1"/>
        <n v="12.898143429745994" u="1"/>
        <n v="10.691693445790028" u="1"/>
        <n v="10.41238554698225" u="1"/>
        <n v="9.5296995986928703" u="1"/>
        <n v="10.098010285338601" u="1"/>
        <n v="12.747528713731155" u="1"/>
        <n v="13.461094479666018" u="1"/>
        <n v="10.959845872043219" u="1"/>
        <n v="11.943071434971584" u="1"/>
        <n v="18.075751488098525" u="1"/>
        <n v="18.426961387941333" u="1"/>
        <n v="18.778171287784144" u="1"/>
        <n v="19.34010712753264" u="1"/>
        <n v="20.183010887155376" u="1"/>
        <n v="20.534220786998191" u="1"/>
        <n v="20.885430686840998" u="1"/>
        <n v="21.447366526589491" u="1"/>
        <n v="15.898250109073109" u="1"/>
        <n v="16.249460008915918" u="1"/>
        <n v="16.600669908758729" u="1"/>
        <n v="17.162605748507222" u="1"/>
        <n v="12.526635070582142" u="1"/>
        <n v="15.828008129104548" u="1"/>
        <n v="16.179218028947357" u="1"/>
        <n v="16.530427928790164" u="1"/>
        <n v="17.092363768538657" u="1"/>
        <n v="16.74115386869585" u="1"/>
        <n v="16.881637828632979" u="1"/>
        <n v="17.232847728475786" u="1"/>
        <n v="17.794783568224279" u="1"/>
        <n v="16.951879808601536" u="1"/>
        <n v="17.513815648350029" u="1"/>
        <n v="17.86502554819284" u="1"/>
        <n v="18.216235448035651" u="1"/>
        <n v="17.30308970844435" u="1"/>
        <n v="17.65429960828715" u="1"/>
        <n v="18.005509508129961" u="1"/>
        <n v="18.567445347878458" u="1"/>
        <n v="18.356719407972772" u="1"/>
        <n v="18.918655247721265" u="1"/>
        <n v="19.059139207658394" u="1"/>
        <n v="16.460185948821604" u="1"/>
        <n v="14.423168529733312" u="1"/>
        <n v="15.757766149135986" u="1"/>
        <n v="15.61728218919886" u="1"/>
        <n v="21.377124546620927" u="1"/>
        <n v="17.443573668381472" u="1"/>
        <n v="9.7169558718396711" u="1"/>
        <n v="19.90204296728113" u="1"/>
        <n v="14.925223691576173" u="1"/>
        <n v="14.635387220752273" u="1"/>
        <n v="13.585535115323486" u="1"/>
        <n v="17.927608776317946" u="1"/>
        <n v="17.27550456430335" u="1"/>
        <n v="20.661823070296716" u="1"/>
        <n v="26.068035214725363" u="1"/>
        <n v="18.558825538328971" u="1"/>
        <n v="17.78047797391217" u="1"/>
        <n v="18.957537812866949" u="1"/>
        <n v="10.463808350326087" u="1"/>
        <n v="9.8087053794927517" u="1"/>
        <n v="16.941454790217335" u="1"/>
        <n v="18.21436809330779" u="1"/>
        <n v="20.734721217361006" u="1"/>
        <n v="12.901667513346771" u="1"/>
        <n v="14.048337464035026" u="1"/>
        <n v="14.427428999119932" u="1"/>
        <n v="14.795317799379845" u="1"/>
        <n v="17.583151331296765" u="1"/>
        <n v="12.768790260551686" u="1"/>
        <n v="14.364307322918831" u="1"/>
        <n v="16.68896808541292" u="1"/>
        <n v="12.358521632109602" u="1"/>
        <n v="13.454650081570868" u="1"/>
        <n v="11.287465875079331" u="1"/>
        <n v="12.336336383515654" u="1"/>
        <n v="13.117216944456693" u="1"/>
        <n v="10.963881098982254" u="1"/>
        <n v="12.087685479241447" u="1"/>
        <n v="11.415421798237535" u="1"/>
        <n v="12.132576141745997" u="1"/>
        <n v="12.131827539026204" u="1"/>
        <n v="13.039933942005268" u="1"/>
        <n v="11.363603469455114" u="1"/>
        <n v="12.163317044456694" u="1"/>
        <n v="10.924608579241449" u="1"/>
        <n v="12.500750181570869" u="1"/>
        <n v="11.667816509064487" u="1"/>
        <n v="11.760705289666021" u="1"/>
        <n v="10.801901470709884" u="1"/>
        <n v="13.290236283515654" u="1"/>
        <n v="11.163138900304919" u="1"/>
        <n v="10.815818945908115" u="1"/>
        <n v="9.6061334974311041" u="1"/>
        <n v="9.2387670972493012" u="1"/>
        <n v="12.240796727067499" u="1"/>
        <n v="11.492395955323074" u="1"/>
        <n v="19.157439097504604" u="1"/>
        <n v="11.858497832897703" u="1"/>
        <n v="11.906083829382567" u="1"/>
        <n v="11.593478840425016" u="1"/>
        <n v="16.766468251091336" u="1"/>
        <n v="17.095250104729541" u="1"/>
        <n v="126.88232014826266" u="1"/>
        <n v="9.4755474264416897" u="1"/>
        <n v="9.8735612025501247" u="1"/>
        <n v="15.374659704043465" u="1"/>
        <n v="15.041792324859548" u="1"/>
        <n v="14.669111801690841" u="1"/>
        <n v="14.747406918080083" u="1"/>
        <n v="14.912050287279239" u="1"/>
        <n v="15.168858797891451" u="1"/>
        <n v="15.371531601376459" u="1"/>
        <n v="15.722741501219268" u="1"/>
        <n v="14.141624755442594" u="1"/>
        <n v="14.282108715379719" u="1"/>
        <n v="14.508940928126759" u="1"/>
        <n v="14.85209769154889" u="1"/>
        <n v="14.246315528911405" u="1"/>
        <n v="14.410958898110561" u="1"/>
        <n v="14.363984472554561" u="1"/>
        <n v="14.71519437239737" u="1"/>
        <n v="14.214102983228692" u="1"/>
        <n v="14.17741794191091" u="1"/>
        <n v="14.40425015465795" u="1"/>
        <n v="14.835991418707534" u="1"/>
        <n v="13.370746685487353" u="1"/>
        <n v="14.187694104761395" u="1"/>
        <n v="13.415937401344413" u="1"/>
        <n v="13.606084572773669" u="1"/>
        <n v="12.541712950888428" u="1"/>
        <n v="13.012375504073333" u="1"/>
        <n v="13.1586763526136" u="1"/>
        <n v="13.711214662973346" u="1"/>
        <n v="13.074564347621218" u="1"/>
        <n v="13.586836975877578" u="1"/>
        <n v="14.413181924540366" u="1"/>
        <n v="14.043629504038666" u="1"/>
        <n v="14.127741509031045" u="1"/>
        <n v="13.919704355061496" u="1"/>
        <n v="14.431976983317856" u="1"/>
        <n v="15.313362715345047" u="1"/>
        <n v="15.397474720337428" u="1"/>
        <n v="15.624306933084469" u="1"/>
        <n v="15.894985468720503" u="1"/>
        <n v="16.670775351041691" u="1"/>
        <n v="16.513293263413736" u="1"/>
        <n v="16.740125476160781" u="1"/>
        <n v="16.994697738955463" u="1"/>
        <n v="18.202825849379654" u="1"/>
        <n v="17.50681178558105" u="1"/>
        <n v="15.952090696883944" u="1"/>
        <n v="15.43949775393062" u="1"/>
        <n v="15.307085435411823" u="1"/>
        <n v="15.369274278959708" u="1"/>
        <n v="15.558047727082826" u="1"/>
        <n v="15.937008502313695" u="1"/>
        <n v="16.123575032957348" u="1"/>
        <n v="16.434519250696766" u="1"/>
        <n v="14.941987005547547" u="1"/>
        <n v="14.936159291603982" u="1"/>
        <n v="15.252931223286968" u="1"/>
        <n v="18.597191413326769" u="1"/>
        <n v="18.794618395903552" u="1"/>
        <n v="19.220817927497286" u="1"/>
        <n v="20.108306755763078" u="1"/>
        <n v="20.280470766521773" u="1"/>
        <n v="20.672986335691395" u="1"/>
        <n v="18.251930798479648" u="1"/>
        <n v="18.424094809238348" u="1"/>
        <n v="18.791347406589889" u="1"/>
        <n v="17.102918052102524" u="1"/>
        <n v="16.677191729833272" u="1"/>
        <n v="17.406546923243997" u="1"/>
        <n v="16.993445174224167" u="1"/>
        <n v="17.165609184982866" u="1"/>
        <n v="17.558124754152491" u="1"/>
        <n v="15.766778325733343" u="1"/>
        <n v="15.975897288229817" u="1"/>
        <n v="16.148061298988516" u="1"/>
        <n v="16.515313896340057" u="1"/>
        <n v="16.127475119138314" u="1"/>
        <n v="15.70174879686906" u="1"/>
        <n v="16.422682999673757" u="1"/>
        <n v="12.953193394032731" u="1"/>
        <n v="14.230859395484202" u="1"/>
        <n v="14.428286378060985" u="1"/>
        <n v="14.601856191473894" u="1"/>
        <n v="14.711329069352251" u="1"/>
        <n v="13.037403300093004" u="1"/>
        <n v="14.315069301544478" u="1"/>
        <n v="14.51249628412126" u="1"/>
        <n v="14.272964348514341" u="1"/>
        <n v="15.225482705644406" u="1"/>
        <n v="15.422909688221189" u="1"/>
        <n v="15.56279553920999" u="1"/>
        <n v="15.14969379019016" u="1"/>
        <n v="15.321857800948859" u="1"/>
        <n v="15.714373370118484" u="1"/>
        <n v="16.408179414445637" u="1"/>
        <n v="16.580343425204337" u="1"/>
        <n v="16.947596022555881" u="1"/>
        <n v="15.45425525466136" u="1"/>
        <n v="15.432736481481427" u="1"/>
        <n v="15.799989078832969" u="1"/>
        <n v="16.68747790709876" u="1"/>
        <n v="16.884904889675543" u="1"/>
        <n v="17.092158665512557" u="1"/>
        <n v="17.394381733999822" u="1"/>
        <n v="17.566545744758521" u="1"/>
        <n v="17.959061313928142" u="1"/>
        <n v="14.413782792832867" u="1"/>
        <n v="14.585946803591566" u="1"/>
        <n v="14.953199400943108" u="1"/>
        <n v="15.085596854655609" u="1"/>
        <n v="15.038815109657593" u="1"/>
        <n v="15.406067707009134" u="1"/>
        <n v="14.732847842532184" u="1"/>
        <n v="14.930274825108965" u="1"/>
        <n v="15.145949591552011" u="1"/>
        <n v="15.448172660039271" u="1"/>
        <n v="15.62033667079797" u="1"/>
        <n v="16.012852239967593" u="1"/>
        <n v="13.262795709386488" u="1"/>
        <n v="13.624620928452044" u="1"/>
        <n v="14.369938344420021" u="1"/>
        <n v="13.246202624448502" u="1"/>
        <n v="13.583138216107081" u="1"/>
        <n v="14.585648448613828" u="1"/>
        <n v="17.218449707783883" u="1"/>
        <n v="22.844492417944011" u="1"/>
        <n v="15.236933842931833" u="1"/>
        <n v="14.31738903511501" u="1"/>
        <n v="16.181368278155631" u="1"/>
        <n v="18.952906920890737" u="1"/>
        <n v="18.674047126515106" u="1"/>
        <n v="20.703957218935582" u="1"/>
        <n v="19.118837770270588" u="1"/>
        <n v="18.839977975894957" u="1"/>
        <n v="20.579509081900696" u="1"/>
        <n v="24.721375880269267" u="1"/>
        <n v="23.868203412204387" u="1"/>
        <n v="23.564453990421779" u="1"/>
        <n v="20.466580136904909" u="1"/>
        <n v="22.101478840383855" u="1"/>
        <n v="19.234989364836483" u="1"/>
        <n v="18.956129570460853" u="1"/>
        <n v="18.828458783855851" u="1"/>
        <n v="18.524709362073239" u="1"/>
        <n v="21.769617141624153" u="1"/>
        <n v="19.53551613704898" u="1"/>
        <n v="19.87245172870756" u="1"/>
        <n v="19.465454931643695" u="1"/>
        <n v="11.90254430915123" u="1"/>
        <n v="14.037267610817894" u="1"/>
        <n v="12.624534797603784" u="1"/>
        <n v="14.238385937498135" u="1"/>
        <n v="12.938820158556519" u="1"/>
        <n v="14.656876111217217" u="1"/>
        <n v="12.948238086240941" u="1"/>
        <n v="15.158722540046405" u="1"/>
        <n v="10.968954251918028" u="1"/>
        <n v="13.393363787549649" u="1"/>
        <n v="11.449420465882984" u="1"/>
        <n v="14.284421268143525" u="1"/>
        <n v="10.268202333131406" u="1"/>
        <n v="12.056858678131405" u="1"/>
        <n v="13.047653785097145" u="1"/>
        <n v="12.605267512367515" u="1"/>
        <n v="11.949051135097147" u="1"/>
        <n v="10.695063890498893" u="1"/>
        <n v="10.77159175226722" u="1"/>
        <n v="10.18969853216556" u="1"/>
        <n v="11.014540605600555" u="1"/>
        <n v="12.949770873832227" u="1"/>
        <n v="12.933764858933886" u="1"/>
        <n v="9.6843331738322274" u="1"/>
        <n v="10.498140447600553" u="1"/>
        <n v="13.123034757165559" u="1"/>
        <n v="10.985989007709636" u="1"/>
        <n v="13.240695991042969" u="1"/>
        <n v="12.483279773832228" u="1"/>
        <n v="13.394881876376301" u="1"/>
        <n v="10.928309440498895" u="1"/>
        <n v="11.219234557709637" u="1"/>
        <n v="11.769718845908114" u="1"/>
        <n v="12.531293807297667" u="1"/>
        <n v="10.918414817037053" u="1"/>
        <n v="16.849106496703158" u="1"/>
        <n v="17.534186474805416" u="1"/>
        <n v="17.86482204835341" u="1"/>
        <n v="19.245129883885578" u="1"/>
        <n v="17.213396579161714" u="1"/>
        <n v="17.524340796901132" u="1"/>
        <n v="17.786056625119127" u="1"/>
        <n v="19.071221605845018" u="1"/>
        <n v="17.951822421983103" u="1"/>
        <n v="32.046475468708202" u="1"/>
        <n v="17.539914677512002" u="1"/>
        <n v="18.037425425895073" u="1"/>
        <n v="19.524314094060884" u="1"/>
        <n v="19.851364584641662" u="1"/>
        <n v="20.186468211643113" u="1"/>
        <n v="20.724244642129577" u="1"/>
        <n v="15.730794637639946" u="1"/>
        <n v="16.057845128220723" u="1"/>
        <n v="16.392948755222179" u="1"/>
        <n v="16.930725185708642" u="1"/>
        <n v="12.745730147341504" u="1"/>
        <n v="15.746900910481299" u="1"/>
        <n v="16.082004537482753" u="1"/>
        <n v="16.433214437325564" u="1"/>
        <n v="16.697184229508991" u="1"/>
        <n v="12.608826828189985" u="1"/>
        <n v="15.618050727750459" u="1"/>
        <n v="15.96926062759327" u="1"/>
        <n v="16.111088980498458" u="1"/>
        <n v="16.624706001722892" u="1"/>
        <n v="12.544401736824565" u="1"/>
        <n v="15.50754306567851" u="1"/>
        <n v="15.762115328473186" u="1"/>
        <n v="16.089165819053964" u="1"/>
        <n v="16.610835976699072" u="1"/>
        <n v="15.531702474940541" u="1"/>
        <n v="15.810434146997252" u="1"/>
        <n v="16.13748463757803" u="1"/>
        <n v="16.659154795223138" u="1"/>
        <n v="16.388476259587105" u="1"/>
        <n v="16.673916675096425" u="1"/>
        <n v="17.000967165677199" u="1"/>
        <n v="17.522637323322307" u="1"/>
        <n v="16.630070352207433" u="1"/>
        <n v="16.802766857827265" u="1"/>
        <n v="17.129817348408043" u="1"/>
        <n v="17.651487506053147" u="1"/>
        <n v="16.323598630103081" u="1"/>
        <n v="16.666755393525214" u="1"/>
        <n v="16.977699611264633" u="1"/>
        <n v="17.273881949130768" u="1"/>
        <n v="16.106163946744786" u="1"/>
        <n v="16.425161300904886" u="1"/>
        <n v="16.744158655064982" u="1"/>
        <n v="17.257775676289413" u="1"/>
        <n v="16.170589038110208" u="1"/>
        <n v="16.505692665111663" u="1"/>
        <n v="16.856902564954471" u="1"/>
        <n v="17.16113803924128" u="1"/>
        <n v="16.306600502412259" u="1"/>
        <n v="16.641704129413714" u="1"/>
        <n v="16.992914029256522" u="1"/>
        <n v="17.780337688783987" u="1"/>
        <n v="17.547688587433807" u="1"/>
        <n v="17.898898487276615" u="1"/>
        <n v="18.314533478484851" u="1"/>
        <n v="18.828150499709277" u="1"/>
        <n v="17.562450467307098" u="1"/>
        <n v="17.655960001688221" u="1"/>
        <n v="17.983010492268996" u="1"/>
        <n v="18.520786922755459" u="1"/>
        <n v="17.494897273274667" u="1"/>
        <n v="17.821947763855444" u="1"/>
        <n v="18.173157663698255" u="1"/>
        <n v="18.614296457136586" u="1"/>
        <n v="18.754780417073711" u="1"/>
        <n v="18.7950460991771" u="1"/>
        <n v="16.341049295912505" u="1"/>
        <n v="16.441267573746241" u="1"/>
        <n v="16.768318064327019" u="1"/>
        <n v="17.306094494813479" u="1"/>
        <n v="14.513413423761831" u="1"/>
        <n v="15.711107724012985" u="1"/>
        <n v="15.626995719020604" u="1"/>
        <n v="20.291611523230522" u="1"/>
        <n v="15.842646692679962" u="1"/>
        <n v="16.169697183260741" u="1"/>
        <n v="16.520907083103552" u="1"/>
        <n v="16.809036284549009" u="1"/>
        <n v="10.121273086274616" u="1"/>
        <n v="19.275558719869348" u="1"/>
        <n v="15.623135835919673" u="1"/>
        <n v="14.851150200636226" u="1"/>
        <n v="13.791153752427958" u="1"/>
        <n v="13.74513132372747" u="1"/>
        <n v="18.27572390543942" u="1"/>
        <n v="17.610785806351384" u="1"/>
        <n v="21.063749533307739" u="1"/>
        <n v="26.576359880475017" u="1"/>
        <n v="18.919363474255327" u="1"/>
        <n v="18.125697461404112" u="1"/>
        <n v="19.32592269750478" u="1"/>
        <n v="10.665030436831072" u="1"/>
        <n v="9.9652327452343208" u="1"/>
        <n v="17.238359872854119" u="1"/>
        <n v="18.51872686002751" u="1"/>
        <n v="21.093740334022229" u="1"/>
        <n v="13.119066632432286" u="1"/>
        <n v="14.270705705842493" u="1"/>
        <n v="14.663462328412777" u="1"/>
        <n v="15.049985338880017" u="1"/>
        <n v="17.875087291211596" u="1"/>
        <n v="12.991158502359152" u="1"/>
        <n v="14.599098371531184" u="1"/>
        <n v="16.980904045327755" u="1"/>
        <n v="12.501726850703216" u="1"/>
        <n v="13.698073166089587" u="1"/>
        <n v="11.420003954809477" u="1"/>
        <n v="12.572813165109237" u="1"/>
        <n v="13.357011683889851" u="1"/>
        <n v="11.090050794030011" u="1"/>
        <n v="12.307893522323138" u="1"/>
        <n v="11.534721081998679" u="1"/>
        <n v="12.365042772991295" u="1"/>
        <n v="12.258830177801881" u="1"/>
        <n v="13.290258037332503" u="1"/>
        <n v="11.497639992639938" u="1"/>
        <n v="12.384338337298942" u="1"/>
        <n v="11.038630255277686" u="1"/>
        <n v="12.725399819498678" u="1"/>
        <n v="11.876696697632903" u="1"/>
        <n v="11.985853230994023" u="1"/>
        <n v="10.914603703913649" u="1"/>
        <n v="13.545486511700146" u="1"/>
        <n v="11.279725440970601" u="1"/>
        <n v="11.010995726868595" u="1"/>
        <n v="9.7888778925717101" u="1"/>
        <n v="9.3566682730339306" u="1"/>
        <n v="12.391402919405243" u="1"/>
        <n v="11.595225539413983" u="1"/>
        <n v="19.528113002667162" u="1"/>
        <n v="12.00227423853794" u="1"/>
        <n v="12.05079676218198" u="1"/>
        <n v="11.735510152285169" u="1"/>
        <n v="16.954776995752681" u="1"/>
        <n v="17.293057345490642" u="1"/>
        <n v="129.37614882893658" u="1"/>
        <n v="9.5507885855325974" u="1"/>
        <n v="9.9488023616410324" u="1"/>
        <n v="15.672600585922641" u="1"/>
        <n v="15.333182133649226" u="1"/>
        <n v="14.953166985644955" u="1"/>
        <n v="15.03300300709757" u="1"/>
        <n v="15.200886678028816" u="1"/>
        <n v="15.46274936765716" u="1"/>
        <n v="15.669410919910938" u="1"/>
        <n v="16.027532887043925" u="1"/>
        <n v="14.415298609143777" u="1"/>
        <n v="14.558547395996976" u="1"/>
        <n v="14.789843832328799" u="1"/>
        <n v="15.139754171435776" u="1"/>
        <n v="14.522049773481983" u="1"/>
        <n v="14.689933444413228" u="1"/>
        <n v="14.642034527860515" u="1"/>
        <n v="15.00015649499351" u="1"/>
        <n v="14.489203261377918" u="1"/>
        <n v="14.45179623165877" u="1"/>
        <n v="14.683092667990593" u="1"/>
        <n v="15.123330915383743" u="1"/>
        <n v="13.629249095859517" u="1"/>
        <n v="14.462274636898034" u="1"/>
        <n v="13.675329198003906" u="1"/>
        <n v="13.869218604616584" u="1"/>
        <n v="12.783899371984825" u="1"/>
        <n v="13.263824907904668" u="1"/>
        <n v="13.413005063976337" u="1"/>
        <n v="13.976417731759723" u="1"/>
        <n v="13.327237673305252" u="1"/>
        <n v="13.849592200958554" u="1"/>
        <n v="14.692200221626475" u="1"/>
        <n v="14.315374739633908" u="1"/>
        <n v="14.401142130304995" u="1"/>
        <n v="14.18901065323197" u="1"/>
        <n v="14.711365180885274" u="1"/>
        <n v="15.610097227726214" u="1"/>
        <n v="15.695864618397302" u="1"/>
        <n v="15.92716105472913" u="1"/>
        <n v="16.203166741601962" u="1"/>
        <n v="16.99422473530624" u="1"/>
        <n v="16.833643285196857" u="1"/>
        <n v="17.064939721528681" u="1"/>
        <n v="17.324522152349484" u="1"/>
        <n v="18.494119250321816" u="1"/>
        <n v="17.798105186523212" u="1"/>
        <n v="16.212786051508655" u="1"/>
        <n v="15.692849577439144" u="1"/>
        <n v="15.561661180773042" u="1"/>
        <n v="15.625073946173627" u="1"/>
        <n v="15.816295238002139" u="1"/>
        <n v="16.200151700643801" u="1"/>
        <n v="16.390389996845549" u="1"/>
        <n v="16.707453823848461" u="1"/>
        <n v="15.185547454234483" u="1"/>
        <n v="15.182167583996318" u="1"/>
        <n v="15.502611281237394" u="1"/>
        <n v="18.958341958113543" u="1"/>
        <n v="19.159654447873006" u="1"/>
        <n v="19.594241897468876" u="1"/>
        <n v="20.499197153939004" u="1"/>
        <n v="20.674749478147422" u="1"/>
        <n v="21.074990040341895" u="1"/>
        <n v="18.60628636224925" u="1"/>
        <n v="18.781838686457668" u="1"/>
        <n v="19.156319083101096" u="1"/>
        <n v="17.434660205988777" u="1"/>
        <n v="17.00055527882245" u="1"/>
        <n v="17.744264715030869" u="1"/>
        <n v="17.323032821934248" u="1"/>
        <n v="17.498585146142666" u="1"/>
        <n v="17.898825708337142" u="1"/>
        <n v="16.072224274125727" u="1"/>
        <n v="16.285458850507446" u="1"/>
        <n v="16.461011174715864" u="1"/>
        <n v="16.835491571359295" u="1"/>
        <n v="16.440019843813722" u="1"/>
        <n v="16.005914916647388" u="1"/>
        <n v="16.741037631005462" u="1"/>
        <n v="13.203265936426995" u="1"/>
        <n v="14.506077337767142" u="1"/>
        <n v="14.707389827526608" u="1"/>
        <n v="14.884375621612019" u="1"/>
        <n v="14.99600300566655" u="1"/>
        <n v="13.289133154930481" u="1"/>
        <n v="14.591944556270628" u="1"/>
        <n v="14.793257046030094" u="1"/>
        <n v="14.549010947018887" u="1"/>
        <n v="15.520275560967349" u="1"/>
        <n v="15.721588050726812" u="1"/>
        <n v="15.86422695741083" u="1"/>
        <n v="15.442995064314212" u="1"/>
        <n v="15.618547388522627" u="1"/>
        <n v="16.018787950717105" u="1"/>
        <n v="16.726248604629216" u="1"/>
        <n v="16.901800928837634" u="1"/>
        <n v="17.276281325481062" u="1"/>
        <n v="15.753550520803756" u="1"/>
        <n v="15.731608242454156" u="1"/>
        <n v="16.106088639097585" u="1"/>
        <n v="17.011043895567713" u="1"/>
        <n v="17.212356385327176" u="1"/>
        <n v="17.423689066813981" u="1"/>
        <n v="17.731860105979074" u="1"/>
        <n v="17.907412430187492" u="1"/>
        <n v="18.307652992381961" u="1"/>
        <n v="14.692600801150361" u="1"/>
        <n v="14.868153125358777" u="1"/>
        <n v="15.242633522002208" u="1"/>
        <n v="15.377636654283332" u="1"/>
        <n v="15.329934210382685" u="1"/>
        <n v="15.704414607026113" u="1"/>
        <n v="15.017945284016148" u="1"/>
        <n v="15.219257773775613" u="1"/>
        <n v="15.439177177112764" u="1"/>
        <n v="15.747348216277857" u="1"/>
        <n v="15.922900540486275" u="1"/>
        <n v="16.323141102680751" u="1"/>
        <n v="13.519033211459542" u="1"/>
        <n v="13.887979415049127" u="1"/>
        <n v="14.647965222010697" u="1"/>
        <n v="13.502113562493337" u="1"/>
        <n v="13.845680292633617" u="1"/>
        <n v="14.867920658571352" u="1"/>
        <n v="17.552537369051866" u="1"/>
        <n v="23.289304708009386" u="1"/>
        <n v="15.532023825032603" u="1"/>
        <n v="14.59438170392589" u="1"/>
        <n v="16.495045419588624" u="1"/>
        <n v="19.321129966651874" u="1"/>
        <n v="19.036782007893311" u="1"/>
        <n v="21.106642213218088" u="1"/>
        <n v="19.490326456313916" u="1"/>
        <n v="19.205978497555353" u="1"/>
        <n v="20.979744845971556" u="1"/>
        <n v="25.203126607415225" u="1"/>
        <n v="24.333163082173325" u="1"/>
        <n v="24.023435649965457" u="1"/>
        <n v="20.864593376875035" u="1"/>
        <n v="22.531668080677814" u="1"/>
        <n v="19.608763999077347" u="1"/>
        <n v="19.324416040318781" u="1"/>
        <n v="19.194232599405346" u="1"/>
        <n v="18.884505167197474" u="1"/>
        <n v="22.193275101353731" u="1"/>
        <n v="19.915205357618309" u="1"/>
        <n v="20.25877208775859" u="1"/>
        <n v="19.843765296530396" u="1"/>
        <n v="11.999939809530018" u="1"/>
        <n v="14.257542717484561" u="1"/>
        <n v="12.721930297982572" u="1"/>
        <n v="14.458661044164803" u="1"/>
        <n v="13.036215658935307" u="1"/>
        <n v="14.877151217883885" u="1"/>
        <n v="13.045633586619729" u="1"/>
        <n v="15.378997646713071" u="1"/>
        <n v="11.066349752296816" u="1"/>
        <n v="13.609884204898133" u="1"/>
        <n v="11.546815966261772" u="1"/>
        <n v="14.500941685492009" u="1"/>
        <n v="10.359745743358678" u="1"/>
        <n v="12.259611901313223" u="1"/>
        <n v="13.168875652521388" u="1"/>
        <n v="12.820536366609939" u="1"/>
        <n v="12.149301232066843" u="1"/>
        <n v="10.806617322454423" u="1"/>
        <n v="10.977273216906523" u="1"/>
        <n v="10.295817880408968" u="1"/>
        <n v="11.144483855542889" u="1"/>
        <n v="13.085568679272606" u="1"/>
        <n v="13.181999469179251" u="1"/>
        <n v="9.7850184383635153" u="1"/>
        <n v="10.698440190883797" u="1"/>
        <n v="13.362892054272605" u="1"/>
        <n v="11.115370341356465" u="1"/>
        <n v="13.394321698174648" u="1"/>
        <n v="12.614061501999878" u="1"/>
        <n v="13.652191606242827" u="1"/>
        <n v="11.042370911090789" u="1"/>
        <n v="11.351123929992829" u="1"/>
        <n v="11.983669073459504" u="1"/>
        <n v="12.681369981975601" u="1"/>
        <n v="11.050978116836166" u="1"/>
        <n v="17.1687697271216" u="1"/>
        <n v="17.863992314892869" u="1"/>
        <n v="18.200959234567801" u="1"/>
        <n v="19.619244445207393" u="1"/>
        <n v="17.536976941553949" u="1"/>
        <n v="17.85404076855686" u="1"/>
        <n v="18.121346863879726" u="1"/>
        <n v="19.424772693965135" u="1"/>
        <n v="18.283342916754656" u="1"/>
        <n v="32.672529858966413" u="1"/>
        <n v="17.872558205479489" u="1"/>
        <n v="18.379860328684149" u="1"/>
        <n v="19.903923204505471" u="1"/>
        <n v="20.237410287560415" u="1"/>
        <n v="20.579108998641374" u="1"/>
        <n v="21.12746926197611" u="1"/>
        <n v="16.035744515069947" u="1"/>
        <n v="16.369231598124887" u="1"/>
        <n v="16.710930309205846" u="1"/>
        <n v="17.259290572540586" u="1"/>
        <n v="12.991931775841991" u="1"/>
        <n v="16.052167771121976" u="1"/>
        <n v="16.393866482202935" u="1"/>
        <n v="16.751988449335929" u="1"/>
        <n v="17.02115335978613" u="1"/>
        <n v="12.852334099399723" u="1"/>
        <n v="15.920781722705724" u="1"/>
        <n v="16.278903689838714" u="1"/>
        <n v="16.4235233282953" u="1"/>
        <n v="16.947248707551989" u="1"/>
        <n v="12.786641075191598" u="1"/>
        <n v="15.808099189149049" u="1"/>
        <n v="16.06768161996985" u="1"/>
        <n v="16.401168703024791" u="1"/>
        <n v="16.933105710307501" u="1"/>
        <n v="15.832734073227096" u="1"/>
        <n v="16.116951388125948" u="1"/>
        <n v="16.450438471180888" u="1"/>
        <n v="16.982375478463592" u="1"/>
        <n v="16.70636979159076" u="1"/>
        <n v="16.997427882912241" u="1"/>
        <n v="17.330914965967185" u="1"/>
        <n v="17.862851973249889" u="1"/>
        <n v="16.952718632371234" u="1"/>
        <n v="17.128813931328494" u="1"/>
        <n v="17.462301014383435" u="1"/>
        <n v="17.994238021666142" u="1"/>
        <n v="16.640215322983408" u="1"/>
        <n v="16.990125662090385" u="1"/>
        <n v="17.307189489093293" u="1"/>
        <n v="17.609200911647562" u="1"/>
        <n v="16.418501366280982" u="1"/>
        <n v="16.743776821309911" u="1"/>
        <n v="17.069052276338837" u="1"/>
        <n v="17.59277765559553" u="1"/>
        <n v="16.484194390489108" u="1"/>
        <n v="16.82589310157007" u="1"/>
        <n v="17.184015068703058" u="1"/>
        <n v="17.494238119283338" u="1"/>
        <n v="16.622882659727217" u="1"/>
        <n v="16.96458137080818" u="1"/>
        <n v="17.322703337941167" u="1"/>
        <n v="18.125624070082395" u="1"/>
        <n v="17.888396264532094" u="1"/>
        <n v="18.246518231665089" u="1"/>
        <n v="18.670333223006207" u="1"/>
        <n v="19.194058602262899" u="1"/>
        <n v="17.903448668980744" u="1"/>
        <n v="17.998798539281228" u="1"/>
        <n v="18.332285622336176" u="1"/>
        <n v="18.880645885670912" u="1"/>
        <n v="17.834565978760914" u="1"/>
        <n v="18.168053061815861" u="1"/>
        <n v="18.526175028948849" u="1"/>
        <n v="18.9759957559714" u="1"/>
        <n v="19.119244542824596" u="1"/>
        <n v="19.160302682954676" u="1"/>
        <n v="16.658009430638824" u="1"/>
        <n v="16.760200077361944" u="1"/>
        <n v="17.093687160416884" u="1"/>
        <n v="17.642047423751624" u="1"/>
        <n v="14.794404349943886" u="1"/>
        <n v="16.015670148606986" u="1"/>
        <n v="15.929902757935896" u="1"/>
        <n v="20.686321607378805" u="1"/>
        <n v="16.149797900230009" u="1"/>
        <n v="16.48328498328495" u="1"/>
        <n v="16.841406950417941" u="1"/>
        <n v="17.135206744946196" u="1"/>
        <n v="10.315823483376427" u="1"/>
        <n v="19.650272142903138" u="1"/>
        <n v="15.937975730230114" u="1"/>
        <n v="15.150339351728773" u="1"/>
        <n v="14.072042347142741" u="1"/>
        <n v="14.025027805155521" u="1"/>
        <n v="18.276691078640042" u="1"/>
        <n v="17.611752979552008" u="1"/>
        <n v="21.06471670650836" u="1"/>
        <n v="26.577327053675639" u="1"/>
        <n v="18.920330647455948" u="1"/>
        <n v="18.126664634604733" u="1"/>
        <n v="19.326889870705401" u="1"/>
        <n v="10.665997610031694" u="1"/>
        <n v="9.9661999184349419" u="1"/>
        <n v="17.239327046054743" u="1"/>
        <n v="18.519694033228131" u="1"/>
        <n v="21.094707507222846" u="1"/>
        <n v="13.120033805632907" u="1"/>
        <n v="14.271672879043116" u="1"/>
        <n v="14.664429501613398" u="1"/>
        <n v="15.05095251208064" u="1"/>
        <n v="17.876054464412221" u="1"/>
        <n v="12.992125675559775" u="1"/>
        <n v="14.600065544731809" u="1"/>
        <n v="16.981871218528376" u="1"/>
        <n v="12.510265842703216" u="1"/>
        <n v="13.706612158089587" u="1"/>
        <n v="11.428542946809477" u="1"/>
        <n v="12.581352157109237" u="1"/>
        <n v="13.365550675889851" u="1"/>
        <n v="11.098589786030013" u="1"/>
        <n v="12.316432514323139" u="1"/>
        <n v="11.543260073998679" u="1"/>
        <n v="12.373581764991295" u="1"/>
        <n v="12.267369169801881" u="1"/>
        <n v="13.298797029332503" u="1"/>
        <n v="11.506178984639938" u="1"/>
        <n v="12.392877329298942" u="1"/>
        <n v="11.047169247277685" u="1"/>
        <n v="12.733938811498678" u="1"/>
        <n v="11.885235689632903" u="1"/>
        <n v="11.994392222994025" u="1"/>
        <n v="10.923142695913649" u="1"/>
        <n v="13.554025503700146" u="1"/>
        <n v="11.288264432970601" u="1"/>
        <n v="11.019534718868593" u="1"/>
        <n v="9.7974168845717102" u="1"/>
        <n v="9.3652072650339324" u="1"/>
        <n v="12.399941911405243" u="1"/>
        <n v="11.603764531413983" u="1"/>
        <n v="19.536715798732494" u="1"/>
        <n v="12.010813230537941" u="1"/>
        <n v="12.05933575418198" u="1"/>
        <n v="11.744049144285169" u="1"/>
        <n v="16.963315987752683" u="1"/>
        <n v="17.301596337490643" u="1"/>
        <n v="129.38475162500191" u="1"/>
        <n v="9.5593275775325957" u="1"/>
        <n v="9.9573413536410307" u="1"/>
        <n v="15.673553465923254" u="1"/>
        <n v="15.334135013649838" u="1"/>
        <n v="14.95411986564557" u="1"/>
        <n v="15.033955887098186" u="1"/>
        <n v="15.201839558029429" u="1"/>
        <n v="15.463702247657773" u="1"/>
        <n v="15.670363799911552" u="1"/>
        <n v="16.02848576704454" u="1"/>
        <n v="14.416251489144392" u="1"/>
        <n v="14.559500275997589" u="1"/>
        <n v="14.790796712329412" u="1"/>
        <n v="15.140707051436388" u="1"/>
        <n v="14.523002653482594" u="1"/>
        <n v="14.690886324413839" u="1"/>
        <n v="14.642987407861128" u="1"/>
        <n v="15.001109374994121" u="1"/>
        <n v="14.490156141378533" u="1"/>
        <n v="14.452749111659383" u="1"/>
        <n v="14.684045547991209" u="1"/>
        <n v="15.124283795384358" u="1"/>
        <n v="13.63020197586013" u="1"/>
        <n v="14.463227516898646" u="1"/>
        <n v="13.676282078004522" u="1"/>
        <n v="13.870171484617199" u="1"/>
        <n v="12.78485225198544" u="1"/>
        <n v="13.264777787905281" u="1"/>
        <n v="13.41395794397695" u="1"/>
        <n v="13.977370611760334" u="1"/>
        <n v="13.328190553305864" u="1"/>
        <n v="13.850545080959169" u="1"/>
        <n v="14.693153101627086" u="1"/>
        <n v="14.316327619634524" u="1"/>
        <n v="14.402095010305608" u="1"/>
        <n v="14.189963533232584" u="1"/>
        <n v="14.712318060885888" u="1"/>
        <n v="15.611050107726829" u="1"/>
        <n v="15.696817498397914" u="1"/>
        <n v="15.92811393472974" u="1"/>
        <n v="16.204119621602572" u="1"/>
        <n v="16.995177615306854" u="1"/>
        <n v="16.834596165197468" u="1"/>
        <n v="17.065892601529292" u="1"/>
        <n v="17.325475032350099" u="1"/>
        <n v="18.495072130322431" u="1"/>
        <n v="17.799058066523827" u="1"/>
        <n v="16.213738931509269" u="1"/>
        <n v="15.693802457439757" u="1"/>
        <n v="15.562614060773656" u="1"/>
        <n v="15.62602682617424" u="1"/>
        <n v="15.817248118002754" u="1"/>
        <n v="16.201104580644419" u="1"/>
        <n v="16.391342876846164" u="1"/>
        <n v="16.708406703849075" u="1"/>
        <n v="15.186500334235095" u="1"/>
        <n v="15.183120463996929" u="1"/>
        <n v="15.503564161238007" u="1"/>
        <n v="18.959338364124157" u="1"/>
        <n v="19.160650853883613" u="1"/>
        <n v="19.595238303479483" u="1"/>
        <n v="20.500193559949615" u="1"/>
        <n v="20.675745884158029" u="1"/>
        <n v="21.075986446352506" u="1"/>
        <n v="18.607282768259864" u="1"/>
        <n v="18.782835092468279" u="1"/>
        <n v="19.157315489111706" u="1"/>
        <n v="17.435656611999391" u="1"/>
        <n v="17.001551684833061" u="1"/>
        <n v="17.745261121041477" u="1"/>
        <n v="17.324029227944859" u="1"/>
        <n v="17.499581552153277" u="1"/>
        <n v="17.899822114347753" u="1"/>
        <n v="16.073220680136338" u="1"/>
        <n v="16.286455256518057" u="1"/>
        <n v="16.462007580726475" u="1"/>
        <n v="16.836487977369909" u="1"/>
        <n v="16.441016249824333" u="1"/>
        <n v="16.006911322657999" u="1"/>
        <n v="16.742034037016072" u="1"/>
        <n v="13.204262342437605" u="1"/>
        <n v="14.507073743777756" u="1"/>
        <n v="14.708386233537219" u="1"/>
        <n v="14.88537202762263" u="1"/>
        <n v="14.996999411677161" u="1"/>
        <n v="13.290129560941091" u="1"/>
        <n v="14.592940962281242" u="1"/>
        <n v="14.794253452040705" u="1"/>
        <n v="14.550007353029498" u="1"/>
        <n v="15.521271966977961" u="1"/>
        <n v="15.722584456737422" u="1"/>
        <n v="15.865223363421441" u="1"/>
        <n v="15.443991470324825" u="1"/>
        <n v="15.619543794533238" u="1"/>
        <n v="16.019784356727715" u="1"/>
        <n v="16.727245010639823" u="1"/>
        <n v="16.902797334848241" u="1"/>
        <n v="17.277277731491672" u="1"/>
        <n v="15.754546926814367" u="1"/>
        <n v="15.732604648464767" u="1"/>
        <n v="16.107085045108196" u="1"/>
        <n v="17.012040301578327" u="1"/>
        <n v="17.213352791337787" u="1"/>
        <n v="17.424685472824592" u="1"/>
        <n v="17.732856511989684" u="1"/>
        <n v="17.908408836198102" u="1"/>
        <n v="18.308649398392575" u="1"/>
        <n v="14.693597207160972" u="1"/>
        <n v="14.86914953136939" u="1"/>
        <n v="15.243629928012819" u="1"/>
        <n v="15.378633060293943" u="1"/>
        <n v="15.330930616393298" u="1"/>
        <n v="15.705411013036725" u="1"/>
        <n v="15.018941690026759" u="1"/>
        <n v="15.220254179786224" u="1"/>
        <n v="15.440173583123379" u="1"/>
        <n v="15.748344622288467" u="1"/>
        <n v="15.923896946496885" u="1"/>
        <n v="16.324137508691361" u="1"/>
        <n v="13.520014892258173" u="1"/>
        <n v="13.888961095847758" u="1"/>
        <n v="14.648946902809328" u="1"/>
        <n v="13.503095243291968" u="1"/>
        <n v="13.846661973432248" u="1"/>
        <n v="14.868902339369983" u="1"/>
        <n v="17.5535190498505" u="1"/>
        <n v="23.290286388808013" u="1"/>
        <n v="15.533005505831236" u="1"/>
        <n v="14.595363384724521" u="1"/>
        <n v="16.496027100387259" u="1"/>
        <n v="19.322111647450505" u="1"/>
        <n v="19.037763688691943" u="1"/>
        <n v="21.107623894016719" u="1"/>
        <n v="19.491308137112547" u="1"/>
        <n v="19.206960178353985" u="1"/>
        <n v="20.980726526770184" u="1"/>
        <n v="25.204108288213853" u="1"/>
        <n v="24.334144762971956" u="1"/>
        <n v="24.024417330764084" u="1"/>
        <n v="20.865575057673663" u="1"/>
        <n v="22.532649761476442" u="1"/>
        <n v="19.609745679875978" u="1"/>
        <n v="19.325397721117408" u="1"/>
        <n v="19.195214280203977" u="1"/>
        <n v="18.885486847996106" u="1"/>
        <n v="22.194256782152362" u="1"/>
        <n v="19.91618703841694" u="1"/>
        <n v="20.259753768557218" u="1"/>
        <n v="19.844746977329027" u="1"/>
        <n v="12.008478801530018" u="1"/>
        <n v="14.266081709484563" u="1"/>
        <n v="12.730469289982576" u="1"/>
        <n v="14.467200036164803" u="1"/>
        <n v="13.044754650935307" u="1"/>
        <n v="14.885690209883885" u="1"/>
        <n v="13.054172578619729" u="1"/>
        <n v="15.387536638713074" u="1"/>
        <n v="11.074888744296814" u="1"/>
        <n v="13.618423196898133" u="1"/>
        <n v="11.555354958261772" u="1"/>
        <n v="14.509480677492009" u="1"/>
        <n v="10.368284735358678" u="1"/>
        <n v="12.268150893313225" u="1"/>
        <n v="13.177414644521388" u="1"/>
        <n v="12.82907535860994" u="1"/>
        <n v="12.157840224066844" u="1"/>
        <n v="10.815156314454423" u="1"/>
        <n v="10.985812208906525" u="1"/>
        <n v="10.30435687240897" u="1"/>
        <n v="11.153022847542889" u="1"/>
        <n v="13.094107671272607" u="1"/>
        <n v="13.190538461179251" u="1"/>
        <n v="9.7935574303635153" u="1"/>
        <n v="10.706979182883797" u="1"/>
        <n v="13.371431046272605" u="1"/>
        <n v="11.123909333356465" u="1"/>
        <n v="13.402860690174649" u="1"/>
        <n v="12.622600493999878" u="1"/>
        <n v="13.660730598242827" u="1"/>
        <n v="11.050909903090789" u="1"/>
        <n v="11.359662921992829" u="1"/>
        <n v="11.992208065459502" u="1"/>
        <n v="12.689908973975601" u="1"/>
        <n v="11.059517108836166" u="1"/>
        <n v="17.169722607122214" u="1"/>
        <n v="17.86494519489348" u="1"/>
        <n v="18.201912114568415" u="1"/>
        <n v="19.620197325208007" u="1"/>
        <n v="17.53792982155456" u="1"/>
        <n v="17.854993648557471" u="1"/>
        <n v="18.122299743880337" u="1"/>
        <n v="19.425725573965746" u="1"/>
        <n v="18.284295796755266" u="1"/>
        <n v="32.673482738967017" u="1"/>
        <n v="17.873511085480104" u="1"/>
        <n v="18.38081320868476" u="1"/>
        <n v="19.904876084506082" u="1"/>
        <n v="20.238363167561026" u="1"/>
        <n v="20.580061878641985" u="1"/>
        <n v="21.128422141976721" u="1"/>
        <n v="16.036697395070558" u="1"/>
        <n v="16.370184478125502" u="1"/>
        <n v="16.711883189206461" u="1"/>
        <n v="17.2602434525412" u="1"/>
        <n v="12.992884655842603" u="1"/>
        <n v="16.05312065112259" u="1"/>
        <n v="16.394819362203545" u="1"/>
        <n v="16.75294132933654" u="1"/>
        <n v="17.022106239786744" u="1"/>
        <n v="12.853286979400336" u="1"/>
        <n v="15.921734602706339" u="1"/>
        <n v="16.279856569839328" u="1"/>
        <n v="16.424476208295911" u="1"/>
        <n v="16.948201587552603" u="1"/>
        <n v="12.787593955192211" u="1"/>
        <n v="15.809052069149661" u="1"/>
        <n v="16.068634499970464" u="1"/>
        <n v="16.402121583025405" u="1"/>
        <n v="16.934058590308112" u="1"/>
        <n v="15.833686953227708" u="1"/>
        <n v="16.117904268126559" u="1"/>
        <n v="16.451391351181499" u="1"/>
        <n v="16.983328358464206" u="1"/>
        <n v="16.707322671591371" u="1"/>
        <n v="16.998380762912856" u="1"/>
        <n v="17.331867845967796" u="1"/>
        <n v="17.8638048532505" u="1"/>
        <n v="16.953671512371844" u="1"/>
        <n v="17.129766811329105" u="1"/>
        <n v="17.463253894384049" u="1"/>
        <n v="17.995190901666753" u="1"/>
        <n v="16.641168202984019" u="1"/>
        <n v="16.991078542090996" u="1"/>
        <n v="17.308142369093908" u="1"/>
        <n v="17.610153791648173" u="1"/>
        <n v="16.419454246281596" u="1"/>
        <n v="16.744729701310522" u="1"/>
        <n v="17.070005156339452" u="1"/>
        <n v="17.593730535596141" u="1"/>
        <n v="16.485147270489719" u="1"/>
        <n v="16.826845981570681" u="1"/>
        <n v="17.184967948703669" u="1"/>
        <n v="17.495190999283952" u="1"/>
        <n v="16.623835539727828" u="1"/>
        <n v="16.965534250808791" u="1"/>
        <n v="17.323656217941778" u="1"/>
        <n v="18.126576950083006" u="1"/>
        <n v="17.889349144532705" u="1"/>
        <n v="18.2474711116657" u="1"/>
        <n v="18.671286103006818" u="1"/>
        <n v="19.19501148226351" u="1"/>
        <n v="17.904401548981358" u="1"/>
        <n v="17.999751419281843" u="1"/>
        <n v="18.333238502336787" u="1"/>
        <n v="18.881598765671523" u="1"/>
        <n v="17.835518858761528" u="1"/>
        <n v="18.169005941816472" u="1"/>
        <n v="18.52712790894946" u="1"/>
        <n v="18.976948635972011" u="1"/>
        <n v="19.120197422825207" u="1"/>
        <n v="19.161255562955287" u="1"/>
        <n v="16.658962310639438" u="1"/>
        <n v="16.761152957362555" u="1"/>
        <n v="17.094640040417499" u="1"/>
        <n v="17.643000303752238" u="1"/>
        <n v="14.795357229944498" u="1"/>
        <n v="16.016623028607597" u="1"/>
        <n v="15.93085563793651" u="1"/>
        <n v="20.687274487379415" u="1"/>
        <n v="16.150750780230624" u="1"/>
        <n v="16.484237863285564" u="1"/>
        <n v="16.842359830418555" u="1"/>
        <n v="17.136159624946806" u="1"/>
        <n v="10.31677636337704" u="1"/>
        <n v="19.651225022903752" u="1"/>
        <n v="15.962773308007892" u="1"/>
        <n v="15.17513692950655" u="1"/>
        <n v="14.09683992492052" u="1"/>
        <n v="14.049825382933298" u="1"/>
        <n v="10.056423848775239" u="1"/>
        <n v="17.329550976395041" u="1"/>
        <n v="18.659844646191921" u="1"/>
        <n v="21.220509857742019" u="1"/>
        <n v="13.210257735973206" u="1"/>
        <n v="14.411823492006908" u="1"/>
        <n v="14.786978118132126" u="1"/>
        <n v="15.141176442420937" u="1"/>
        <n v="18.016205077376011" u="1"/>
        <n v="14.722614161250535" u="1"/>
        <n v="17.072095148868673" u="1"/>
        <n v="9.6797935057605144" u="1"/>
        <n v="10.100029034142404" u="1"/>
        <n v="15.524719409051952" u="1"/>
        <n v="13.56253378358079" u="1"/>
        <n v="18.835734451841549" u="1"/>
        <n v="20.962607257124645" u="1"/>
        <n v="18.35368827634732" u="1"/>
        <n v="9.932976345838588" u="1"/>
        <n v="17.206103473458388" u="1"/>
        <n v="18.46808568936704" u="1"/>
        <n v="21.048382893394553" u="1"/>
        <n v="13.086810233036555" u="1"/>
        <n v="14.220064535182024" u="1"/>
        <n v="14.538611495597834" u="1"/>
        <n v="15.017728939484286" u="1"/>
        <n v="17.82444612055113" u="1"/>
        <n v="14.474247538716243" u="1"/>
        <n v="16.948647645932024" u="1"/>
        <n v="9.5149691381389676" u="1"/>
        <n v="9.8108470075304393" u="1"/>
        <n v="14.415144008874766" u="1"/>
        <n v="12.594933968905558" u="1"/>
        <n v="17.486577807590237" u="1"/>
        <n v="19.459572147687986" u="1"/>
        <n v="16.406953897612937" u="1"/>
        <n v="12.706551414703215" u="1"/>
        <n v="13.902897730089586" u="1"/>
        <n v="11.624828518809476" u="1"/>
        <n v="12.777637729109236" u="1"/>
        <n v="13.56183624788985" u="1"/>
        <n v="11.29487535803001" u="1"/>
        <n v="12.512718086323137" u="1"/>
        <n v="11.739545645998676" u="1"/>
        <n v="12.569867336991294" u="1"/>
        <n v="12.46365474180188" u="1"/>
        <n v="13.4950826013325" u="1"/>
        <n v="11.702464556639937" u="1"/>
        <n v="12.589162901298941" u="1"/>
        <n v="11.243454819277686" u="1"/>
        <n v="12.930224383498677" u="1"/>
        <n v="12.081521261632902" u="1"/>
        <n v="12.190677794994022" u="1"/>
        <n v="11.119428267913648" u="1"/>
        <n v="13.750311075700145" u="1"/>
        <n v="11.4845500049706" u="1"/>
        <n v="11.215820290868594" u="1"/>
        <n v="9.993702456571711" u="1"/>
        <n v="9.5614928370339314" u="1"/>
        <n v="12.596227483405242" u="1"/>
        <n v="11.800050103413982" u="1"/>
        <n v="19.734468033010636" u="1"/>
        <n v="12.207098802537939" u="1"/>
        <n v="12.255621326181979" u="1"/>
        <n v="11.940334716285168" u="1"/>
        <n v="17.15960155975268" u="1"/>
        <n v="17.497881909490641" u="1"/>
        <n v="129.58250385928008" u="1"/>
        <n v="9.7112547101389683" u="1"/>
        <n v="10.00713257953044" u="1"/>
        <n v="12.204764373530017" u="1"/>
        <n v="14.462367281484561" u="1"/>
        <n v="12.926754861982571" u="1"/>
        <n v="14.663485608164802" u="1"/>
        <n v="13.241040222935306" u="1"/>
        <n v="15.081975781883884" u="1"/>
        <n v="13.250458150619728" u="1"/>
        <n v="15.58382221071307" u="1"/>
        <n v="11.271174316296815" u="1"/>
        <n v="13.814708768898132" u="1"/>
        <n v="11.751640530261771" u="1"/>
        <n v="14.705766249492008" u="1"/>
        <n v="10.564570307358677" u="1"/>
        <n v="12.464436465313222" u="1"/>
        <n v="13.373700216521387" u="1"/>
        <n v="13.025360930609938" u="1"/>
        <n v="12.354125796066842" u="1"/>
        <n v="11.011441886454422" u="1"/>
        <n v="11.182097780906522" u="1"/>
        <n v="10.500642444408967" u="1"/>
        <n v="11.349308419542888" u="1"/>
        <n v="13.290393243272606" u="1"/>
        <n v="13.38682403317925" u="1"/>
        <n v="9.9898430023635161" u="1"/>
        <n v="10.903264754883796" u="1"/>
        <n v="13.567716618272604" u="1"/>
        <n v="11.320194905356464" u="1"/>
        <n v="13.599146262174648" u="1"/>
        <n v="12.818886065999877" u="1"/>
        <n v="13.857016170242826" u="1"/>
        <n v="11.247195475090788" u="1"/>
        <n v="11.555948493992828" u="1"/>
        <n v="12.188493637459503" u="1"/>
        <n v="12.8861945459756" u="1"/>
        <n v="11.255802680836165" u="1"/>
        <n v="16.174810191341226" u="1"/>
        <n v="15.387173812839885" u="1"/>
        <n v="14.308876808253851" u="1"/>
        <n v="14.261862266266633" u="1"/>
        <n v="18.274611656258703" u="1"/>
        <n v="17.60967355717067" u="1"/>
        <n v="21.062637284127028" u="1"/>
        <n v="26.575247631294303" u="1"/>
        <n v="18.918251225074613" u="1"/>
        <n v="18.124585212223398" u="1"/>
        <n v="19.324810448324069" u="1"/>
        <n v="10.663918187650358" u="1"/>
        <n v="9.9308969234572544" u="1"/>
        <n v="17.204024051077049" u="1"/>
        <n v="18.466006266985705" u="1"/>
        <n v="21.046303471013218" u="1"/>
        <n v="13.084730810655218" u="1"/>
        <n v="14.217985112800688" u="1"/>
        <n v="14.536532073216497" u="1"/>
        <n v="15.01564951710295" u="1"/>
        <n v="17.822366698169791" u="1"/>
        <n v="12.990046253178438" u="1"/>
        <n v="14.472168116334906" u="1"/>
        <n v="16.946568223550685" u="1"/>
        <n v="12.702946134703216" u="1"/>
        <n v="13.899292450089586" u="1"/>
        <n v="11.621223238809476" u="1"/>
        <n v="12.774032449109237" u="1"/>
        <n v="13.55823096788985" u="1"/>
        <n v="11.291270078030012" u="1"/>
        <n v="12.509112806323138" u="1"/>
        <n v="11.735940365998678" u="1"/>
        <n v="12.566262056991295" u="1"/>
        <n v="12.460049461801882" u="1"/>
        <n v="13.491477321332502" u="1"/>
        <n v="11.698859276639938" u="1"/>
        <n v="12.585557621298943" u="1"/>
        <n v="11.239849539277687" u="1"/>
        <n v="12.926619103498677" u="1"/>
        <n v="12.077915981632902" u="1"/>
        <n v="12.187072514994023" u="1"/>
        <n v="11.115822987913649" u="1"/>
        <n v="13.746705795700144" u="1"/>
        <n v="11.480944724970602" u="1"/>
        <n v="11.212215010868594" u="1"/>
        <n v="9.9900971765717106" u="1"/>
        <n v="9.557887557033931" u="1"/>
        <n v="12.592622203405242" u="1"/>
        <n v="11.796444823413982" u="1"/>
        <n v="19.730835814055705" u="1"/>
        <n v="12.20349352253794" u="1"/>
        <n v="12.25201604618198" u="1"/>
        <n v="11.936729436285168" u="1"/>
        <n v="17.155996279752681" u="1"/>
        <n v="17.494276629490642" u="1"/>
        <n v="129.57887164032513" u="1"/>
        <n v="9.7076494301389697" u="1"/>
        <n v="10.003527299530438" u="1"/>
        <n v="15.671504773921937" u="1"/>
        <n v="15.332086321648521" u="1"/>
        <n v="14.952071173644253" u="1"/>
        <n v="15.031907195096869" u="1"/>
        <n v="15.199790866028112" u="1"/>
        <n v="15.461653555656456" u="1"/>
        <n v="15.668315107910235" u="1"/>
        <n v="16.026437075043223" u="1"/>
        <n v="14.414202797143075" u="1"/>
        <n v="14.557451583996272" u="1"/>
        <n v="14.788748020328095" u="1"/>
        <n v="15.138658359435073" u="1"/>
        <n v="14.520953961481277" u="1"/>
        <n v="14.688837632412522" u="1"/>
        <n v="14.640938715859811" u="1"/>
        <n v="14.999060682992804" u="1"/>
        <n v="14.488107449377216" u="1"/>
        <n v="14.450700419658066" u="1"/>
        <n v="14.681996855989892" u="1"/>
        <n v="15.122235103383041" u="1"/>
        <n v="13.628153283858813" u="1"/>
        <n v="14.461178824897329" u="1"/>
        <n v="13.674233386003205" u="1"/>
        <n v="13.868122792615882" u="1"/>
        <n v="12.782803559984123" u="1"/>
        <n v="13.262729095903964" u="1"/>
        <n v="13.411909251975633" u="1"/>
        <n v="13.975321919759017" u="1"/>
        <n v="13.326141861304547" u="1"/>
        <n v="13.848496388957852" u="1"/>
        <n v="14.691104409625769" u="1"/>
        <n v="14.314278927633207" u="1"/>
        <n v="14.400046318304291" u="1"/>
        <n v="14.187914841231269" u="1"/>
        <n v="14.710269368884573" u="1"/>
        <n v="15.609001415725512" u="1"/>
        <n v="15.694768806396597" u="1"/>
        <n v="15.926065242728423" u="1"/>
        <n v="16.202070929601256" u="1"/>
        <n v="16.993128923305541" u="1"/>
        <n v="16.832547473196151" u="1"/>
        <n v="17.063843909527975" u="1"/>
        <n v="17.323426340348782" u="1"/>
        <n v="18.49302343832111" u="1"/>
        <n v="17.79700937452251" u="1"/>
        <n v="16.211690239507952" u="1"/>
        <n v="15.69175376543844" u="1"/>
        <n v="15.560565368772339" u="1"/>
        <n v="15.623978134172923" u="1"/>
        <n v="15.815199426001437" u="1"/>
        <n v="16.199055888643102" u="1"/>
        <n v="16.389294184844847" u="1"/>
        <n v="16.706358011847758" u="1"/>
        <n v="15.18445164223378" u="1"/>
        <n v="15.181071771995612" u="1"/>
        <n v="15.50151546923669" u="1"/>
        <n v="18.957196091201343" u="1"/>
        <n v="19.158508580960806" u="1"/>
        <n v="19.593096030556673" u="1"/>
        <n v="20.498051287026801" u="1"/>
        <n v="20.673603611235219" u="1"/>
        <n v="21.073844173429691" u="1"/>
        <n v="18.60514049533705" u="1"/>
        <n v="18.780692819545468" u="1"/>
        <n v="19.155173216188892" u="1"/>
        <n v="17.433514339076577" u="1"/>
        <n v="16.999409411910246" u="1"/>
        <n v="17.743118848118666" u="1"/>
        <n v="17.321886955022045" u="1"/>
        <n v="17.497439279230466" u="1"/>
        <n v="17.897679841424939" u="1"/>
        <n v="16.071078407213527" u="1"/>
        <n v="16.284312983595242" u="1"/>
        <n v="16.459865307803664" u="1"/>
        <n v="16.834345704447095" u="1"/>
        <n v="16.438873976901519" u="1"/>
        <n v="16.004769049735188" u="1"/>
        <n v="16.739891764093262" u="1"/>
        <n v="13.202120069514793" u="1"/>
        <n v="14.504931470854943" u="1"/>
        <n v="14.706243960614406" u="1"/>
        <n v="14.883229754699817" u="1"/>
        <n v="14.994857138754348" u="1"/>
        <n v="13.287987288018279" u="1"/>
        <n v="14.590798689358429" u="1"/>
        <n v="14.792111179117892" u="1"/>
        <n v="14.547865080106686" u="1"/>
        <n v="15.519129694055149" u="1"/>
        <n v="15.72044218381461" u="1"/>
        <n v="15.863081090498628" u="1"/>
        <n v="15.441849197402012" u="1"/>
        <n v="15.617401521610425" u="1"/>
        <n v="16.017642083804905" u="1"/>
        <n v="16.725102737717013" u="1"/>
        <n v="16.900655061925431" u="1"/>
        <n v="17.275135458568858" u="1"/>
        <n v="15.752404653891555" u="1"/>
        <n v="15.730462375541954" u="1"/>
        <n v="16.104942772185382" u="1"/>
        <n v="17.009898028655513" u="1"/>
        <n v="17.211210518414976" u="1"/>
        <n v="17.422543199901781" u="1"/>
        <n v="17.730714239066874" u="1"/>
        <n v="17.906266563275288" u="1"/>
        <n v="18.306507125469764" u="1"/>
        <n v="14.691454934238159" u="1"/>
        <n v="14.867007258446577" u="1"/>
        <n v="15.241487655090006" u="1"/>
        <n v="15.376490787371131" u="1"/>
        <n v="15.328788343470485" u="1"/>
        <n v="15.703268740113913" u="1"/>
        <n v="15.016799417103947" u="1"/>
        <n v="15.218111906863411" u="1"/>
        <n v="15.438031310200566" u="1"/>
        <n v="15.746202349365655" u="1"/>
        <n v="15.921754673574073" u="1"/>
        <n v="16.321995235768551" u="1"/>
        <n v="13.517904278541117" u="1"/>
        <n v="13.886850482130702" u="1"/>
        <n v="14.646836289092272" u="1"/>
        <n v="13.500984629574912" u="1"/>
        <n v="13.844551359715192" u="1"/>
        <n v="14.866791725652925" u="1"/>
        <n v="17.551408436133443" u="1"/>
        <n v="23.288175775090956" u="1"/>
        <n v="15.530894892114178" u="1"/>
        <n v="14.593252771007466" u="1"/>
        <n v="16.493916486670201" u="1"/>
        <n v="19.320001033733448" u="1"/>
        <n v="19.035653074974885" u="1"/>
        <n v="21.105513280299661" u="1"/>
        <n v="19.489197523395489" u="1"/>
        <n v="19.204849564636927" u="1"/>
        <n v="20.97861591305313" u="1"/>
        <n v="25.201997674496798" u="1"/>
        <n v="24.332034149254898" u="1"/>
        <n v="24.02230671704703" u="1"/>
        <n v="20.863464443956605" u="1"/>
        <n v="22.530539147759388" u="1"/>
        <n v="19.60763506615892" u="1"/>
        <n v="19.323287107400354" u="1"/>
        <n v="19.19310366648692" u="1"/>
        <n v="18.883376234279048" u="1"/>
        <n v="22.192146168435304" u="1"/>
        <n v="19.914076424699882" u="1"/>
        <n v="20.257643154840164" u="1"/>
        <n v="19.84263636361197" u="1"/>
        <n v="12.201159093530018" u="1"/>
        <n v="14.458762001484562" u="1"/>
        <n v="12.923149581982573" u="1"/>
        <n v="14.659880328164803" u="1"/>
        <n v="13.237434942935307" u="1"/>
        <n v="15.078370501883883" u="1"/>
        <n v="13.246852870619728" u="1"/>
        <n v="15.580216930713071" u="1"/>
        <n v="11.267569036296816" u="1"/>
        <n v="13.811103488898132" u="1"/>
        <n v="11.74803525026177" u="1"/>
        <n v="14.702160969492009" u="1"/>
        <n v="10.560965027358678" u="1"/>
        <n v="12.460831185313223" u="1"/>
        <n v="13.370094936521388" u="1"/>
        <n v="13.02175565060994" u="1"/>
        <n v="12.350520516066842" u="1"/>
        <n v="11.007836606454424" u="1"/>
        <n v="11.178492500906524" u="1"/>
        <n v="10.497037164408969" u="1"/>
        <n v="11.345703139542888" u="1"/>
        <n v="13.286787963272607" u="1"/>
        <n v="13.383218753179252" u="1"/>
        <n v="9.9862377223635139" u="1"/>
        <n v="10.899659474883798" u="1"/>
        <n v="13.564111338272605" u="1"/>
        <n v="11.316589625356466" u="1"/>
        <n v="13.595540982174647" u="1"/>
        <n v="12.815280785999878" u="1"/>
        <n v="13.853410890242827" u="1"/>
        <n v="11.243590195090787" u="1"/>
        <n v="11.552343213992829" u="1"/>
        <n v="12.184888357459505" u="1"/>
        <n v="12.8825892659756" u="1"/>
        <n v="11.252197400836167" u="1"/>
        <n v="17.167673915120897" u="1"/>
        <n v="17.862896502892163" u="1"/>
        <n v="18.199863422567098" u="1"/>
        <n v="19.61814863320669" u="1"/>
        <n v="17.535881129553246" u="1"/>
        <n v="17.852944956556154" u="1"/>
        <n v="18.12025105187902" u="1"/>
        <n v="19.423676881964425" u="1"/>
        <n v="18.282247104753946" u="1"/>
        <n v="32.671434046965707" u="1"/>
        <n v="17.871462393478787" u="1"/>
        <n v="18.378764516683443" u="1"/>
        <n v="19.902827392504765" u="1"/>
        <n v="20.236314475559709" u="1"/>
        <n v="20.578013186640668" u="1"/>
        <n v="21.126373449975404" u="1"/>
        <n v="16.034648703069241" u="1"/>
        <n v="16.368135786124185" u="1"/>
        <n v="16.709834497205144" u="1"/>
        <n v="17.258194760539883" u="1"/>
        <n v="12.990835963841286" u="1"/>
        <n v="16.051071959121273" u="1"/>
        <n v="16.392770670202228" u="1"/>
        <n v="16.750892637335223" u="1"/>
        <n v="17.020057547785427" u="1"/>
        <n v="12.851238287399019" u="1"/>
        <n v="15.919685910705022" u="1"/>
        <n v="16.277807877838011" u="1"/>
        <n v="16.422427516294594" u="1"/>
        <n v="16.946152895551286" u="1"/>
        <n v="12.785545263190894" u="1"/>
        <n v="15.807003377148344" u="1"/>
        <n v="16.066585807969147" u="1"/>
        <n v="16.400072891024088" u="1"/>
        <n v="16.932009898306795" u="1"/>
        <n v="15.831638261226392" u="1"/>
        <n v="16.115855576125242" u="1"/>
        <n v="16.449342659180182" u="1"/>
        <n v="16.981279666462889" u="1"/>
        <n v="16.705273979590057" u="1"/>
        <n v="16.996332070911539" u="1"/>
        <n v="17.329819153966479" u="1"/>
        <n v="17.86175616124919" u="1"/>
        <n v="16.951622820370527" u="1"/>
        <n v="17.127718119327788" u="1"/>
        <n v="17.461205202382732" u="1"/>
        <n v="17.993142209665439" u="1"/>
        <n v="16.639119510982702" u="1"/>
        <n v="16.989029850089679" u="1"/>
        <n v="17.306093677092591" u="1"/>
        <n v="17.608105099646856" u="1"/>
        <n v="16.417405554280279" u="1"/>
        <n v="16.742681009309205" u="1"/>
        <n v="17.067956464338135" u="1"/>
        <n v="17.591681843594824" u="1"/>
        <n v="16.483098578488402" u="1"/>
        <n v="16.824797289569364" u="1"/>
        <n v="17.182919256702352" u="1"/>
        <n v="17.493142307282636" u="1"/>
        <n v="16.621786847726511" u="1"/>
        <n v="16.963485558807474" u="1"/>
        <n v="17.321607525940465" u="1"/>
        <n v="18.124528258081693" u="1"/>
        <n v="17.887300452531392" u="1"/>
        <n v="18.245422419664383" u="1"/>
        <n v="18.669237411005501" u="1"/>
        <n v="19.19296279026219" u="1"/>
        <n v="17.902352856980041" u="1"/>
        <n v="17.997702727280526" u="1"/>
        <n v="18.331189810335466" u="1"/>
        <n v="18.879550073670206" u="1"/>
        <n v="17.833470166760211" u="1"/>
        <n v="18.166957249815152" u="1"/>
        <n v="18.525079216948143" u="1"/>
        <n v="18.974899943970694" u="1"/>
        <n v="19.118148730823886" u="1"/>
        <n v="19.15920687095397" u="1"/>
        <n v="16.656913618638121" u="1"/>
        <n v="16.759104265361238" u="1"/>
        <n v="17.092591348416182" u="1"/>
        <n v="17.640951611750921" u="1"/>
        <n v="14.793308537943181" u="1"/>
        <n v="16.01457433660628" u="1"/>
        <n v="15.928806945935195" u="1"/>
        <n v="20.685225795378098" u="1"/>
        <n v="16.148702088229307" u="1"/>
        <n v="16.482189171284247" u="1"/>
        <n v="16.840311138417238" u="1"/>
        <n v="17.134110932945489" u="1"/>
        <n v="10.314727671375723" u="1"/>
        <n v="19.649176330902435" u="1"/>
        <n v="16.167299191341225" u="1"/>
        <n v="15.379662812839884" u="1"/>
        <n v="14.301365808253852" u="1"/>
        <n v="14.254351266266632" u="1"/>
        <n v="17.650676333279552" u="1"/>
        <n v="17.007849547850661" u="1"/>
        <n v="20.345991212234427" u="1"/>
        <n v="25.67528967422917" u="1"/>
        <n v="18.272912832532977" u="1"/>
        <n v="17.505638747253403" u="1"/>
        <n v="18.665952664250174" u="1"/>
        <n v="10.317235639767539" u="1"/>
        <n v="9.6612182469699732" u="1"/>
        <n v="16.69249068853372" u="1"/>
        <n v="17.941631062704886" u="1"/>
        <n v="20.427754760657471" u="1"/>
        <n v="12.710177093311774" u="1"/>
        <n v="13.834870167632252" u="1"/>
        <n v="14.129873751529329" u="1"/>
        <n v="14.576886591072061" u="1"/>
        <n v="17.319394563451457" u="1"/>
        <n v="12.606931308010003" u="1"/>
        <n v="14.06765010160399" u="1"/>
        <n v="16.443596088832347" u="1"/>
        <n v="12.340988025094251" u="1"/>
        <n v="13.461379706560168" u="1"/>
        <n v="11.290446935935028" u="1"/>
        <n v="12.366610110031361" u="1"/>
        <n v="13.130273990721816" u="1"/>
        <n v="10.971465770655339" u="1"/>
        <n v="12.115731786672749" u="1"/>
        <n v="11.40859669603385" u="1"/>
        <n v="12.165748746461343" u="1"/>
        <n v="12.111568661571052" u="1"/>
        <n v="13.06019765083591" u="1"/>
        <n v="11.365501327765545" u="1"/>
        <n v="12.189945136774448" u="1"/>
        <n v="10.926987024830645" u="1"/>
        <n v="12.521050852612797" u="1"/>
        <n v="11.700283138591795" u="1"/>
        <n v="11.799168466756109" u="1"/>
        <n v="10.806580874574424" u="1"/>
        <n v="13.30693896397873" u="1"/>
        <n v="11.161044513612925" u="1"/>
        <n v="10.861959981409591" u="1"/>
        <n v="9.6471041721034734" u="1"/>
        <n v="9.2557656554185996" u="1"/>
        <n v="12.20171765031267" u="1"/>
        <n v="11.514292136691497" u="1"/>
        <n v="19.073303440342425" u="1"/>
        <n v="11.834591276706266" u="1"/>
        <n v="11.881500271600338" u="1"/>
        <n v="11.575101637115065" u="1"/>
        <n v="16.665115768455742" u="1"/>
        <n v="17.013033414032414" u="1"/>
        <n v="125.30848760404149" u="1"/>
        <n v="9.5011962447322702" u="1"/>
        <n v="9.7970741141237419" u="1"/>
        <n v="15.158186848229086" u="1"/>
        <n v="14.830055142602031" u="1"/>
        <n v="14.4626767109241" u="1"/>
        <n v="14.539857929901029" u="1"/>
        <n v="14.702158933045149" u="1"/>
        <n v="14.955313852621002" u="1"/>
        <n v="15.155103248790722" u="1"/>
        <n v="15.501316517724032" u="1"/>
        <n v="13.942694174317589" u="1"/>
        <n v="14.081179481890912" u="1"/>
        <n v="14.30478457363143" u="1"/>
        <n v="14.643059277374478" u="1"/>
        <n v="14.045895521791039" u="1"/>
        <n v="14.208196524935158" u="1"/>
        <n v="14.161890400206655" u="1"/>
        <n v="14.508103669139965" u="1"/>
        <n v="14.014141261029978" u="1"/>
        <n v="13.977978134417464" u="1"/>
        <n v="14.201583226157979" u="1"/>
        <n v="14.627182146993947" u="1"/>
        <n v="13.182783315689578" u="1"/>
        <n v="13.988108099245192" u="1"/>
        <n v="13.227331107392807" u="1"/>
        <n v="13.414773072520813" u="1"/>
        <n v="12.365544167704439" u="1"/>
        <n v="12.829510648078642" u="1"/>
        <n v="12.973730087916504" u="1"/>
        <n v="13.518407486606449" u="1"/>
        <n v="12.890814736675036" u="1"/>
        <n v="13.395799309413656" u="1"/>
        <n v="14.21038792457262" u="1"/>
        <n v="13.846093092333055" u="1"/>
        <n v="13.929008443574521" u="1"/>
        <n v="13.72393101504071" u="1"/>
        <n v="14.228915587779326" u="1"/>
        <n v="15.097761926145324" u="1"/>
        <n v="15.18067727738679" u="1"/>
        <n v="15.40428236912731" u="1"/>
        <n v="15.671109986157969" u="1"/>
        <n v="16.435862777249614" u="1"/>
        <n v="16.280621172783121" u="1"/>
        <n v="16.504226264523638" u="1"/>
        <n v="16.755176751173771" u="1"/>
        <n v="17.991158358924974" u="1"/>
        <n v="17.29514429512637" u="1"/>
        <n v="15.762542080216448" u="1"/>
        <n v="15.255257666972049" u="1"/>
        <n v="15.121960593501763" u="1"/>
        <n v="15.18326468209816" u="1"/>
        <n v="15.370268620318303" u="1"/>
        <n v="15.745690375743223" u="1"/>
        <n v="15.929602641532416" u="1"/>
        <n v="16.236123084514396" u="1"/>
        <n v="14.764824958200872" u="1"/>
        <n v="14.757227734354334" u="1"/>
        <n v="15.071345401182855" u="1"/>
        <n v="18.310071617102025" u="1"/>
        <n v="18.504689824174605" u="1"/>
        <n v="18.924825854272147" u="1"/>
        <n v="19.799688460688458" u="1"/>
        <n v="19.969403109917074" u="1"/>
        <n v="20.356334396222657" u="1"/>
        <n v="17.969722993234509" u="1"/>
        <n v="18.139437642463122" u="1"/>
        <n v="18.501465370924745" u="1"/>
        <n v="16.837057145411567" u="1"/>
        <n v="16.442291150176981" u="1"/>
        <n v="17.136366316558139" u="1"/>
        <n v="16.729141728087718" u="1"/>
        <n v="16.898856377316335" u="1"/>
        <n v="17.285787663621925" u="1"/>
        <n v="15.544830113756277" u="1"/>
        <n v="15.726070402182735" u="1"/>
        <n v="15.89578505141135" u="1"/>
        <n v="16.257812779872971" u="1"/>
        <n v="15.875491749246521" u="1"/>
        <n v="15.480725754011937" u="1"/>
        <n v="16.174800920393093" u="1"/>
        <n v="12.754671423938868" u="1"/>
        <n v="14.014160188821199" u="1"/>
        <n v="14.208778395893779" u="1"/>
        <n v="14.379878847551671" u="1"/>
        <n v="14.479493078927529" u="1"/>
        <n v="12.854285655314726" u="1"/>
        <n v="14.113774420197057" u="1"/>
        <n v="14.308392627269638" u="1"/>
        <n v="14.072268490457118" u="1"/>
        <n v="15.011235456617767" u="1"/>
        <n v="15.205853663690345" u="1"/>
        <n v="15.318845813712322" u="1"/>
        <n v="14.911621225241907" u="1"/>
        <n v="15.08133587447052" u="1"/>
        <n v="15.46826716077611" u="1"/>
        <n v="16.152202490388692" u="1"/>
        <n v="16.321917139617305" u="1"/>
        <n v="16.683944868078928" u="1"/>
        <n v="15.211849721798764" u="1"/>
        <n v="15.19063709422365" u="1"/>
        <n v="15.552664822685271" u="1"/>
        <n v="16.427527429101588" u="1"/>
        <n v="16.622145636174167" u="1"/>
        <n v="16.834752017572001" u="1"/>
        <n v="17.132675386289286" u="1"/>
        <n v="17.302390035517899" u="1"/>
        <n v="17.689321321823485" u="1"/>
        <n v="14.186179965889384" u="1"/>
        <n v="14.355894615117997" u="1"/>
        <n v="14.71792234357962" u="1"/>
        <n v="14.84843619090786" u="1"/>
        <n v="14.785717633592805" u="1"/>
        <n v="15.147745362054426" u="1"/>
        <n v="14.484103334606667" u="1"/>
        <n v="14.678721541679247" u="1"/>
        <n v="14.891327923077082" u="1"/>
        <n v="15.189251291794367" u="1"/>
        <n v="15.358965941022982" u="1"/>
        <n v="15.74589722732857" u="1"/>
        <n v="13.076436487282454" u="1"/>
        <n v="13.433114052269273" u="1"/>
        <n v="14.16782790598095" u="1"/>
        <n v="13.060079470636172" u="1"/>
        <n v="13.392221510653568" u="1"/>
        <n v="14.380469122382616" u="1"/>
        <n v="16.975813760437998" u="1"/>
        <n v="22.521815278945148" u="1"/>
        <n v="15.022488739358893" u="1"/>
        <n v="14.116026210861255" u="1"/>
        <n v="15.953486792825958" u="1"/>
        <n v="18.685595010463828" u="1"/>
        <n v="18.41070252870842" u="1"/>
        <n v="20.411733277135948" u="1"/>
        <n v="18.849165176926654" u="1"/>
        <n v="18.574272695171238" u="1"/>
        <n v="20.289055652288827" u="1"/>
        <n v="24.371996493054805" u="1"/>
        <n v="23.530962031142295" u="1"/>
        <n v="23.231534024417464" u="1"/>
        <n v="20.177733336996237" u="1"/>
        <n v="21.78937248714438" u="1"/>
        <n v="18.963664293450631" u="1"/>
        <n v="18.688771811695219" u="1"/>
        <n v="18.562917385616714" u="1"/>
        <n v="18.26348937889188" u="1"/>
        <n v="21.462232154218736" u="1"/>
        <n v="19.259915498944068" u="1"/>
        <n v="19.592057538961473" u="1"/>
        <n v="19.190851047857613" u="1"/>
        <n v="11.93391691464246" u="1"/>
        <n v="14.079253287800352" u="1"/>
        <n v="12.655907403095016" u="1"/>
        <n v="14.280371614480593" u="1"/>
        <n v="12.970192764047747" u="1"/>
        <n v="14.698861788199673" u="1"/>
        <n v="12.979610691732169" u="1"/>
        <n v="15.200708217028861" u="1"/>
        <n v="11.000326857409256" u="1"/>
        <n v="13.438063673742633" u="1"/>
        <n v="11.480793071374212" u="1"/>
        <n v="14.329121154336509" u="1"/>
        <n v="10.309780318447196" u="1"/>
        <n v="12.111510664762985" u="1"/>
        <n v="13.037475915588375" u="1"/>
        <n v="12.650872134964008" u="1"/>
        <n v="12.005512594535743" u="1"/>
        <n v="10.701746673118302" u="1"/>
        <n v="10.824126956587126" u="1"/>
        <n v="10.205857738907778" u="1"/>
        <n v="11.022811710797654" u="1"/>
        <n v="12.914174225749884" u="1"/>
        <n v="12.955539025534497" u="1"/>
        <n v="9.709968804697251" u="1"/>
        <n v="10.554566018455549" u="1"/>
        <n v="13.135982709960409" u="1"/>
        <n v="10.994666313861211" u="1"/>
        <n v="13.207093866492793" u="1"/>
        <n v="12.456430594170936" u="1"/>
        <n v="13.41009577362437" u="1"/>
        <n v="10.930618488907777" u="1"/>
        <n v="11.223538129650686" u="1"/>
        <n v="11.802288835356959" u="1"/>
        <n v="12.513061138528514" u="1"/>
        <n v="10.930340132676148" u="1"/>
        <n v="16.424046993123103" u="1"/>
        <n v="17.097687541187558" u="1"/>
        <n v="17.423530094963358" u="1"/>
        <n v="18.789679939383944" u="1"/>
        <n v="16.781506042808665" u="1"/>
        <n v="17.088026485790653" u="1"/>
        <n v="17.346241651788102" u="1"/>
        <n v="18.609558792311841" u="1"/>
        <n v="17.506085197576692" u="1"/>
        <n v="31.408901959179175" u="1"/>
        <n v="17.104715266865423" u="1"/>
        <n v="17.595147975636596" u="1"/>
        <n v="19.064892221505321" u="1"/>
        <n v="19.387289794867833" u="1"/>
        <n v="19.717625933420617" u="1"/>
        <n v="20.247751468143118" u="1"/>
        <n v="15.325342817125108" u="1"/>
        <n v="15.647740390487623" u="1"/>
        <n v="15.978076529040404" u="1"/>
        <n v="16.508202063762905" u="1"/>
        <n v="12.566658830287246" u="1"/>
        <n v="15.341219947505639" u="1"/>
        <n v="15.67155608605842" u="1"/>
        <n v="16.017769354991728" u="1"/>
        <n v="16.277983673245213" u="1"/>
        <n v="12.431703222052736" u="1"/>
        <n v="15.214202904461393" u="1"/>
        <n v="15.560416173394705" u="1"/>
        <n v="15.700226747381116" u="1"/>
        <n v="16.206536586532824" u="1"/>
        <n v="12.368194700530612" u="1"/>
        <n v="15.166571513319802" u="1"/>
        <n v="15.417521999969928" u="1"/>
        <n v="15.739919573332442" u="1"/>
        <n v="16.254167977674417" u="1"/>
        <n v="15.190387208890598" u="1"/>
        <n v="15.465153391111521" u="1"/>
        <n v="15.787550964474034" u="1"/>
        <n v="16.301799368816006" u="1"/>
        <n v="15.973667663188953" u="1"/>
        <n v="16.438959409976245" u="1"/>
        <n v="16.761356983338757" u="1"/>
        <n v="17.275605387680731" u="1"/>
        <n v="16.211824618896909" u="1"/>
        <n v="16.565976453020493" u="1"/>
        <n v="16.888374026383005" u="1"/>
        <n v="17.402622430724975" u="1"/>
        <n v="15.909713041766379" u="1"/>
        <n v="16.247987745509423" u="1"/>
        <n v="16.554508188491411" u="1"/>
        <n v="16.846476767505955" u="1"/>
        <n v="15.695371781629214" u="1"/>
        <n v="16.009830789801466" u="1"/>
        <n v="16.324289797973716" u="1"/>
        <n v="16.83059963712542" u="1"/>
        <n v="15.758880303151338" u="1"/>
        <n v="16.089216441704117" u="1"/>
        <n v="16.435429710637433" u="1"/>
        <n v="16.735336854842238" u="1"/>
        <n v="15.954260833469608" u="1"/>
        <n v="16.284596972022388" u="1"/>
        <n v="16.6308102409557" u="1"/>
        <n v="17.407031296576427" u="1"/>
        <n v="17.116387983974974" u="1"/>
        <n v="17.462601252908286" u="1"/>
        <n v="17.872323043363718" u="1"/>
        <n v="18.378632882515426" u="1"/>
        <n v="17.008331670749623" u="1"/>
        <n v="17.100510853594443" u="1"/>
        <n v="17.422908426956958" u="1"/>
        <n v="17.953033961679459" u="1"/>
        <n v="16.941739549789137" u="1"/>
        <n v="17.264137123151652" u="1"/>
        <n v="17.61035039208496" u="1"/>
        <n v="18.045213144524279" u="1"/>
        <n v="18.49021889507959" u="1"/>
        <n v="18.529911721030921" u="1"/>
        <n v="15.926915438559996" u="1"/>
        <n v="16.209620185971186" u="1"/>
        <n v="16.532017759333701" u="1"/>
        <n v="17.062143294056206" u="1"/>
        <n v="14.309193439482883" u="1"/>
        <n v="15.489848253194953" u="1"/>
        <n v="15.406932901953486" u="1"/>
        <n v="20.005185646583705" u="1"/>
        <n v="15.496907651872583" u="1"/>
        <n v="15.819305225235096" u="1"/>
        <n v="16.16551849416841" u="1"/>
        <n v="16.449548507992684" u="1"/>
        <n v="9.9795396781968613" u="1"/>
        <n v="19.00358813290892" u="1"/>
        <n v="15.816770923950239" u="1"/>
        <n v="15.052170083311374" u="1"/>
        <n v="14.027395508525778" u="1"/>
        <n v="13.981348644043607" u="1"/>
        <n v="17.316572264390331" u="1"/>
        <n v="12.959071693013147" u="1"/>
        <n v="17.908924208773076" u="1"/>
        <n v="17.256563435988156" u="1"/>
        <n v="20.644214238980126" u="1"/>
        <n v="26.052553377724603" u="1"/>
        <n v="18.54038931369573" u="1"/>
        <n v="17.76173551992628" u="1"/>
        <n v="18.93925845568895" u="1"/>
        <n v="10.466718708888724" u="1"/>
        <n v="9.7774986784022602" u="1"/>
        <n v="17.537135939884902" u="1"/>
        <n v="14.000062209111448" u="1"/>
        <n v="13.124263734492343" u="1"/>
        <n v="12.428570878716149" u="1"/>
        <n v="13.639190779116413" u="1"/>
        <n v="11.372194413526861" u="1"/>
        <n v="12.542283047840963" u="1"/>
        <n v="13.305994074075739" u="1"/>
        <n v="11.048482327779135" u="1"/>
        <n v="12.277036856154329" u="1"/>
        <n v="11.477348016072938" u="1"/>
        <n v="12.338442639613818" u="1"/>
        <n v="12.184759369754659" u="1"/>
        <n v="13.246157426397485" u="1"/>
        <n v="11.448361963114563" u="1"/>
        <n v="12.351718876249652" u="1"/>
        <n v="10.992696897458677" u="1"/>
        <n v="12.684915581290328" u="1"/>
        <n v="11.852558173710696" u="1"/>
        <n v="11.966425480439804" u="1"/>
        <n v="10.871530361778598" u="1"/>
        <n v="13.496558245667051" u="1"/>
        <n v="11.726878602703474" u="1"/>
        <n v="11.004669925719547" u="1"/>
        <n v="9.7824431726619263" u="1"/>
        <n v="9.3313751255020652" u="1"/>
        <n v="12.296330796168291" u="1"/>
        <n v="11.57355208714916" u="1"/>
        <n v="19.348387838606101" u="1"/>
        <n v="11.924409148037689" u="1"/>
        <n v="11.972013866530002" u="1"/>
        <n v="11.664319448726401" u="1"/>
        <n v="16.777849007553314" u="1"/>
        <n v="17.120486700436022" u="1"/>
        <n v="127.14866487297135" u="1"/>
        <n v="9.5445571840915377" u="1"/>
        <n v="9.8404350534830076" u="1"/>
        <n v="14.14599992618624" u="1"/>
        <n v="14.286539157462386" u="1"/>
        <n v="14.513460613993107" u="1"/>
        <n v="14.856752387375217" u="1"/>
        <n v="14.250731888693537" u="1"/>
        <n v="14.415440034394443" u="1"/>
        <n v="14.368447127444544" u="1"/>
        <n v="14.719795205634906" u="1"/>
        <n v="14.218506669460524" u="1"/>
        <n v="14.181807194955091" u="1"/>
        <n v="14.408728651485811" u="1"/>
        <n v="14.84063977775871" u="1"/>
        <n v="13.374818565640622" u="1"/>
        <n v="14.192087400810063" u="1"/>
        <n v="13.420027061117345" u="1"/>
        <n v="13.610249043142636" u="1"/>
        <n v="12.545458659964053" u="1"/>
        <n v="13.016306388378593" u="1"/>
        <n v="13.162664796826782" u="1"/>
        <n v="13.71542049522348" u="1"/>
        <n v="13.078519699208412" u="1"/>
        <n v="13.590993873563844" u="1"/>
        <n v="14.417663935441162" u="1"/>
        <n v="14.047966119998087" u="1"/>
        <n v="14.132111217616455" u="1"/>
        <n v="13.923992214501487" u="1"/>
        <n v="14.436466388856916" u="1"/>
        <n v="15.318198889081875" u="1"/>
        <n v="15.402343986700245" u="1"/>
        <n v="15.62926544323097" u="1"/>
        <n v="15.900050473338796" u="1"/>
        <n v="16.676145578730384" u="1"/>
        <n v="16.518601532101147" u="1"/>
        <n v="16.745522988631869" u="1"/>
        <n v="17.00019540912319" u="1"/>
        <n v="18.207553250479304" u="1"/>
        <n v="17.511539186680704" u="1"/>
        <n v="15.956206415935243" u="1"/>
        <n v="15.443466669290311" u="1"/>
        <n v="15.311078818053447" u="1"/>
        <n v="15.373292128883268" u="1"/>
        <n v="15.562114511570252" u="1"/>
        <n v="15.941173155928862" u="1"/>
        <n v="16.127813088418318" u="1"/>
        <n v="16.438879642567411" u="1"/>
        <n v="14.945760182651762" u="1"/>
        <n v="14.939981403272069" u="1"/>
        <n v="15.256826736800853" u="1"/>
        <n v="18.57799235453572" u="1"/>
        <n v="18.775497011842706" u="1"/>
        <n v="19.20186422534697" u="1"/>
        <n v="20.089702222983593" u="1"/>
        <n v="20.26193396912938" u="1"/>
        <n v="20.654603967752045" u="1"/>
        <n v="18.232595901999353" u="1"/>
        <n v="18.40482764814514" u="1"/>
        <n v="18.772224735606606" u="1"/>
        <n v="17.08313109352865" u="1"/>
        <n v="16.682510186687285" u="1"/>
        <n v="17.386879422964729" u="1"/>
        <n v="16.973615145163457" u="1"/>
        <n v="17.145846891309244" u="1"/>
        <n v="17.538516889931913" u="1"/>
        <n v="15.771738593880764" u="1"/>
        <n v="15.955666919983047" u="1"/>
        <n v="16.127898666128832" u="1"/>
        <n v="16.495295753590302" u="1"/>
        <n v="16.107304386950233" u="1"/>
        <n v="15.706683480108868" u="1"/>
        <n v="16.411052716386308" u="1"/>
        <n v="12.940198091306002" u="1"/>
        <n v="14.218366771573995" u="1"/>
        <n v="14.415871428880978" u="1"/>
        <n v="14.589509530773261" u="1"/>
        <n v="14.690601175418054" u="1"/>
        <n v="13.041289735950793" u="1"/>
        <n v="14.319458416218785" u="1"/>
        <n v="14.516963073525769" u="1"/>
        <n v="14.277336897616792" u="1"/>
        <n v="15.230230009025306" u="1"/>
        <n v="15.427734666332288" u="1"/>
        <n v="15.542402642181781" u="1"/>
        <n v="15.129138364380514" u="1"/>
        <n v="15.3013701105263" u="1"/>
        <n v="15.694040109148967" u="1"/>
        <n v="16.388119121216409" u="1"/>
        <n v="16.560350867362192" u="1"/>
        <n v="16.927747954823666" u="1"/>
        <n v="15.43381965406139" u="1"/>
        <n v="15.412292414637994" u="1"/>
        <n v="15.779689502099462" u="1"/>
        <n v="16.667527499736085" u="1"/>
        <n v="16.865032157043071" u="1"/>
        <n v="17.080791777537353" u="1"/>
        <n v="17.383133751226929" u="1"/>
        <n v="17.555365497372712" u="1"/>
        <n v="17.948035495995377" u="1"/>
        <n v="14.392937833711077" u="1"/>
        <n v="14.565169579856862" u="1"/>
        <n v="14.932566667318332" u="1"/>
        <n v="15.065016210853422" u="1"/>
        <n v="15.001367452828028" u="1"/>
        <n v="15.368764540289494" u="1"/>
        <n v="14.695279807400652" u="1"/>
        <n v="14.892784464707637" u="1"/>
        <n v="15.108544085201917" u="1"/>
        <n v="15.41088605889149" u="1"/>
        <n v="15.583117805037276" u="1"/>
        <n v="15.975787803659944" u="1"/>
        <n v="13.266789191098976" u="1"/>
        <n v="13.628756764952639" u="1"/>
        <n v="14.374367415049226" u="1"/>
        <n v="13.25018957785681" u="1"/>
        <n v="13.587257731847224" u="1"/>
        <n v="14.590162387197385" u="1"/>
        <n v="17.223999483135096" u="1"/>
        <n v="22.852255676700132" u="1"/>
        <n v="15.24170402013398" u="1"/>
        <n v="14.321797430994648" u="1"/>
        <n v="16.18651002913656" u="1"/>
        <n v="18.959139092813668" u="1"/>
        <n v="18.68016958517083" u="1"/>
        <n v="20.710878315734401" u="1"/>
        <n v="19.125135225235326" u="1"/>
        <n v="18.846165717592491" u="1"/>
        <n v="20.586381216418157" u="1"/>
        <n v="24.729877571101156" u="1"/>
        <n v="23.876369434930488" u="1"/>
        <n v="23.572500507424408" u="1"/>
        <n v="20.473407841196984" u="1"/>
        <n v="22.108949771422559" u="1"/>
        <n v="19.241332517930488" u="1"/>
        <n v="18.962363010287653" u="1"/>
        <n v="18.834641993497421" u="1"/>
        <n v="18.530773065991337" u="1"/>
        <n v="21.77695750657924" u="1"/>
        <n v="19.54197752796258" u="1"/>
        <n v="19.879045681952999" u="1"/>
        <n v="19.471888758010866" u="1"/>
        <n v="11.990045241701953" u="1"/>
        <n v="14.242890389310649" u="1"/>
        <n v="12.712035730154509" u="1"/>
        <n v="14.444008715990888" u="1"/>
        <n v="13.026321091107242" u="1"/>
        <n v="14.86249888970997" u="1"/>
        <n v="13.035739018791665" u="1"/>
        <n v="15.36434531853916" u="1"/>
        <n v="11.056455184468749" u="1"/>
        <n v="13.598911506477185" u="1"/>
        <n v="11.536921398433707" u="1"/>
        <n v="14.489968987071061" u="1"/>
        <n v="10.36253612800097" u="1"/>
        <n v="12.262131178653144" u="1"/>
        <n v="13.107335206778304" u="1"/>
        <n v="12.810790211439979" u="1"/>
        <n v="12.154273595908739" u="1"/>
        <n v="10.76603411441752" u="1"/>
        <n v="10.976922790929407" u="1"/>
        <n v="10.267013556808825" u="1"/>
        <n v="11.103188614407669" u="1"/>
        <n v="12.992433525287085" u="1"/>
        <n v="13.139946572668537" u="1"/>
        <n v="9.7679929992001284" u="1"/>
        <n v="10.703363900885927" u="1"/>
        <n v="13.311738844852302" u="1"/>
        <n v="11.07462578331228" u="1"/>
        <n v="13.301025194181845" u="1"/>
        <n v="12.531799164417519" u="1"/>
        <n v="13.60124500979054" u="1"/>
        <n v="10.996351294852303" u="1"/>
        <n v="11.304942963747063" u="1"/>
        <n v="11.958945123545634" u="1"/>
        <n v="15.938366466490658" u="1"/>
        <n v="11.013568635832863" u="1"/>
        <n v="16.65732570468257" u="1"/>
        <n v="17.337830790141663" u="1"/>
        <n v="17.668341477517593" u="1"/>
        <n v="19.064873020851284" u="1"/>
        <n v="17.017042169379145" u="1"/>
        <n v="17.328108723528242" u="1"/>
        <n v="17.590564944610225" u="1"/>
        <n v="18.866036760322455" u="1"/>
        <n v="17.74619716538572" u="1"/>
        <n v="31.871255106012129" u="1"/>
        <n v="17.3475132792747" u="1"/>
        <n v="17.845219765913249" u="1"/>
        <n v="19.344167071930404" u="1"/>
        <n v="19.671346235695999" u="1"/>
        <n v="20.006581704269852" u="1"/>
        <n v="20.54456971494967" u="1"/>
        <n v="15.549155111311473" u="1"/>
        <n v="15.876334275077072" u="1"/>
        <n v="16.211569743650927" u="1"/>
        <n v="16.749557754330741" u="1"/>
        <n v="12.74955612396964" u="1"/>
        <n v="15.565267720927981" u="1"/>
        <n v="15.900503189501832" u="1"/>
        <n v="16.251851267692192" u="1"/>
        <n v="16.515924914891389" u="1"/>
        <n v="12.612598942229331" u="1"/>
        <n v="15.436366843995923" u="1"/>
        <n v="15.787714922186282" u="1"/>
        <n v="15.929599075362052" u="1"/>
        <n v="16.443418171617108" u="1"/>
        <n v="12.548148503763302" u="1"/>
        <n v="15.388029015146403" u="1"/>
        <n v="15.642701435637719" u="1"/>
        <n v="15.96988059940332" u="1"/>
        <n v="16.49175600046663" u="1"/>
        <n v="15.412197929571164" u="1"/>
        <n v="15.691039264487239" u="1"/>
        <n v="16.01821842825284" u="1"/>
        <n v="16.540093829316149" u="1"/>
        <n v="16.207095488378503" u="1"/>
        <n v="16.679288138692669" u="1"/>
        <n v="17.006467302458269" u="1"/>
        <n v="17.528342703521581" u="1"/>
        <n v="16.448784632626111" u="1"/>
        <n v="16.80818901562473" u="1"/>
        <n v="17.135368179390326" u="1"/>
        <n v="17.657243580453635" u="1"/>
        <n v="16.142192333749442" u="1"/>
        <n v="16.485484107131548" u="1"/>
        <n v="16.796550661280641" u="1"/>
        <n v="17.092849527712847" u="1"/>
        <n v="15.924672103926595" u="1"/>
        <n v="16.243794962883939" u="1"/>
        <n v="16.562917821841285" u="1"/>
        <n v="17.076736918096341" u="1"/>
        <n v="15.989122542392623" u="1"/>
        <n v="16.324358010966474" u="1"/>
        <n v="16.675706089156836" u="1"/>
        <n v="16.980061260397299" u="1"/>
        <n v="16.187400829226164" u="1"/>
        <n v="16.52263629780002" u="1"/>
        <n v="16.873984375990375" u="1"/>
        <n v="17.661717835726051" u="1"/>
        <n v="17.366763891193472" u="1"/>
        <n v="17.718111969383827" u="1"/>
        <n v="18.133910486040214" u="1"/>
        <n v="18.64772958229527" u="1"/>
        <n v="17.257104957250714" u="1"/>
        <n v="17.350651281576962" u="1"/>
        <n v="17.677830445342561" u="1"/>
        <n v="18.215818456022379" u="1"/>
        <n v="17.189525185411892" u="1"/>
        <n v="17.516704349177491" u="1"/>
        <n v="17.86805242736785" u="1"/>
        <n v="18.309364780348623" u="1"/>
        <n v="18.76097056577386" u="1"/>
        <n v="18.801252089815129" u="1"/>
        <n v="16.159649865265568" u="1"/>
        <n v="16.446547504989905" u="1"/>
        <n v="16.773726668755504" u="1"/>
        <n v="17.311714679435319" u="1"/>
        <n v="14.517934869265527" u="1"/>
        <n v="15.716100384648586" u="1"/>
        <n v="15.631955287030216" u="1"/>
        <n v="20.298406315429638" u="1"/>
        <n v="15.723264483720255" u="1"/>
        <n v="16.050443647485857" u="1"/>
        <n v="16.401791725676215" u="1"/>
        <n v="16.690034287300172" u="1"/>
        <n v="10.124066509036593" u="1"/>
        <n v="19.281953761100581" u="1"/>
        <n v="15.959612770887865" u="1"/>
        <n v="15.185249350032853" u="1"/>
        <n v="14.136445767546666" u="1"/>
        <n v="14.090013731815352" u="1"/>
        <n v="17.87252668264027" u="1"/>
        <n v="18.223874760830633" u="1"/>
        <n v="18.575222839020988" u="1"/>
        <n v="19.137379764125566" u="1"/>
        <n v="19.980615151782434" u="1"/>
        <n v="20.331963229972789" u="1"/>
        <n v="20.683311308163148" u="1"/>
        <n v="21.245468233267726" u="1"/>
        <n v="15.694168597860036" u="1"/>
        <n v="16.045516676050397" u="1"/>
        <n v="16.396864754240756" u="1"/>
        <n v="16.959021679345334" u="1"/>
        <n v="12.532035894146794" u="1"/>
        <n v="16.537403985516899" u="1"/>
        <n v="16.888752063707262" u="1"/>
        <n v="17.240100141897624" u="1"/>
        <n v="17.802257067002198" u="1"/>
        <n v="16.748212832431118" u="1"/>
        <n v="17.310369757535696" u="1"/>
        <n v="17.099560910621474" u="1"/>
        <n v="18.01306591391641" u="1"/>
        <n v="19.067110148487494" u="1"/>
        <n v="16.256325522964612" u="1"/>
        <n v="16.607673601154975" u="1"/>
        <n v="17.521178604449908" u="1"/>
        <n v="14.429315516374738" u="1"/>
        <n v="15.764438213498108" u="1"/>
        <n v="15.623898982221963" u="1"/>
        <n v="21.386007464543869" u="1"/>
        <n v="9.7212512686239148" u="1"/>
        <n v="13.200390738130311" u="1"/>
        <n v="13.562358311983976" u="1"/>
        <n v="14.648261033544966" u="1"/>
        <n v="17.688788653915744" u="1"/>
        <n v="23.914630924198757" u="1"/>
        <n v="15.299802666481561" u="1"/>
        <n v="14.21389994492057" u="1"/>
        <n v="16.385705388042549" u="1"/>
        <n v="19.498626523184061" u="1"/>
        <n v="19.136658949330396" u="1"/>
        <n v="21.308464392452379" u="1"/>
        <n v="19.910345536144359" u="1"/>
        <n v="25.941649337779275" u="1"/>
        <n v="24.855746616218283" u="1"/>
        <n v="24.493779042364622" u="1"/>
        <n v="20.946496818598714" u="1"/>
        <n v="22.756334687867035" u="1"/>
        <n v="20.222561670891388" u="1"/>
        <n v="20.584529244745056" u="1"/>
        <n v="20.077774641349926" u="1"/>
        <n v="14.242675583885283" u="1"/>
        <n v="14.383214815161429" u="1"/>
        <n v="14.594023662075642" u="1"/>
        <n v="14.945371740266006" u="1"/>
        <n v="12.907552886761918" u="1"/>
        <n v="13.048092118038062" u="1"/>
        <n v="13.258900964952275" u="1"/>
        <n v="12.134587114743125" u="1"/>
        <n v="12.275126346019267" u="1"/>
        <n v="12.485935192933486" u="1"/>
        <n v="12.837283271123843" u="1"/>
        <n v="12.345395961657339" u="1"/>
        <n v="12.696744039847701" u="1"/>
        <n v="12.767013655485773" u="1"/>
        <n v="13.118361733676132" u="1"/>
        <n v="13.469709811866492" u="1"/>
        <n v="14.875102124627929" u="1"/>
        <n v="15.015641355904076" u="1"/>
        <n v="15.226450202818295" u="1"/>
        <n v="15.577798281008652" u="1"/>
        <n v="15.999415974837088" u="1"/>
        <n v="16.139955206113232" u="1"/>
        <n v="16.350764053027444" u="1"/>
        <n v="16.702112131217806" u="1"/>
        <n v="16.983190593770097" u="1"/>
        <n v="14.804832508989861" u="1"/>
        <n v="15.085910971542148" u="1"/>
        <n v="15.366989434094437" u="1"/>
        <n v="15.929146359199011" u="1"/>
        <n v="10.804420311156651" u="1"/>
        <n v="13.394419958755496" u="1"/>
        <n v="13.175002088094889" u="1"/>
        <n v="10.186586765936939" u="1"/>
        <n v="12.370469895672672" u="1"/>
        <n v="13.319885459551196" u="1"/>
        <n v="13.101862797874688" u="1"/>
        <n v="12.22419131523227" u="1"/>
        <n v="10.760289343640956" u="1"/>
        <n v="10.615126930387829" u="1"/>
        <n v="9.6128841882329183" u="1"/>
        <n v="10.300627982440961" u="1"/>
        <n v="13.686977119636301" u="1"/>
        <n v="12.790313849362871" u="1"/>
        <n v="13.665035332570239" u="1"/>
        <n v="11.025075148735121" u="1"/>
        <n v="12.437266109237321" u="1"/>
        <n v="11.113337083766506" u="1"/>
        <n v="12.589887766333277" u="1"/>
        <n v="11.201599018797896" u="1"/>
        <n v="12.569659011784404" u="1"/>
        <n v="11.712216283690855" u="1"/>
        <n v="10.848551278672344" u="1"/>
        <n v="11.127101961929242" u="1"/>
        <n v="8.4209482237817816" u="1"/>
        <n v="7.8476454876051687" u="1"/>
        <n v="17.712672623644018" u="1"/>
        <n v="17.142083344662872" u="1"/>
        <n v="20.922237317912959" u="1"/>
        <n v="26.984748407087622" u="1"/>
        <n v="18.42590922237045" u="1"/>
        <n v="18.996498501351592" u="1"/>
        <n v="18.468476406170534" u="1"/>
        <n v="18.615435241155122" u="1"/>
        <n v="18.982832328616592" u="1"/>
        <n v="19.938064756016409" u="1"/>
        <n v="20.085023591000997" u="1"/>
        <n v="20.452420678462463" u="1"/>
        <n v="16.998888056324656" u="1"/>
        <n v="17.513243978770713" u="1"/>
        <n v="16.117135046417136" u="1"/>
        <n v="15.896696793940251" u="1"/>
        <n v="16.043655628924839" u="1"/>
        <n v="12.443164171802445" u="1"/>
        <n v="13.83927310415603" u="1"/>
        <n v="13.986231939140616" u="1"/>
        <n v="14.353629026602084" u="1"/>
        <n v="14.867984949048139" u="1"/>
        <n v="15.014943784032726" u="1"/>
        <n v="15.382340871494195" u="1"/>
        <n v="16.337573298894014" u="1"/>
        <n v="16.484532133878602" u="1"/>
        <n v="16.851929221340068" u="1"/>
        <n v="15.088423201525019" u="1"/>
        <n v="15.235382036509609" u="1"/>
        <n v="15.602779123971075" u="1"/>
        <n v="16.558011551370896" u="1"/>
        <n v="16.704970386355484" u="1"/>
        <n v="17.072367473816954" u="1"/>
        <n v="17.366285143786129" u="1"/>
        <n v="17.88064106623218" u="1"/>
        <n v="13.912752521648322" u="1"/>
        <n v="14.059711356632908" u="1"/>
        <n v="14.427108444094378" u="1"/>
        <n v="14.500587861586672" u="1"/>
        <n v="14.647546696571258" u="1"/>
        <n v="14.206670191617496" u="1"/>
        <n v="14.721026114063553" u="1"/>
        <n v="15.161902619017312" u="1"/>
        <n v="15.529299706478783" u="1"/>
        <n v="15.273438600605871" u="1"/>
        <n v="14.981022538491557" u="1"/>
        <n v="11.995956434080382" u="1"/>
        <n v="9.0111861191815574" u="1"/>
        <n v="19.684110813233389" u="1"/>
        <n v="10.672027408609569" u="1"/>
        <n v="17.732982211120575" u="1"/>
        <n v="13.921826580166371" u="1"/>
        <n v="144.21310121814466" u="1"/>
        <n v="8.4654790328248808" u="1"/>
        <n v="9.2169799494191107" u="1"/>
        <n v="17.284730664408158" u="1"/>
        <n v="13.005311072049571" u="1"/>
        <n v="11.37812288886067" u="1"/>
        <n v="17.615199964936693" u="1"/>
        <n v="17.961413233870008" u="1"/>
        <n v="18.30762650280332" u="1"/>
        <n v="18.861567733096617" u="1"/>
        <n v="19.692479578536567" u="1"/>
        <n v="20.038692847469875" u="1"/>
        <n v="20.38490611640319" u="1"/>
        <n v="20.938847346696484" u="1"/>
        <n v="15.468677697550168" u="1"/>
        <n v="15.814890966483478" u="1"/>
        <n v="16.16110423541679" u="1"/>
        <n v="16.715045465710087" u="1"/>
        <n v="12.352758277150365" u="1"/>
        <n v="16.299589542990113" u="1"/>
        <n v="16.645802811923428" u="1"/>
        <n v="16.992016080856736" u="1"/>
        <n v="17.545957311150033" u="1"/>
        <n v="16.507317504350102" u="1"/>
        <n v="17.061258734643403" u="1"/>
        <n v="16.85353077328341" u="1"/>
        <n v="17.407472003576711" u="1"/>
        <n v="17.753685272510019" u="1"/>
        <n v="18.792325079309958" u="1"/>
        <n v="16.022618927843464" u="1"/>
        <n v="16.368832196776776" u="1"/>
        <n v="17.268986696003385" u="1"/>
        <n v="14.222309929390246" u="1"/>
        <n v="15.537920351336828" u="1"/>
        <n v="15.399435043763502" u="1"/>
        <n v="21.077332654269807" u="1"/>
        <n v="9.5830521256838761" u="1"/>
        <n v="13.011462448066691" u="1"/>
        <n v="13.368140013053511" u="1"/>
        <n v="14.438172708013971" u="1"/>
        <n v="17.434264253903265" u="1"/>
        <n v="23.569118371676577" u="1"/>
        <n v="15.080192324990248" u="1"/>
        <n v="14.010159630029788" u="1"/>
        <n v="16.15022501995071" u="1"/>
        <n v="19.217652078837371" u="1"/>
        <n v="18.860974513850547" u="1"/>
        <n v="21.001039903771474" u="1"/>
        <n v="19.6232369247499" u="1"/>
        <n v="25.566512735602775" u="1"/>
        <n v="24.496480040642311" u="1"/>
        <n v="24.139802475655493" u="1"/>
        <n v="20.644362338784649" u="1"/>
        <n v="22.427750163718756" u="1"/>
        <n v="19.931007208811003" u="1"/>
        <n v="20.287684773797832" u="1"/>
        <n v="19.78833618281628" u="1"/>
        <n v="14.038397663601057" u="1"/>
        <n v="14.176882971174381" u="1"/>
        <n v="14.384610932534367" u="1"/>
        <n v="14.730824201467678" u="1"/>
        <n v="12.722787241654473" u="1"/>
        <n v="12.861272549227799" u="1"/>
        <n v="13.069000510587784" u="1"/>
        <n v="13.415213779521096" u="1"/>
        <n v="11.96111805000119" u="1"/>
        <n v="12.099603357574514" u="1"/>
        <n v="12.3073313189345" u="1"/>
        <n v="12.653544587867811" u="1"/>
        <n v="12.168846011361175" u="1"/>
        <n v="12.515059280294487" u="1"/>
        <n v="12.58430193408115" u="1"/>
        <n v="12.930515203014462" u="1"/>
        <n v="13.27672847194777" u="1"/>
        <n v="14.661581547681015" u="1"/>
        <n v="14.80006685525434" u="1"/>
        <n v="15.007794816614329" u="1"/>
        <n v="15.354008085547639" u="1"/>
        <n v="15.769464008267612" u="1"/>
        <n v="15.907949315840936" u="1"/>
        <n v="16.11567727720092" u="1"/>
        <n v="16.461890546134235" u="1"/>
        <n v="16.738861161280884" u="1"/>
        <n v="14.592338893894356" u="1"/>
        <n v="14.869309509041003" u="1"/>
        <n v="15.146280124187653" u="1"/>
        <n v="15.700221354480949" u="1"/>
        <n v="10.742230535749883" u="1"/>
        <n v="13.208631946587127" u="1"/>
        <n v="12.992420778861213" u="1"/>
        <n v="10.128274229567488" u="1"/>
        <n v="12.199646497199517" u="1"/>
        <n v="13.241909782349643" u="1"/>
        <n v="12.920350389619239" u="1"/>
        <n v="12.055505718715573" u="1"/>
        <n v="10.698376513879712" u="1"/>
        <n v="10.46995715539218" u="1"/>
        <n v="9.5581719452552623" u="1"/>
        <n v="10.160054481651699" u="1"/>
        <n v="13.496913503555019" u="1"/>
        <n v="12.715661519907586" u="1"/>
        <n v="13.475292386782426" u="1"/>
        <n v="10.96150064510074" u="1"/>
        <n v="12.364829344946218" u="1"/>
        <n v="11.049208688841082" u="1"/>
        <n v="12.415857664925433" u="1"/>
        <n v="11.136916732581424" u="1"/>
        <n v="12.496391410556731" u="1"/>
        <n v="11.551012994021765" u="1"/>
        <n v="10.786084557620054" u="1"/>
        <n v="10.974449880085984" u="1"/>
        <n v="8.3078454781330109" u="1"/>
        <n v="7.804011070448416" u="1"/>
        <n v="17.457740202849976" u="1"/>
        <n v="16.89548985410228" u="1"/>
        <n v="20.620398414555773" u="1"/>
        <n v="26.594308370000057" u="1"/>
        <n v="18.160553138784596" u="1"/>
        <n v="18.722803487532296" u="1"/>
        <n v="18.202617037558085" u="1"/>
        <n v="18.347428128942735" u="1"/>
        <n v="18.709455857404357" u="1"/>
        <n v="19.65072795140458" u="1"/>
        <n v="19.795539042789226" u="1"/>
        <n v="20.157566771250849" u="1"/>
        <n v="16.754506123711593" u="1"/>
        <n v="16.899317215096243" u="1"/>
        <n v="17.261344943557869" u="1"/>
        <n v="15.885639575403699" u="1"/>
        <n v="15.668422938326723" u="1"/>
        <n v="15.813234029711374" u="1"/>
        <n v="16.175261758172997" u="1"/>
        <n v="12.265362290787472" u="1"/>
        <n v="13.641067658941639" u="1"/>
        <n v="13.785878750326289" u="1"/>
        <n v="14.147906478787908" u="1"/>
        <n v="14.654745298634181" u="1"/>
        <n v="14.799556390018829" u="1"/>
        <n v="15.161584118480452" u="1"/>
        <n v="16.10285621248067" u="1"/>
        <n v="16.24766730386532" u="1"/>
        <n v="16.609695032326947" u="1"/>
        <n v="14.871961935711155" u="1"/>
        <n v="15.016773027095804" u="1"/>
        <n v="15.378800755557426" u="1"/>
        <n v="16.320072849557647" u="1"/>
        <n v="16.464883940942297" u="1"/>
        <n v="16.82691166940392" u="1"/>
        <n v="17.116533852173216" u="1"/>
        <n v="17.623372672019489" u="1"/>
        <n v="13.713473204633962" u="1"/>
        <n v="13.858284296018612" u="1"/>
        <n v="14.220312024480235" u="1"/>
        <n v="14.292717570172558" u="1"/>
        <n v="14.437528661557208" u="1"/>
        <n v="14.003095387403258" u="1"/>
        <n v="14.509934207249531" u="1"/>
        <n v="14.944367481403477" u="1"/>
        <n v="15.306395209865101" u="1"/>
        <n v="15.159828557195622" u="1"/>
        <n v="14.869838196606997" u="1"/>
        <n v="11.926289126244505" u="1"/>
        <n v="8.8834223844475897" u="1"/>
        <n v="19.406475994162662" u="1"/>
        <n v="10.61066847013937" u="1"/>
        <n v="17.627311969366758" u="1"/>
        <n v="13.819428668252634" u="1"/>
        <n v="142.1155258546556" u="1"/>
        <n v="8.417967376630811" u="1"/>
        <n v="9.086208621559857" u="1"/>
        <n v="17.036052441289204" u="1"/>
        <n v="12.819174825681472" u="1"/>
        <n v="11.31233282006211" u="1"/>
        <n v="18.181488804283219" u="1"/>
        <n v="17.604925690347443" u="1"/>
        <n v="17.872893541440504" u="1"/>
        <n v="18.224241619630867" u="1"/>
        <n v="18.575589697821222" u="1"/>
        <n v="19.137746622925803" u="1"/>
        <n v="19.980982010582668" u="1"/>
        <n v="20.332330088773023" u="1"/>
        <n v="20.683678166963386" u="1"/>
        <n v="21.245835092067964" u="1"/>
        <n v="15.694535456660274" u="1"/>
        <n v="16.045883534850635" u="1"/>
        <n v="16.397231613040994" u="1"/>
        <n v="16.959388538145568" u="1"/>
        <n v="12.53240275294703" u="1"/>
        <n v="16.537770844317134" u="1"/>
        <n v="16.8891189225075" u="1"/>
        <n v="17.240467000697858" u="1"/>
        <n v="17.802623925802436" u="1"/>
        <n v="16.748579691231356" u="1"/>
        <n v="17.31073661633593" u="1"/>
        <n v="17.099927769421715" u="1"/>
        <n v="17.662084694526293" u="1"/>
        <n v="18.013432772716644" u="1"/>
        <n v="19.067477007287728" u="1"/>
        <n v="16.25669238176485" u="1"/>
        <n v="16.608040459955212" u="1"/>
        <n v="17.521545463250146" u="1"/>
        <n v="14.429682375174975" u="1"/>
        <n v="15.764805072298344" u="1"/>
        <n v="15.624265841022199" u="1"/>
        <n v="21.386374323344103" u="1"/>
        <n v="9.7216181274241507" u="1"/>
        <n v="13.200768685237785" u="1"/>
        <n v="13.56273625909145" u="1"/>
        <n v="14.648638980652439" u="1"/>
        <n v="17.689166601023217" u="1"/>
        <n v="23.915008871306231" u="1"/>
        <n v="15.300180613589035" u="1"/>
        <n v="14.214277892028043" u="1"/>
        <n v="16.386083335150026" u="1"/>
        <n v="19.499004470291531" u="1"/>
        <n v="19.137036896437866" u="1"/>
        <n v="21.308842339559849" u="1"/>
        <n v="19.910712394944593" u="1"/>
        <n v="25.942027284886745" u="1"/>
        <n v="24.856124563325753" u="1"/>
        <n v="24.494156989472092" u="1"/>
        <n v="20.946874765706184" u="1"/>
        <n v="22.756712634974505" u="1"/>
        <n v="20.222939617998858" u="1"/>
        <n v="20.584907191852526" u="1"/>
        <n v="20.078152588457396" u="1"/>
        <n v="14.243042442685519" u="1"/>
        <n v="14.383581673961666" u="1"/>
        <n v="14.594390520875878" u="1"/>
        <n v="14.945738599066242" u="1"/>
        <n v="12.907919745562152" u="1"/>
        <n v="13.048458976838297" u="1"/>
        <n v="13.259267823752511" u="1"/>
        <n v="13.610615901942873" u="1"/>
        <n v="12.134953973543361" u="1"/>
        <n v="12.275493204819503" u="1"/>
        <n v="12.486302051733722" u="1"/>
        <n v="12.83765012992408" u="1"/>
        <n v="12.345762820457576" u="1"/>
        <n v="12.697110898647937" u="1"/>
        <n v="12.767380514286009" u="1"/>
        <n v="13.118728592476369" u="1"/>
        <n v="13.470076670666728" u="1"/>
        <n v="14.875468983428169" u="1"/>
        <n v="15.016008214704312" u="1"/>
        <n v="15.226817061618529" u="1"/>
        <n v="15.578165139808888" u="1"/>
        <n v="15.999782833637322" u="1"/>
        <n v="16.140322064913466" u="1"/>
        <n v="16.351130911827681" u="1"/>
        <n v="16.702478990018044" u="1"/>
        <n v="16.983557452570334" u="1"/>
        <n v="14.805199367790095" u="1"/>
        <n v="15.086277830342384" u="1"/>
        <n v="15.367356292894673" u="1"/>
        <n v="15.929513217999251" u="1"/>
        <n v="10.80937351115665" u="1"/>
        <n v="13.399373158755495" u="1"/>
        <n v="13.17995528809489" u="1"/>
        <n v="10.191539965936938" u="1"/>
        <n v="12.375423095672671" u="1"/>
        <n v="13.324838659551196" u="1"/>
        <n v="13.106815997874687" u="1"/>
        <n v="12.229144515232269" u="1"/>
        <n v="10.765242543640957" u="1"/>
        <n v="10.62008013038783" u="1"/>
        <n v="9.6178373882329193" u="1"/>
        <n v="10.305581182440962" u="1"/>
        <n v="13.691930319636302" u="1"/>
        <n v="12.79526704936287" u="1"/>
        <n v="13.669988532570239" u="1"/>
        <n v="11.030028348735121" u="1"/>
        <n v="12.44221930923732" u="1"/>
        <n v="11.118290283766507" u="1"/>
        <n v="12.594840966333276" u="1"/>
        <n v="11.206552218797896" u="1"/>
        <n v="12.574612211784403" u="1"/>
        <n v="11.717169483690855" u="1"/>
        <n v="10.853504478672345" u="1"/>
        <n v="11.132055161929243" u="1"/>
        <n v="8.4259014237817809" u="1"/>
        <n v="7.8525986876051688" u="1"/>
        <n v="18.445984183949413" u="1"/>
        <n v="17.860869862187798" u="1"/>
        <n v="20.922609679595197" u="1"/>
        <n v="26.98512076876986" u="1"/>
        <n v="18.426281584052688" u="1"/>
        <n v="17.713044985326256" u="1"/>
        <n v="18.996870863033831" u="1"/>
        <n v="18.46886002248462" u="1"/>
        <n v="18.615818857469208" u="1"/>
        <n v="18.983215944930674" u="1"/>
        <n v="19.938448372330491" u="1"/>
        <n v="20.085407207315079" u="1"/>
        <n v="20.452804294776548" u="1"/>
        <n v="16.999271672638745" u="1"/>
        <n v="17.146230507623333" u="1"/>
        <n v="17.513627595084802" u="1"/>
        <n v="16.117518662731218" u="1"/>
        <n v="15.897080410254338" u="1"/>
        <n v="16.044039245238924" u="1"/>
        <n v="16.411436332700394" u="1"/>
        <n v="12.443547788116531" u="1"/>
        <n v="13.839656720470115" u="1"/>
        <n v="13.986615555454701" u="1"/>
        <n v="14.354012642916169" u="1"/>
        <n v="14.868368565362225" u="1"/>
        <n v="15.015327400346811" u="1"/>
        <n v="15.382724487808281" u="1"/>
        <n v="16.3379569152081" u="1"/>
        <n v="16.484915750192688" u="1"/>
        <n v="16.852312837654157" u="1"/>
        <n v="15.088806817839105" u="1"/>
        <n v="15.235765652823694" u="1"/>
        <n v="15.60316274028516" u="1"/>
        <n v="16.558395167684981" u="1"/>
        <n v="16.705354002669573" u="1"/>
        <n v="17.072751090131039" u="1"/>
        <n v="17.366668760100215" u="1"/>
        <n v="17.881024682546268" u="1"/>
        <n v="13.913136137962407" u="1"/>
        <n v="14.060094972946994" u="1"/>
        <n v="14.427492060408463" u="1"/>
        <n v="14.500971477900757" u="1"/>
        <n v="14.647930312885343" u="1"/>
        <n v="14.207053807931583" u="1"/>
        <n v="14.721409730377639" u="1"/>
        <n v="15.162286235331397" u="1"/>
        <n v="15.529683322792868" u="1"/>
        <n v="15.283757767272537" u="1"/>
        <n v="14.991341705158224" u="1"/>
        <n v="12.000909634080383" u="1"/>
        <n v="9.0115584808637959" u="1"/>
        <n v="19.689101023959761" u="1"/>
        <n v="10.676980608609568" u="1"/>
        <n v="17.737935411120574" u="1"/>
        <n v="13.932145746833038" u="1"/>
        <n v="144.21809142887105" u="1"/>
        <n v="8.47043223282488" u="1"/>
        <n v="9.2173523111013491" u="1"/>
        <n v="11.383076088860671" u="1"/>
        <n v="12.618743179300097" u="1"/>
        <n v="17.873174641040688" u="1"/>
        <n v="18.224522719231047" u="1"/>
        <n v="18.575870797421405" u="1"/>
        <n v="19.138027722525983" u="1"/>
        <n v="19.981263110182852" u="1"/>
        <n v="20.332611188373207" u="1"/>
        <n v="20.683959266563566" u="1"/>
        <n v="21.246116191668143" u="1"/>
        <n v="15.694816556260454" u="1"/>
        <n v="16.046164634450815" u="1"/>
        <n v="16.397512712641173" u="1"/>
        <n v="16.959669637745751" u="1"/>
        <n v="12.532683852547212" u="1"/>
        <n v="16.538051943917317" u="1"/>
        <n v="16.889400022107679" u="1"/>
        <n v="17.240748100298042" u="1"/>
        <n v="17.802905025402616" u="1"/>
        <n v="16.748860790831536" u="1"/>
        <n v="17.311017715936114" u="1"/>
        <n v="17.100208869021895" u="1"/>
        <n v="17.662365794126469" u="1"/>
        <n v="18.013713872316828" u="1"/>
        <n v="19.067758106887911" u="1"/>
        <n v="16.25697348136503" u="1"/>
        <n v="16.608321559555389" u="1"/>
        <n v="17.521826562850325" u="1"/>
        <n v="14.429963474775155" u="1"/>
        <n v="15.765086171898524" u="1"/>
        <n v="15.62454694062238" u="1"/>
        <n v="21.386655422944287" u="1"/>
        <n v="9.7218992270243323" u="1"/>
        <n v="13.201058281073381" u="1"/>
        <n v="13.563025854927046" u="1"/>
        <n v="14.648928576488036" u="1"/>
        <n v="17.689456196858814" u="1"/>
        <n v="23.915298467141827" u="1"/>
        <n v="15.300470209424629" u="1"/>
        <n v="14.21456748786364" u="1"/>
        <n v="16.386372930985619" u="1"/>
        <n v="19.499294066127131" u="1"/>
        <n v="19.137326492273466" u="1"/>
        <n v="21.309131935395449" u="1"/>
        <n v="19.910993494544776" u="1"/>
        <n v="25.942316880722345" u="1"/>
        <n v="24.85641415916135" u="1"/>
        <n v="24.494446585307692" u="1"/>
        <n v="20.947164361541784" u="1"/>
        <n v="22.757002230810102" u="1"/>
        <n v="20.223229213834458" u="1"/>
        <n v="20.585196787688126" u="1"/>
        <n v="20.078442184292992" u="1"/>
        <n v="14.243323542285701" u="1"/>
        <n v="14.383862773561846" u="1"/>
        <n v="14.59467162047606" u="1"/>
        <n v="14.946019698666422" u="1"/>
        <n v="12.908200845162334" u="1"/>
        <n v="13.048740076438479" u="1"/>
        <n v="13.259548923352693" u="1"/>
        <n v="13.610897001543053" u="1"/>
        <n v="12.135235073143541" u="1"/>
        <n v="12.275774304419684" u="1"/>
        <n v="12.486583151333903" u="1"/>
        <n v="12.83793122952426" u="1"/>
        <n v="12.346043920057756" u="1"/>
        <n v="12.697391998248118" u="1"/>
        <n v="12.76766161388619" u="1"/>
        <n v="13.119009692076549" u="1"/>
        <n v="13.47035777026691" u="1"/>
        <n v="14.875750083028347" u="1"/>
        <n v="15.016289314304494" u="1"/>
        <n v="15.227098161218711" u="1"/>
        <n v="15.57844623940907" u="1"/>
        <n v="16.000063933237502" u="1"/>
        <n v="16.140603164513649" u="1"/>
        <n v="16.351412011427861" u="1"/>
        <n v="16.702760089618224" u="1"/>
        <n v="16.983838552170514" u="1"/>
        <n v="14.805480467390279" u="1"/>
        <n v="15.086558929942566" u="1"/>
        <n v="15.367637392494855" u="1"/>
        <n v="15.929794317599429" u="1"/>
        <n v="10.810542791156649" u="1"/>
        <n v="13.400542438755492" u="1"/>
        <n v="13.181124568094889" u="1"/>
        <n v="10.192709245936937" u="1"/>
        <n v="12.37659237567267" u="1"/>
        <n v="13.326007939551197" u="1"/>
        <n v="13.107985277874686" u="1"/>
        <n v="12.230313795232266" u="1"/>
        <n v="10.766411823640956" u="1"/>
        <n v="10.621249410387829" u="1"/>
        <n v="9.6190066682329203" u="1"/>
        <n v="10.306750462440961" u="1"/>
        <n v="13.693099599636302" u="1"/>
        <n v="12.796436329362869" u="1"/>
        <n v="13.671157812570238" u="1"/>
        <n v="11.03119762873512" u="1"/>
        <n v="12.443388589237319" u="1"/>
        <n v="11.119459563766506" u="1"/>
        <n v="12.596010246333275" u="1"/>
        <n v="11.207721498797895" u="1"/>
        <n v="12.575781491784403" u="1"/>
        <n v="11.718338763690854" u="1"/>
        <n v="12.619912459300096" u="1"/>
        <n v="11.133224441929244" u="1"/>
        <n v="8.4270707037817818" u="1"/>
        <n v="7.8537679676051679" u="1"/>
        <n v="18.447153463949412" u="1"/>
        <n v="17.8620391421878" u="1"/>
        <n v="20.922894995689383" u="1"/>
        <n v="26.985406084864046" u="1"/>
        <n v="18.426566900146874" u="1"/>
        <n v="17.713330301420442" u="1"/>
        <n v="18.997156179128016" u="1"/>
        <n v="18.469153962257749" u="1"/>
        <n v="18.616112797242337" u="1"/>
        <n v="18.983509884703807" u="1"/>
        <n v="19.938742312103624" u="1"/>
        <n v="20.085701147088212" u="1"/>
        <n v="20.453098234549678" u="1"/>
        <n v="16.999565612411875" u="1"/>
        <n v="17.146524447396462" u="1"/>
        <n v="17.513921534857932" u="1"/>
        <n v="16.117812602504351" u="1"/>
        <n v="15.897374350027468" u="1"/>
        <n v="16.044333185012054" u="1"/>
        <n v="16.411730272473527" u="1"/>
        <n v="12.443841727889662" u="1"/>
        <n v="13.839950660243245" u="1"/>
        <n v="13.986909495227831" u="1"/>
        <n v="14.354306582689299" u="1"/>
        <n v="14.868662505135356" u="1"/>
        <n v="15.015621340119942" u="1"/>
        <n v="15.383018427581412" u="1"/>
        <n v="16.338250854981229" u="1"/>
        <n v="16.485209689965817" u="1"/>
        <n v="16.852606777427287" u="1"/>
        <n v="15.089100757612236" u="1"/>
        <n v="15.236059592596826" u="1"/>
        <n v="15.603456680058292" u="1"/>
        <n v="16.558689107458111" u="1"/>
        <n v="16.705647942442702" u="1"/>
        <n v="17.073045029904172" u="1"/>
        <n v="17.366962699873344" u="1"/>
        <n v="17.881318622319402" u="1"/>
        <n v="13.913430077735537" u="1"/>
        <n v="14.060388912720123" u="1"/>
        <n v="14.427786000181593" u="1"/>
        <n v="14.501265417673887" u="1"/>
        <n v="14.648224252658473" u="1"/>
        <n v="14.207347747704711" u="1"/>
        <n v="14.72170367015077" u="1"/>
        <n v="15.162580175104528" u="1"/>
        <n v="15.529977262566" u="1"/>
        <n v="15.286193767272538" u="1"/>
        <n v="14.993777705158223" u="1"/>
        <n v="12.002078914080384" u="1"/>
        <n v="9.0118437969579794" u="1"/>
        <n v="19.690279040918117" u="1"/>
        <n v="10.678149888609569" u="1"/>
        <n v="17.739104691120577" u="1"/>
        <n v="13.934581746833038" u="1"/>
        <n v="144.21926944582938" u="1"/>
        <n v="8.4716015128248792" u="1"/>
        <n v="9.2176376271955327" u="1"/>
        <n v="11.38424536886067" u="1"/>
        <n v="13.855579549739522" u="1"/>
        <n v="18.061255581753905" u="1"/>
        <n v="18.204968774251924" u="1"/>
        <n v="18.564251755496961" u="1"/>
        <n v="19.498387506734062" u="1"/>
        <n v="19.642100699232078" u="1"/>
        <n v="20.001383680477112" u="1"/>
        <n v="16.624123656773751" u="1"/>
        <n v="16.767836849271767" u="1"/>
        <n v="17.127119830516808" u="1"/>
        <n v="15.761844501785662" u="1"/>
        <n v="15.546274713038637" u="1"/>
        <n v="15.68998790553665" u="1"/>
        <n v="16.049270886781692" u="1"/>
        <n v="12.169014689335274" u="1"/>
        <n v="13.534290018066423" u="1"/>
        <n v="13.678003210564437" u="1"/>
        <n v="14.037286191809475" u="1"/>
        <n v="14.540282365552528" u="1"/>
        <n v="14.683995558050542" u="1"/>
        <n v="15.043278539295583" u="1"/>
        <n v="15.977414290532682" u="1"/>
        <n v="16.121127483030698" u="1"/>
        <n v="16.480410464275735" u="1"/>
        <n v="14.75585215429955" u="1"/>
        <n v="14.899565346797567" u="1"/>
        <n v="15.258848328042605" u="1"/>
        <n v="16.192984079279707" u="1"/>
        <n v="16.336697271777723" u="1"/>
        <n v="16.695980253022764" u="1"/>
        <n v="16.983406638018792" u="1"/>
        <n v="17.486402811761845" u="1"/>
        <n v="13.606146614315429" u="1"/>
        <n v="13.749859806813443" u="1"/>
        <n v="14.109142788058483" u="1"/>
        <n v="14.180999384307491" u="1"/>
        <n v="14.324712576805505" u="1"/>
        <n v="13.893572999311459" u="1"/>
        <n v="14.396569173054514" u="1"/>
        <n v="14.827708750548556" u="1"/>
        <n v="15.186991731793599" u="1"/>
        <n v="17.872152677240027" u="1"/>
        <n v="18.223500755430393" u="1"/>
        <n v="18.574848833620752" u="1"/>
        <n v="19.13700575872533" u="1"/>
        <n v="19.980241146382195" u="1"/>
        <n v="20.33158922457255" u="1"/>
        <n v="20.682937302762912" u="1"/>
        <n v="21.24509422786749" u="1"/>
        <n v="15.693794592459797" u="1"/>
        <n v="16.045142670650158" u="1"/>
        <n v="16.396490748840517" u="1"/>
        <n v="16.958647673945091" u="1"/>
        <n v="12.531661888746555" u="1"/>
        <n v="16.53702998011666" u="1"/>
        <n v="16.888378058307023" u="1"/>
        <n v="17.239726136497382" u="1"/>
        <n v="17.801883061601959" u="1"/>
        <n v="16.747838827030879" u="1"/>
        <n v="17.309995752135453" u="1"/>
        <n v="17.099186905221238" u="1"/>
        <n v="17.661343830325816" u="1"/>
        <n v="18.012691908516171" u="1"/>
        <n v="19.066736143087255" u="1"/>
        <n v="16.255951517564373" u="1"/>
        <n v="16.607299595754736" u="1"/>
        <n v="17.520804599049669" u="1"/>
        <n v="14.428941510974498" u="1"/>
        <n v="15.764064208097867" u="1"/>
        <n v="15.623524976821724" u="1"/>
        <n v="21.38563345914363" u="1"/>
        <n v="9.7208772632236755" u="1"/>
        <n v="13.20000542841685" u="1"/>
        <n v="13.561973002270514" u="1"/>
        <n v="14.647875723831504" u="1"/>
        <n v="17.688403344202282" u="1"/>
        <n v="23.914245614485296" u="1"/>
        <n v="15.299417356768098" u="1"/>
        <n v="14.213514635207106" u="1"/>
        <n v="16.385320078329091" u="1"/>
        <n v="19.4982412134706" u="1"/>
        <n v="19.136273639616935" u="1"/>
        <n v="21.308079082738917" u="1"/>
        <n v="19.909971530744119" u="1"/>
        <n v="25.941264028065813" u="1"/>
        <n v="24.855361306504822" u="1"/>
        <n v="24.49339373265116" u="1"/>
        <n v="20.946111508885252" u="1"/>
        <n v="22.755949378153574" u="1"/>
        <n v="20.222176361177926" u="1"/>
        <n v="20.584143935031594" u="1"/>
        <n v="20.077389331636464" u="1"/>
        <n v="14.242301578485042" u="1"/>
        <n v="14.38284080976119" u="1"/>
        <n v="14.593649656675403" u="1"/>
        <n v="14.944997734865765" u="1"/>
        <n v="12.907178881361675" u="1"/>
        <n v="13.047718112637822" u="1"/>
        <n v="13.258526959552036" u="1"/>
        <n v="13.609875037742396" u="1"/>
        <n v="12.134213109342884" u="1"/>
        <n v="12.274752340619028" u="1"/>
        <n v="12.485561187533246" u="1"/>
        <n v="12.836909265723603" u="1"/>
        <n v="12.345021956257099" u="1"/>
        <n v="12.69637003444746" u="1"/>
        <n v="12.766639650085533" u="1"/>
        <n v="13.117987728275892" u="1"/>
        <n v="13.469335806466251" u="1"/>
        <n v="14.874728119227692" u="1"/>
        <n v="15.015267350503835" u="1"/>
        <n v="15.226076197418053" u="1"/>
        <n v="15.577424275608413" u="1"/>
        <n v="15.999041969436846" u="1"/>
        <n v="16.139581200712989" u="1"/>
        <n v="16.350390047627204" u="1"/>
        <n v="16.701738125817567" u="1"/>
        <n v="16.982816588369857" u="1"/>
        <n v="14.80445850358962" u="1"/>
        <n v="15.085536966141909" u="1"/>
        <n v="15.366615428694198" u="1"/>
        <n v="15.928772353798774" u="1"/>
        <n v="10.80455023115665" u="1"/>
        <n v="13.394549878755496" u="1"/>
        <n v="13.17513200809489" u="1"/>
        <n v="10.186716685936938" u="1"/>
        <n v="12.370599815672671" u="1"/>
        <n v="13.320015379551196" u="1"/>
        <n v="13.101992717874687" u="1"/>
        <n v="12.224321235232269" u="1"/>
        <n v="10.760419263640957" u="1"/>
        <n v="10.61525685038783" u="1"/>
        <n v="13.849586989739523" u="1"/>
        <n v="9.6130141082329192" u="1"/>
        <n v="10.300757902440962" u="1"/>
        <n v="13.687107039636302" u="1"/>
        <n v="12.79044376936287" u="1"/>
        <n v="13.665165252570239" u="1"/>
        <n v="11.025205068735122" u="1"/>
        <n v="12.43739602923732" u="1"/>
        <n v="11.113467003766507" u="1"/>
        <n v="12.590017686333276" u="1"/>
        <n v="11.201728938797896" u="1"/>
        <n v="12.569788931784403" u="1"/>
        <n v="11.712346203690855" u="1"/>
        <n v="12.613919899300097" u="1"/>
        <n v="11.378252808860671" u="1"/>
        <n v="11.127231881929243" u="1"/>
        <n v="8.4210781437817808" u="1"/>
        <n v="7.8477754076051678" u="1"/>
        <n v="18.441160903949417" u="1"/>
        <n v="17.856046582187798" u="1"/>
        <n v="20.921857702431716" u="1"/>
        <n v="26.984368791606379" u="1"/>
        <n v="18.425529606889206" u="1"/>
        <n v="17.712293008162774" u="1"/>
        <n v="18.996118885870349" u="1"/>
        <n v="18.060210537753907" u="1"/>
        <n v="18.203923730251923" u="1"/>
        <n v="18.563206711496964" u="1"/>
        <n v="19.497342462734064" u="1"/>
        <n v="19.64105565523208" u="1"/>
        <n v="20.000338636477114" u="1"/>
        <n v="16.623078612773753" u="1"/>
        <n v="16.766791805271769" u="1"/>
        <n v="17.126074786516806" u="1"/>
        <n v="15.760799457785659" u="1"/>
        <n v="15.545229669038635" u="1"/>
        <n v="15.688942861536649" u="1"/>
        <n v="16.04822584278169" u="1"/>
        <n v="13.533244974066422" u="1"/>
        <n v="13.676958166564436" u="1"/>
        <n v="14.036241147809474" u="1"/>
        <n v="14.539237321552529" u="1"/>
        <n v="14.682950514050543" u="1"/>
        <n v="15.042233495295582" u="1"/>
        <n v="15.976369246532681" u="1"/>
        <n v="16.120082439030696" u="1"/>
        <n v="16.479365420275737" u="1"/>
        <n v="14.75480711029955" u="1"/>
        <n v="14.898520302797568" u="1"/>
        <n v="15.257803284042604" u="1"/>
        <n v="16.191939035279706" u="1"/>
        <n v="16.335652227777725" u="1"/>
        <n v="16.694935209022759" u="1"/>
        <n v="16.982361594018791" u="1"/>
        <n v="17.485357767761844" u="1"/>
        <n v="13.605101570315428" u="1"/>
        <n v="13.748814762813442" u="1"/>
        <n v="14.108097744058481" u="1"/>
        <n v="14.179954340307491" u="1"/>
        <n v="14.323667532805505" u="1"/>
        <n v="13.89252795531146" u="1"/>
        <n v="14.395524129054515" u="1"/>
        <n v="14.826663706548556" u="1"/>
        <n v="15.185946687793598" u="1"/>
        <n v="15.273709267272537" u="1"/>
        <n v="14.981293205158224" u="1"/>
        <n v="11.996086354080383" u="1"/>
        <n v="9.0108065037003122" u="1"/>
        <n v="19.684241704006538" u="1"/>
        <n v="10.672157328609568" u="1"/>
        <n v="17.733112131120574" u="1"/>
        <n v="13.922097246833038" u="1"/>
        <n v="144.21323210891782" u="1"/>
        <n v="8.4656089528248799" u="1"/>
        <n v="9.2166003339378655" u="1"/>
        <n v="17.871630975439693" u="1"/>
        <n v="18.222979053630056" u="1"/>
        <n v="18.574327131820411" u="1"/>
        <n v="19.136484056924992" u="1"/>
        <n v="19.979719444581857" u="1"/>
        <n v="20.331067522772212" u="1"/>
        <n v="20.682415600962575" u="1"/>
        <n v="21.244572526067152" u="1"/>
        <n v="15.693272890659463" u="1"/>
        <n v="16.044620968849824" u="1"/>
        <n v="16.395969047040182" u="1"/>
        <n v="16.958125972144757" u="1"/>
        <n v="12.531140186946219" u="1"/>
        <n v="16.536508278316322" u="1"/>
        <n v="16.887856356506688" u="1"/>
        <n v="17.239204434697047" u="1"/>
        <n v="17.801361359801625" u="1"/>
        <n v="16.747317125230545" u="1"/>
        <n v="17.309474050335119" u="1"/>
        <n v="17.098665203420904" u="1"/>
        <n v="17.660822128525481" u="1"/>
        <n v="18.012170206715833" u="1"/>
        <n v="19.066214441286917" u="1"/>
        <n v="16.255429815764039" u="1"/>
        <n v="16.606777893954401" u="1"/>
        <n v="17.520282897249334" u="1"/>
        <n v="14.428419809174164" u="1"/>
        <n v="15.763542506297533" u="1"/>
        <n v="15.623003275021388" u="1"/>
        <n v="21.385111757343292" u="1"/>
        <n v="9.7203555614233395" u="1"/>
        <n v="13.1994679581796" u="1"/>
        <n v="13.561435532033265" u="1"/>
        <n v="14.647338253594253" u="1"/>
        <n v="17.687865873965034" u="1"/>
        <n v="23.913708144248044" u="1"/>
        <n v="15.298879886530848" u="1"/>
        <n v="14.212977164969857" u="1"/>
        <n v="16.38478260809184" u="1"/>
        <n v="19.497703743233348" u="1"/>
        <n v="19.135736169379683" u="1"/>
        <n v="21.307541612501662" u="1"/>
        <n v="19.909449828943782" u="1"/>
        <n v="25.940726557828558" u="1"/>
        <n v="24.854823836267567" u="1"/>
        <n v="24.492856262413909" u="1"/>
        <n v="20.945574038647997" u="1"/>
        <n v="22.755411907916319" u="1"/>
        <n v="20.221638890940671" u="1"/>
        <n v="20.58360646479434" u="1"/>
        <n v="20.076851861399209" u="1"/>
        <n v="14.241779876684708" u="1"/>
        <n v="14.382319107960855" u="1"/>
        <n v="14.593127954875069" u="1"/>
        <n v="14.944476033065431" u="1"/>
        <n v="12.906657179561341" u="1"/>
        <n v="13.047196410837486" u="1"/>
        <n v="13.2580052577517" u="1"/>
        <n v="13.609353335942062" u="1"/>
        <n v="12.13369140754255" u="1"/>
        <n v="12.274230638818691" u="1"/>
        <n v="12.48503948573291" u="1"/>
        <n v="12.836387563923269" u="1"/>
        <n v="12.344500254456765" u="1"/>
        <n v="12.695848332647126" u="1"/>
        <n v="12.766117948285197" u="1"/>
        <n v="13.117466026475558" u="1"/>
        <n v="13.468814104665917" u="1"/>
        <n v="14.874206417427358" u="1"/>
        <n v="15.014745648703501" u="1"/>
        <n v="15.225554495617718" u="1"/>
        <n v="15.576902573808077" u="1"/>
        <n v="15.998520267636511" u="1"/>
        <n v="16.139059498912655" u="1"/>
        <n v="16.34986834582687" u="1"/>
        <n v="16.701216424017232" u="1"/>
        <n v="16.982294886569523" u="1"/>
        <n v="14.803936801789284" u="1"/>
      </sharedItems>
    </cacheField>
    <cacheField name="Present Value (R$/M2)" numFmtId="0">
      <sharedItems containsBlank="1" containsMixedTypes="1" containsNumber="1" minValue="0.29480122976613449" maxValue="10.076943425497538" count="8000">
        <n v="0.38850742582717368"/>
        <n v="0.29523645770641405"/>
        <n v="0.58211129666666672"/>
        <n v="1.8516858513905168"/>
        <n v="1.6880642042787628"/>
        <n v="1.6607939297601368"/>
        <n v="1.7108987827411326"/>
        <n v="1.6393143121297404"/>
        <n v="1.6154528219259428"/>
        <n v="1.4388777944178412"/>
        <n v="1.5009176689477146"/>
        <n v="0.59261654666666663"/>
        <n v="1.3004811512358161"/>
        <n v="1.2766196610320186"/>
        <n v="1.4054717081325248"/>
        <n v="0.58913936995150673"/>
        <n v="0.51480281857620336"/>
        <n v="0.71457608819852747"/>
        <n v="0.78335366753475222"/>
        <n v="0.79515244815012653"/>
        <n v="0.66202098857650626"/>
        <n v="0.39398122718374479"/>
        <n v="1.1350362826392117"/>
        <n v="1.0984968015108072"/>
        <n v="0.36528761625431316"/>
        <n v="1.5771421929252813"/>
        <n v="2.0338857070303424"/>
        <n v="1.3890713341761387"/>
        <n v="1.3353368031049551"/>
        <n v="1.4320589590330854"/>
        <n v="0.50983164302738615"/>
        <n v="0.43454856155446209"/>
        <n v="1.3030960844622448"/>
        <n v="1.5717687398181632"/>
        <n v="0.83929569990583597"/>
        <n v="0.85810278578075039"/>
        <n v="0.90982227193676446"/>
        <n v="0.98034884396769295"/>
        <n v="1.1214019880295503"/>
        <n v="0.90512050046803594"/>
        <n v="1.2467802095688831"/>
        <n v="1.0399775245983744"/>
        <n v="1.6120691400035303"/>
        <n v="1.1182623474277948"/>
        <n v="1.1407620279255812"/>
        <n v="1.1632617084233672"/>
        <n v="1.1992611972198253"/>
        <n v="0.54994356747926243"/>
        <n v="1.3261908466198935"/>
        <n v="1.4051778951598313"/>
        <n v="1.0523163812254339"/>
        <n v="1.0253167646280903"/>
        <n v="1.0298167007276475"/>
        <n v="1.034316636827205"/>
        <n v="1.0433165090263194"/>
        <n v="1.0613162534245484"/>
        <n v="1.0748160617232201"/>
        <n v="1.0973157422210063"/>
        <n v="0.9848173397320753"/>
        <n v="0.99381721193118966"/>
        <n v="1.0073170202298614"/>
        <n v="0.95698428346592956"/>
        <n v="0.9665135599120509"/>
        <n v="0.98080747458123263"/>
        <n v="1.0046306656965358"/>
        <n v="0.78232021525199891"/>
        <n v="1.0883158700218918"/>
        <n v="0.87481394076727992"/>
        <n v="0.88407851508989788"/>
        <n v="0.89797537657382442"/>
        <n v="0.92113681238036915"/>
        <n v="0.91281836213915912"/>
        <n v="0.9218182343382737"/>
        <n v="0.93531804263694518"/>
        <n v="0.95781772313473157"/>
        <n v="0.79132008745111337"/>
        <n v="0.80481989574978507"/>
        <n v="0.82731957624757124"/>
        <n v="1.2380192720299223"/>
        <n v="1.2062550172095181"/>
        <n v="1.2115490596795855"/>
        <n v="1.2168431021496529"/>
        <n v="1.2274311870897874"/>
        <n v="1.2486073569700569"/>
        <n v="1.264489484380259"/>
        <n v="1.2909596967305956"/>
        <n v="1.0144934775381713"/>
        <n v="1.0230962965520307"/>
        <n v="1.0360005250728199"/>
        <n v="1.0575075726074683"/>
        <n v="0.9800822014827334"/>
        <n v="0.9886850204965929"/>
        <n v="1.0015892490173821"/>
        <n v="1.3078473117281035"/>
        <n v="1.2700280589608601"/>
        <n v="1.9454459226861784"/>
        <n v="1.6350711768524722"/>
        <n v="2.1322925013588678"/>
        <n v="1.8846635199043011"/>
        <n v="2.1378553592177747"/>
        <n v="1.9797024922217248"/>
        <n v="0.72122861174391406"/>
        <n v="1.2471436479269495"/>
        <n v="1.0912506919360809"/>
        <n v="1.155784703631098"/>
        <n v="1.1789461394376424"/>
        <n v="1.2021075752441872"/>
        <n v="1.2391658725346588"/>
        <n v="1.2397606221158406"/>
        <n v="1.262260302613627"/>
        <n v="1.2847599831114132"/>
        <n v="1.320759471907871"/>
        <n v="1.1326232678245531"/>
        <n v="1.216004436728114"/>
        <n v="0.82689231517816353"/>
        <n v="1.2031010384040253"/>
        <n v="1.1268668268350555"/>
        <n v="1.1506900179503583"/>
        <n v="1.1888071237348437"/>
        <n v="1.18821071376026"/>
        <n v="1.1140941191793174"/>
        <n v="1.1372555549858621"/>
        <n v="1.1743138522763334"/>
        <n v="1.1317621557264665"/>
        <n v="1.1857613889211538"/>
        <n v="1.2217608777176117"/>
        <n v="1.1441051375298619"/>
        <n v="1.1675974509907858"/>
        <n v="1.1910897644517098"/>
        <n v="1.2286774659891879"/>
        <n v="1.2037611333193829"/>
        <n v="1.2262608138171691"/>
        <n v="1.2487604943149553"/>
        <n v="1.2252690110507316"/>
        <n v="1.2484304468572767"/>
        <n v="1.2715918826638211"/>
        <n v="1.3086501799542927"/>
        <n v="1.1592568435103283"/>
        <n v="1.1807638910449767"/>
        <n v="1.2022709385796253"/>
        <n v="1.2366822146350631"/>
        <n v="1.2576950211798943"/>
        <n v="1.3132824671156014"/>
        <n v="0.95271612014764617"/>
        <n v="0.97589585348847796"/>
        <n v="1.0454350535109738"/>
        <n v="1.2401448135739608"/>
        <n v="1.6851956937179322"/>
        <n v="1.5735290513005351"/>
        <n v="1.039195695280744"/>
        <n v="0.97272440114159409"/>
        <n v="1.1056669894198943"/>
        <n v="0.79379404649999985"/>
        <n v="0.92715560699999988"/>
        <n v="0.90719319599999992"/>
        <n v="1.0432218719999999"/>
        <n v="1.105057296"/>
        <n v="1.1633751360000002"/>
        <n v="0.69760843424999963"/>
        <n v="0.79880550750000012"/>
        <n v="0.87499999439999998"/>
        <n v="0.79075665899999992"/>
        <n v="0.711784584"/>
        <n v="0.72501139409999993"/>
        <n v="0.78586724159999988"/>
        <n v="0.82638888359999996"/>
        <n v="0.87868012049999999"/>
        <n v="0.7455603329999998"/>
        <n v="0.81324611549999992"/>
        <n v="0.93149229599999983"/>
        <n v="0.81505575899999982"/>
        <n v="0.72863317799999983"/>
        <n v="1.1799021779999996"/>
        <n v="1.2706638839999995"/>
        <n v="9.4750609718331624"/>
        <n v="0.54241072199999985"/>
        <n v="0.45200893499999995"/>
        <n v="0.84145042800000003"/>
        <n v="0.79176845159999987"/>
        <n v="0.84960030959999977"/>
        <n v="0.91923458759999999"/>
        <n v="0.76247835299999989"/>
        <n v="0.78993055049999994"/>
        <n v="0.84991172174999996"/>
        <n v="0.75886820100000008"/>
        <n v="0.77376007800000013"/>
        <n v="0.60219564300000006"/>
        <n v="0.59028908400000013"/>
        <n v="0.75683749049999982"/>
        <n v="0.7233683729999999"/>
        <n v="0.93334057631772804"/>
        <n v="1.0232983943860445"/>
        <n v="1.2481929395568359"/>
        <n v="0.94683424902797531"/>
        <n v="1.036792067096292"/>
        <n v="1.2616866122670831"/>
        <n v="1.0637794125167868"/>
        <n v="1.1537372305851032"/>
        <n v="1.3786317757558946"/>
        <n v="1.1177541033577767"/>
        <n v="1.2077119214260932"/>
        <n v="1.4326064665968843"/>
        <n v="0.91490486638551194"/>
        <n v="0.90950739730141272"/>
        <n v="1.0174567789833928"/>
        <n v="1.2873302331883423"/>
        <n v="1.0632625954016961"/>
        <n v="1.106857538004034"/>
        <n v="1.2037351882314518"/>
        <n v="1.4459293137999962"/>
        <n v="1.2436950486534195"/>
        <n v="1.4685895938242111"/>
        <n v="1.3336528667217364"/>
        <n v="1.5585474118925278"/>
        <n v="1.1267498851646083"/>
        <n v="1.3006128384588695"/>
        <n v="1.542806964027414"/>
        <n v="1.1132562124543608"/>
        <n v="1.3381507576251521"/>
        <n v="0.85878068698151699"/>
        <n v="0.91054103153159438"/>
        <n v="0.96700686194986085"/>
        <n v="1.0611165793136381"/>
        <n v="1.2963908727230811"/>
        <n v="1.0187672064999382"/>
        <n v="1.1128769238637155"/>
        <n v="1.3481512172731587"/>
        <n v="1.1347082121454923"/>
        <n v="1.3273674208583737"/>
        <n v="0.7672673316623293"/>
        <n v="0.77176726776188675"/>
        <n v="0.77626720386144388"/>
        <n v="0.78526707606055846"/>
        <n v="0.80326682045878739"/>
        <n v="0.8167666287574592"/>
        <n v="0.83926630925524537"/>
        <n v="0.6963143711420019"/>
        <e v="#N/A"/>
        <n v="0.88252005188091809"/>
        <n v="1.362204068640547"/>
        <n v="0.70042886549999994"/>
        <n v="1.141887842147171"/>
        <n v="1.1511524164697888"/>
        <n v="1.1974752880828781"/>
        <n v="1.2345335853733495"/>
        <n v="0.99327660888256919"/>
        <n v="0.38120039602748501"/>
        <n v="0.45744047523298204"/>
        <n v="0.88631341459312185"/>
        <n v="0.97564707249896465"/>
        <n v="0.99915592984260726"/>
        <n v="1.0602789589360788"/>
        <n v="1.2342445032790359"/>
        <n v="0.91922581487422172"/>
        <n v="0.79683143399999989"/>
        <n v="0.91066449599999988"/>
        <n v="1.0489741317396248"/>
        <n v="1.2889837016319177"/>
        <n v="0.91862942208911225"/>
        <n v="0.60243863400000008"/>
        <n v="0.75532059865465517"/>
        <n v="0.75982053475421263"/>
        <n v="0.76432047085376975"/>
        <n v="0.77332034305288433"/>
        <n v="0.9038914415999999"/>
        <n v="0.34444253399081642"/>
        <n v="0.94627089899999994"/>
        <n v="0.76485941483905096"/>
        <n v="0.62557393499999991"/>
        <n v="2.2398683555421375"/>
        <n v="1.9699572651269859"/>
        <n v="1.4101435638662378"/>
        <n v="0.91784190203999982"/>
        <n v="2.1227891769965974"/>
        <n v="2.1575313307064143"/>
        <n v="2.1922734844162313"/>
        <n v="2.2478609303519388"/>
        <n v="0.40804420999999996"/>
        <n v="0.55114826093191183"/>
        <s v="erro"/>
        <m/>
        <n v="0.60637994666666672" u="1"/>
        <n v="1.7914499175865439" u="1"/>
        <n v="1.649789288007488" u="1"/>
        <n v="1.6287935899267763" u="1"/>
        <n v="1.6631335696075134" u="1"/>
        <n v="1.6019805823241524" u="1"/>
        <n v="1.5836093465035299" u="1"/>
        <n v="1.4300933874047619" u="1"/>
        <n v="1.4893881347430478" u="1"/>
        <n v="0.61371839666666661" u="1"/>
        <n v="1.2856574644012444" u="1"/>
        <n v="1.2689333048955738" u="1"/>
        <n v="1.3818636142848737" u="1"/>
        <n v="1.2900496679077842" u="1"/>
        <n v="1.2716784320871615" u="1"/>
        <n v="1.3884519195446832" u="1"/>
        <n v="1.2845594135246097" u="1"/>
        <n v="1.2661881777039867" u="1"/>
        <n v="1.2733255084021138" u="1"/>
        <n v="1.0903782137729277" u="1"/>
        <n v="1.0580423897654896" u="1"/>
        <n v="1.4981216771503338" u="1"/>
        <n v="1.9148589251405512" u="1"/>
        <n v="1.4391443087053035" u="1"/>
        <n v="1.3730460802195112" u="1"/>
        <n v="1.4555499841208419" u="1"/>
        <n v="0.61739581053448112" u="1"/>
        <n v="0.51761715355886384" u="1"/>
        <n v="1.3624418320523666" u="1"/>
        <n v="1.3681006012536681" u="1"/>
        <n v="1.5853688069742327" u="1"/>
        <n v="0.84539241722204406" u="1"/>
        <n v="0.90678484435077189" u="1"/>
        <n v="0.94984974231655994" u="1"/>
        <n v="1.0268672554901579" u="1"/>
        <n v="1.1397929879337805" u="1"/>
        <n v="0.90408028554132636" u="1"/>
        <n v="0.96029350018072701" u="1"/>
        <n v="1.2778417153888357" u="1"/>
        <n v="1.0207924768860508" u="1"/>
        <n v="1.5615180619043918" u="1"/>
        <n v="1.1053200533361482" u="1"/>
        <n v="1.1267843503066022" u="1"/>
        <n v="1.1492840308043883" u="1"/>
        <n v="1.1940842795831665" u="1"/>
        <n v="0.59699261305948492" u="1"/>
        <n v="1.2686615106496058" u="1"/>
        <n v="1.0678471341354103" u="1"/>
        <n v="0.97768912237082961" u="1"/>
        <n v="1.0396528442372992" u="1"/>
        <n v="1.0913241518871575" u="1"/>
        <n v="1.044351892553651" u="1"/>
        <n v="1.0571747193152214" u="1"/>
        <n v="1.0696391440865614" u="1"/>
        <n v="1.0900680575296839" u="1"/>
        <n v="0.99154733265973161" u="1"/>
        <n v="1.0015825883861778" u="1"/>
        <n v="1.0150823966848495" u="1"/>
        <n v="1.0375820771826356" u="1"/>
        <n v="0.94218438951642269" u="1"/>
        <n v="0.98789118450578295" u="1"/>
        <n v="1.0005406665139085" u="1"/>
        <n v="0.99257149284878943" u="1"/>
        <n v="0.7983686599256411" u="1"/>
        <n v="1.0815858770942355" u="1"/>
        <n v="1.0821035688579015" u="1"/>
        <n v="0.87587977675129791" u="1"/>
        <n v="0.8856772690659247" u="1"/>
        <n v="0.90063996653386946" u="1"/>
        <n v="0.93179517222054908" u="1"/>
        <n v="0.91178297861182733" u="1"/>
        <n v="0.92078285081094191" u="1"/>
        <n v="0.9342826591096135" u="1"/>
        <n v="0.95678233960739989" u="1"/>
        <n v="0.80665172814429509" u="1"/>
        <n v="0.81616929210707545" u="1"/>
        <n v="0.83070448393307894" u="1"/>
        <n v="0.83715571975722303" u="1"/>
        <n v="1.2368011737624731" u="1"/>
        <n v="1.2111274102793146" u="1"/>
        <n v="1.217639551016831" u="1"/>
        <n v="1.2253697900217968" u="1"/>
        <n v="1.2195135483513684" u="1"/>
        <n v="1.2394716199641884" u="1"/>
        <n v="1.2553537473743903" u="1"/>
        <n v="1.2818239597247272" u="1"/>
        <n v="0.99361809971439519" u="1"/>
        <n v="1.0026179719135095" u="1"/>
        <n v="1.0161177802121812" u="1"/>
        <n v="1.0386174607099676" u="1"/>
        <n v="0.9862868895325525" u="1"/>
        <n v="0.99637426580986566" u="1"/>
        <n v="1.0325365581247612" u="1"/>
        <n v="1.0486002290267467" u="1"/>
        <n v="0.9701851530597092" u="1"/>
        <n v="0.98027252933702236" u="1"/>
        <n v="0.97239295616946075" u="1"/>
        <n v="0.99241544644065594" u="1"/>
        <n v="1.1445934257989088" u="1"/>
        <n v="1.1757486314855883" u="1"/>
        <n v="1.2228913769325378" u="1"/>
        <n v="1.2071907930141192" u="1"/>
        <n v="1.1921329798585798" u="1"/>
        <n v="1.1978296141289058" u="1"/>
        <n v="1.2241900467625055" u="1"/>
        <n v="1.2638133779046243" u="1"/>
        <n v="1.1235636619604001" u="1"/>
        <n v="1.1707064074073494" u="1"/>
        <n v="1.1554977477892467" u="1"/>
        <n v="1.1989510609838261" u="1"/>
        <n v="0.88124995036308085" u="1"/>
        <n v="1.1883011444545184" u="1"/>
        <n v="1.1482444514287877" u="1"/>
        <n v="1.1369864124415558" u="1"/>
        <n v="1.1816812488702662" u="1"/>
        <n v="1.1785764751998715" u="1"/>
        <n v="1.2016903662647189" u="1"/>
        <n v="1.2285992011903375" u="1"/>
        <n v="1.0604173961615044" u="1"/>
        <n v="1.1059794526491049" u="1"/>
        <n v="1.1224568322846891" u="1"/>
        <n v="1.1599486899754392" u="1"/>
        <n v="0.84234693694642437" u="1"/>
        <n v="1.1283599238884812" u="1"/>
        <n v="1.1595151295751607" u="1"/>
        <n v="1.20665787502211" u="1"/>
        <n v="1.2085435848399879" u="1"/>
        <n v="0.87485493445897289" u="1"/>
        <n v="1.1440605078069004" u="1"/>
        <n v="1.191203253253849" u="1"/>
        <n v="1.2111671811083398" u="1"/>
        <n v="1.2546204943029193" u="1"/>
        <n v="1.20747774885597" u="1"/>
        <n v="1.1661561076294265" u="1"/>
        <n v="1.1973113133161062" u="1"/>
        <n v="1.2460938064307756" u="1"/>
        <n v="1.210593269424638" u="1"/>
        <n v="1.1226208070514614" u="1"/>
        <n v="1.1537760127381409" u="1"/>
        <n v="1.2132168656929896" u="1"/>
        <n v="1.1418468484554778" u="1"/>
        <n v="1.0757240237546701" u="1"/>
        <n v="1.1068792294413496" u="1"/>
        <n v="1.1663200823961983" u="1"/>
        <n v="1.1239967792714785" u="1"/>
        <n v="1.1423151032165786" u="1"/>
        <n v="1.1881109130793295" u="1"/>
        <n v="1.1779960124661655" u="1"/>
        <n v="1.2202078024266141" u="1"/>
        <n v="1.177918392449449" u="1"/>
        <n v="1.2042788250830483" u="1"/>
        <n v="1.2177408358083626" u="1"/>
        <n v="1.2560480014496362" u="1"/>
        <n v="1.1846449704934032" u="1"/>
        <n v="1.1248954936025226" u="1"/>
        <n v="1.1451446204263631" u="1"/>
        <n v="1.1892186952380079" u="1"/>
        <n v="1.141402481998959" u="1"/>
        <n v="1.15192204891155" u="1"/>
        <n v="1.1775764867971961" u="1"/>
        <n v="1.2216505616088407" u="1"/>
        <n v="1.2301634132663426" u="1"/>
        <n v="1.1729385621595831" u="1"/>
        <n v="1.1923320920753748" u="1"/>
        <n v="1.234543882035823" u="1"/>
        <n v="1.2114131432584978" u="1"/>
        <n v="1.2260478911928989" u="1"/>
        <n v="1.2572030968795784" u="1"/>
        <n v="1.3166439498344276" u="1"/>
        <n v="1.1528237620353623" u="1"/>
        <n v="1.1817535958872794" u="1"/>
        <n v="1.2255290023737317" u="1"/>
        <n v="1.1847227104141864" u="1"/>
        <n v="1.2161274178031929" u="1"/>
        <n v="1.2225224337073008" u="1"/>
        <n v="1.2919657474352417" u="1"/>
        <n v="0.98151642599767086" u="1"/>
        <n v="1.0062961763301705" u="1"/>
        <n v="1.0619685624248765" u="1"/>
        <n v="1.2257446606489484" u="1"/>
        <n v="1.6222616920456558" u="1"/>
        <n v="0.98578313797545225" u="1"/>
        <n v="0.99669607438016228" u="1"/>
        <n v="1.0609018844304314" u="1"/>
        <n v="1.5565876949181674" u="1"/>
        <n v="1.0488820726567738" u="1"/>
        <n v="0.99158734655807257" u="1"/>
        <n v="1.1010787053996698" u="1"/>
        <n v="0.81017178199999995" u="1"/>
        <n v="0.91077787149999989" u="1"/>
        <n v="0.92389847199999986" u="1"/>
        <n v="1.0265165959999998" u="1"/>
        <n v="0.91517921599999996" u="1"/>
        <n v="1.026090296" u="1"/>
        <n v="0.93149229599999994" u="1"/>
        <n v="1.0579775359999999" u="1"/>
        <n v="0.93203958399999998" u="1"/>
        <n v="0.821322369" u="1"/>
        <n v="0.90555569649999978" u="1"/>
        <n v="1.0828896960000001" u="1"/>
        <n v="1.139900216" u="1"/>
        <n v="0.69310564049999979" u="1"/>
        <n v="0.78338332345000017" u="1"/>
        <n v="0.92591060800000002" u="1"/>
        <n v="1.0205483959999997" u="1"/>
        <n v="0.8019555599999999" u="1"/>
        <n v="0.72220061549999981" u="1"/>
        <n v="0.88707281039999997" u="1"/>
        <n v="1.0739885519999999" u="1"/>
        <n v="1.1434242960000001" u="1"/>
        <n v="0.7166337465" u="1"/>
        <n v="0.73606947399999989" u="1"/>
        <n v="0.79746260159999993" u="1"/>
        <n v="0.83779098760000004" u="1"/>
        <n v="0.86371699049999995" u="1"/>
        <n v="0.79001063399999982" u="1"/>
        <n v="0.75683749049999971" u="1"/>
        <n v="1.1476872959999997" u="1"/>
        <n v="0.74626159649999979" u="1"/>
        <n v="0.80631874049999996" u="1"/>
        <n v="0.71167100549999984" u="1"/>
        <n v="0.94923774399999994" u="1"/>
        <n v="0.83645175599999999" u="1"/>
        <n v="0.77703243799999999" u="1"/>
        <n v="1.1712475774999997" u="1"/>
        <n v="1.2548879419999999" u="1"/>
        <n v="8.500076258833392" u="1"/>
        <n v="0.6081035520000001" u="1"/>
        <n v="0.51094490999999997" u="1"/>
        <n v="0.89179858950000002" u="1"/>
        <n v="0.92718098199999988" u="1"/>
        <n v="0.85531102439999995" u="1"/>
        <n v="0.89277563255999992" u="1"/>
        <n v="0.93629744972399986" u="1"/>
        <n v="0.87167845480799999" u="1"/>
        <n v="0.91809410111999978" u="1"/>
        <n v="1.0025257977840001" u="1"/>
        <n v="0.79305883429499979" u="1"/>
        <n v="0.8005525255" u="1"/>
        <n v="0.8424717209999999" u="1"/>
        <n v="0.91410209799999997" u="1"/>
        <n v="0.83991818399999996" u="1"/>
        <n v="0.84118845568799994" u="1"/>
        <n v="0.87013375959999983" u="1"/>
        <n v="0.96932240159999994" u="1"/>
        <n v="0.81445345800000002" u="1"/>
        <n v="0.80026883300000007" u="1"/>
        <n v="0.80900392300000001" u="1"/>
        <n v="0.70841965600000001" u="1"/>
        <n v="0.63341927600000014" u="1"/>
        <n v="0.80395287699999995" u="1"/>
        <n v="0.77786372299999984" u="1"/>
        <n v="0.78219828049999973" u="1"/>
        <n v="0.95248646591545372" u="1"/>
        <n v="1.0346824368495573" u="1"/>
        <n v="1.236291440617709" u="1"/>
        <n v="0.98046891994289898" u="1"/>
        <n v="1.0626648908770024" u="1"/>
        <n v="1.2642738946451539" u="1"/>
        <n v="1.1186911920730676" u="1"/>
        <n v="1.1982998806290999" u="1"/>
        <n v="1.387507469879989" u="1"/>
        <n v="1.120858842211462" u="1"/>
        <n v="1.2046071825724078" u="1"/>
        <n v="1.3601625600108951" u="1"/>
        <n v="0.93343857866124003" u="1"/>
        <n v="0.96539269666774741" u="1"/>
        <n v="1.0609231229349863" u="1"/>
        <n v="1.2997491886030834" u="1"/>
        <n v="1.116089032107751" u="1"/>
        <n v="1.2041987246109711" u="1"/>
        <n v="1.2540964541918813" u="1"/>
        <n v="1.5258348483133561" u="1"/>
        <n v="1.1402833622191337" u="1"/>
        <n v="1.2209269637263944" u="1"/>
        <n v="1.421501054543318" u="1"/>
        <n v="0.97016921798110956" u="1"/>
        <n v="1.197181016319786" u="1"/>
        <n v="1.3121460304470953" u="1"/>
        <n v="1.508217378070916" u="1"/>
        <n v="0.96180068247650952" u="1"/>
        <n v="0.99794302708094829" u="1"/>
        <n v="1.2352565276664804" u="1"/>
        <n v="1.2250666155313084" u="1"/>
        <n v="1.3477031256019729" u="1"/>
        <n v="1.541883559288002" u="1"/>
        <n v="1.0693918250599872" u="1"/>
        <n v="1.1236451463109232" u="1"/>
        <n v="1.2456454615230426" u="1"/>
        <n v="1.1836444607858567" u="1"/>
        <n v="1.3826661821759376" u="1"/>
        <n v="1.2042924490513442" u="1"/>
        <n v="1.2928111869803782" u="1"/>
        <n v="1.5099285756537726" u="1"/>
        <n v="0.97575774791774306" u="1"/>
        <n v="0.97594880877027734" u="1"/>
        <n v="1.0745839738912015" u="1"/>
        <n v="1.3165147784129838" u="1"/>
        <n v="1.0279555026665725" u="1"/>
        <n v="1.1101514736006757" u="1"/>
        <n v="1.3133128467956701" u="1"/>
        <n v="1.277908569185132" u="1"/>
        <n v="1.4769302905752131" u="1"/>
        <n v="0.89234371007674029" u="1"/>
        <n v="0.94085602013373149" u="1"/>
        <n v="0.99353247697673075" u="1"/>
        <n v="1.081146125354336" u="1"/>
        <n v="1.2438809817515224" u="1"/>
        <n v="1.0366313962119118" u="1"/>
        <n v="1.122621027342974" u="1"/>
        <n v="1.333535062054271" u="1"/>
        <n v="1.0826562949107832" u="1"/>
        <n v="0.89071339778400005" u="1"/>
        <n v="0.95479121743945428" u="1"/>
        <n v="0.96534416492956632" u="1"/>
        <n v="0.96853839735661817" u="1"/>
        <n v="0.98812057766086359" u="1"/>
        <n v="1.1283818632800069" u="1"/>
        <n v="1.1056936017510213" u="1"/>
        <n v="1.1956571465888099" u="1"/>
        <n v="1.2512057031094923" u="1"/>
        <n v="1.2929203279296213" u="1"/>
        <n v="1.195082083508441" u="1"/>
        <n v="0.92173144699999998" u="1"/>
        <n v="1.1895445210402504" u="1"/>
        <n v="1.2110088180107048" u="1"/>
        <n v="1.2335084985084912" u="1"/>
        <n v="1.2426889216160548" u="1"/>
        <n v="1.0725761726022285" u="1"/>
        <n v="0.91865479722884891" u="1"/>
        <n v="0.90672579272944542" u="1"/>
        <n v="0.86411667166040829" u="1"/>
        <n v="0.92835170211833706" u="1"/>
        <n v="0.93872310611666587" u="1"/>
        <n v="0.93311817191071778" u="1"/>
        <n v="0.92837235879983815" u="1"/>
        <n v="0.75747944755437546" u="1"/>
        <n v="0.80127569829084178" u="1"/>
        <n v="0.82648330493703426" u="1"/>
        <n v="0.8370362524271463" u="1"/>
        <n v="0.85555368858904113" u="1"/>
        <n v="0.87164195570604219" u="1"/>
        <n v="0.88378780093051101" u="1"/>
        <n v="0.68169856299999976" u="1"/>
        <n v="0.92350890328105806" u="1"/>
        <n v="0.80547679799999994" u="1"/>
        <n v="1.0778799753696384" u="1"/>
        <n v="1.0965070403096036" u="1"/>
        <n v="1.1158543505824483" u="1"/>
        <n v="1.1380323844508609" u="1"/>
        <n v="1.2163932653678637" u="1"/>
        <n v="1.2444805565274346" u="1"/>
        <n v="1.223913218953542" u="1"/>
        <n v="1.2455786074040696" u="1"/>
        <n v="0.87552123378701729" u="1"/>
        <n v="0.91882161386246863" u="1"/>
        <n v="0.9339591519999999" u="1"/>
        <n v="0.82041861299999996" u="1"/>
        <n v="1.1169141200000001" u="1"/>
        <n v="1.2278917839999997" u="1"/>
        <n v="0.82588804199999977" u="1"/>
        <n v="1.3108947243699212" u="1"/>
        <n v="1.0437839793009687" u="1"/>
        <n v="0.85827405299999981" u="1"/>
        <n v="0.80244864700000007" u="1"/>
        <n v="0.76591565049999999" u="1"/>
        <n v="0.73902424049999993" u="1"/>
        <n v="1.1780178755037125" u="1"/>
        <n v="1.2548275471863857" u="1"/>
        <n v="1.1956305719566931" u="1"/>
        <n v="1.194810698122833" u="1"/>
        <n v="1.2340006673813404" u="1"/>
        <n v="0.97720380224357795" u="1"/>
        <n v="1.0208678477089328" u="1"/>
        <n v="0.97941508622397178" u="1"/>
        <n v="0.99083475748130712" u="1"/>
        <n v="1.0531688072267644" u="1"/>
        <n v="0.51669027924160182" u="1"/>
        <n v="0.57307509861601125" u="1"/>
        <n v="0.91645961892267813" u="1"/>
        <n v="0.97885431252712862" u="1"/>
        <n v="1.0403422349122804" u="1"/>
        <n v="1.2320808562314791" u="1"/>
        <n v="0.96087602053968446" u="1"/>
        <n v="1.1380054139999995" u="1"/>
        <n v="0.80472165550874986" u="1"/>
        <n v="0.9098118959999999" u="1"/>
        <n v="1.1122388942437496" u="1"/>
        <n v="0.81281768399999998" u="1"/>
        <n v="1.3191555089999996" u="1"/>
        <n v="1.5363419914570731" u="1"/>
        <n v="1.3529312955795905" u="1"/>
        <n v="0.88997029420894058" u="1"/>
        <n v="0.66931231499999999" u="1"/>
        <n v="0.84910245276489715" u="1"/>
        <n v="0.82779744556787815" u="1"/>
        <n v="0.83436814872209919" u="1"/>
        <n v="0.84249192716731736" u="1"/>
        <n v="0.7721006963554341" u="1"/>
        <n v="0.78802967369899968" u="1"/>
        <n v="0.8231780421382443" u="1"/>
        <n v="0.8893972416" u="1"/>
        <n v="0.85915962433904358" u="1"/>
        <n v="0.90333846916698246" u="1"/>
        <n v="0.86389410799999977" u="1"/>
        <n v="0.89340787199999983" u="1"/>
        <n v="0.91399288400000012" u="1"/>
        <n v="0.80692053399999986" u="1"/>
        <n v="0.75641286963416676" u="1"/>
        <n v="0.66109893499999994" u="1"/>
        <n v="1.9148618916000002" u="1"/>
        <n v="0.88061789759999998" u="1"/>
        <n v="0.76485065159999999" u="1"/>
        <n v="2.0036820057825873" u="1"/>
        <n v="2.03710992952906" u="1"/>
        <n v="2.0651725433220864" u="1"/>
        <n v="2.0783930088930789" u="1"/>
        <n v="0.43212406999999997" u="1"/>
        <n v="0.40370508499999996" u="1"/>
        <n v="0.60204955863820586" u="1"/>
        <n v="0.56236984547995983" u="1"/>
        <n v="1.7673169312868748" u="1"/>
        <n v="1.6256563017078189" u="1"/>
        <n v="1.6046606036271074" u="1"/>
        <n v="1.3236669178232225" u="1"/>
        <n v="1.3069427583175519" u="1"/>
        <n v="1.3280591213297626" u="1"/>
        <n v="1.3096878855091396" u="1"/>
        <n v="1.3225688669465878" u="1"/>
        <n v="1.3041976311259649" u="1"/>
        <n v="1.3113349618240919" u="1"/>
        <n v="1.4360533843516516" u="1"/>
        <n v="1.3699551558658594" u="1"/>
        <n v="1.45245905976719" u="1"/>
        <n v="0.91165305020777399" u="1"/>
        <n v="0.95471794817356226" u="1"/>
        <n v="1.1446611937907825" u="1"/>
        <n v="0.90894849139832834" u="1"/>
        <n v="0.95279817230106512" u="1"/>
        <n v="0.9775779226335648" u="1"/>
        <n v="1.0332503087282707" u="1"/>
        <n v="1.1970264069523426" u="1"/>
        <n v="1.5525173616396133" u="1"/>
        <n v="0.95706488427884651" u="1"/>
        <n v="0.96797782068355664" u="1"/>
        <n v="1.0321836307338252" u="1"/>
        <n v="1.5807206812178358" u="1"/>
        <n v="1.0214308007409005" u="1"/>
        <n v="0.96413607464219919" u="1"/>
        <n v="1.0736274334837965" u="1"/>
        <n v="0.89670317099999985" u="1"/>
        <n v="0.93208556349999983" u="1"/>
        <n v="0.86044197119999977" u="1"/>
        <n v="0.93499268017260295" u="1"/>
        <n v="0.90439991821411192" u="1"/>
        <n v="0.89965410510323229" u="1"/>
        <n v="0.88844702680350385" u="1"/>
        <n v="1.2824900099494128" u="1"/>
        <n v="1.2619226723755201" u="1"/>
        <n v="1.2835880608260477" u="1"/>
        <n v="1.1122191359999998" u="1"/>
        <n v="1.0163327073850956" u="1"/>
        <n v="0.96574422639668656" u="1"/>
        <n v="0.92026449347048145" u="1"/>
        <n v="0.94344422681131335" u="1"/>
        <n v="1.0129834268338089" u="1"/>
        <n v="1.2076931868967959" u="1"/>
        <n v="1.606384600359104" u="1"/>
        <n v="1.0081757580158075" u="1"/>
        <n v="0.94170446387665707" u="1"/>
        <n v="1.0746470521549574" u="1"/>
        <n v="1.3434318336026514" u="1"/>
        <n v="1.3195703433988539" u="1"/>
        <n v="1.8244155768718908" u="1"/>
        <n v="1.6335236552415113" u="1"/>
        <n v="1.6007993258191602" u="1"/>
        <n v="2.1482448143366151" u="1"/>
        <n v="1.8895207946891914" u="1"/>
        <n v="1.3478109234898561" u="1"/>
        <n v="1.2182321258231132" u="1"/>
        <n v="1.2545440895307929" u="1"/>
        <n v="1.8659297779971005" u="1"/>
        <n v="1.5691349498777845" u="1"/>
        <n v="2.0450865237471834" u="1"/>
        <n v="1.8076833839450182" u="1"/>
        <n v="2.0504039614064329" u="1"/>
        <n v="0.6920236079846539" u="1"/>
        <n v="1.1964234733310357" u="1"/>
        <n v="1.0468705391646562" u="1"/>
        <n v="2.0672017310608899" u="1"/>
        <n v="2.1019438847707073" u="1"/>
        <n v="2.1366860384805237" u="1"/>
        <n v="1.0955649705340818" u="1"/>
        <n v="1.1187264063406261" u="1"/>
        <n v="1.1065174359923837" u="1"/>
        <n v="1.1300097494533079" u="1"/>
        <n v="1.1535020629142316" u="1"/>
        <n v="1.1650492779537154" u="1"/>
        <n v="1.0957626669300085" u="1"/>
        <n v="1.1047625391291231" u="1"/>
        <n v="1.1272622196269095" u="1"/>
        <n v="1.1497619001246955" u="1"/>
        <n v="1.1677616445229246" u="1"/>
        <n v="1.1902613250207108" u="1"/>
        <n v="1.2127610055184974" u="1"/>
        <n v="1.2113721495668051" u="1"/>
        <n v="1.1248455674548903" u="1"/>
        <n v="1.1463526149895389" u="1"/>
        <n v="1.1678596625241875" u="1"/>
        <n v="1.1649839326195404" u="1"/>
        <n v="1.082262858631337" u="1"/>
        <n v="1.0971205106080142" u="1"/>
        <n v="1.2732686281805063" u="1"/>
        <n v="1.1048295448566998" u="1"/>
        <n v="1.1604169907924069" u="1"/>
        <n v="1.0163168924289758" u="1"/>
        <n v="0.98931727583163254" u="1"/>
        <n v="0.99831714803074667" u="1"/>
        <n v="1.038816572926762" u="1"/>
        <n v="0.9488178509356171" u="1"/>
        <n v="0.97131753143340338" u="1"/>
        <n v="0.91886717768144455" u="1"/>
        <n v="0.92839645412756566" u="1"/>
        <n v="0.94269036879674772" u="1"/>
        <n v="0.83775564347680842" u="1"/>
        <n v="0.84702021779942627" u="1"/>
        <n v="0.86091707928335304" u="1"/>
        <n v="0.80031995965022784" u="1"/>
        <n v="0.81381976794889965" u="1"/>
        <n v="0.83631944844668582" u="1"/>
        <n v="0.94567092542729581" u="1"/>
        <n v="0.95427374444115498" u="1"/>
        <n v="0.96717797296194441" u="1"/>
        <n v="1.1956669322693834" u="1"/>
        <n v="1.1639026774489794" u="1"/>
        <n v="1.1691967199190467" u="1"/>
        <n v="1.1744907623891137" u="1"/>
        <n v="1.1850788473292486" u="1"/>
        <n v="1.22213714461972" u="1"/>
        <n v="1.1402435578748558" u="1"/>
        <n v="1.2167077032329248" u="1"/>
        <n v="1.2302013759431725" u="1"/>
        <n v="1.0277962852894602" u="1"/>
        <n v="1.0502857398065393" u="1"/>
        <n v="1.3199883685043532" u="1"/>
        <n v="1.3296761335270948" u="1"/>
        <n v="1.3538955460839492" u="1"/>
        <n v="0.93836396552360202" u="1"/>
        <n v="0.93282809979632075" u="1"/>
        <n v="0.94389983125088284" u="1"/>
        <n v="0.97157915988728805" u="1"/>
        <n v="1.4168660187317712" u="1"/>
        <n v="1.4265537837545128" u="1"/>
        <n v="1.450773196311367" u="1"/>
        <n v="1.0435454143419414" u="1"/>
        <n v="0.89735744909040138" u="1"/>
        <n v="0.90635323089723308" u="1"/>
        <n v="0.91984690360748034" u="1"/>
        <n v="0.98731526715871787" u="1"/>
        <n v="0.99631104896554967" u="1"/>
        <n v="1.0098047216757968" u="1"/>
        <n v="0.91085112180064887" u="1"/>
        <n v="1.0008089398689655" u="1"/>
        <n v="1.0682773034202024" u="1"/>
        <n v="1.0772730852270342" u="1"/>
        <n v="1.0907667579372817" u="1"/>
        <n v="0.91524651739978313" u="1"/>
        <n v="0.92465748913616086" u="1"/>
        <n v="0.93877394674072756" u="1"/>
        <n v="0.97641783368623858" u="1"/>
        <n v="0.99053429129080484" u="1"/>
        <n v="0.89095009345270715" u="1"/>
        <n v="1.1349537440782709" u="1"/>
        <n v="1.0984142629498661" u="1"/>
        <n v="1.5770450887359391" u="1"/>
        <n v="2.0337886028409997" u="1"/>
        <n v="1.388974229986796" u="1"/>
        <n v="1.335239698915613" u="1"/>
        <n v="1.4319618548437429" u="1"/>
        <n v="0.50975881488537944" u="1"/>
        <n v="0.43448787143612305" u="1"/>
        <n v="1.3029989802729025" u="1"/>
        <n v="1.5716716356288207" u="1"/>
        <n v="0.83921073374016153" u="1"/>
        <n v="0.85801781961507573" u="1"/>
        <n v="0.90973730577109002" u="1"/>
        <n v="0.9802638778020184" u="1"/>
        <n v="1.1213170218638757" u="1"/>
        <n v="0.90503553430236128" u="1"/>
        <n v="0.84100918719999995" u="1"/>
        <n v="0.87823887970000014" u="1"/>
        <n v="0.79130684583999999" u="1"/>
        <n v="0.84913870384000001" u="1"/>
        <n v="0.91877298184000011" u="1"/>
        <n v="0.76203711220000003" u="1"/>
        <n v="0.78948930970000009" u="1"/>
        <n v="0.84947048095" u="1"/>
        <n v="0.75842696020000011" u="1"/>
        <n v="0.79635625159999979" u="1"/>
        <n v="0.91012143039999982" u="1"/>
        <n v="0.94579571660000017" u="1"/>
        <n v="0.75639624969999997" u="1"/>
        <n v="0.72292713219999993" u="1"/>
        <n v="0.60172046059999995" u="1"/>
        <n v="0.79028147660000003" u="1"/>
        <n v="0.58981390160000002" u="1"/>
        <n v="0.77331883720000005" u="1"/>
        <n v="0.76458585312316585" u="1"/>
        <n v="0.93094923039999999" u="1"/>
        <n v="0.81458057660000005" u="1"/>
        <n v="0.72819193719999997" u="1"/>
        <n v="1.1794609372" u="1"/>
        <n v="1.2701887016" u="1"/>
        <n v="9.4745822388303615" u="1"/>
        <n v="0.54200342280000002" u="1"/>
        <n v="0.62523451899999993" u="1"/>
        <n v="0.45166951900000002" u="1"/>
        <n v="1.0162355736497237" u="1"/>
        <n v="0.98923595705238021" u="1"/>
        <n v="0.99373589315193744" u="1"/>
        <n v="0.99823582925149457" u="1"/>
        <n v="1.007235701450609" u="1"/>
        <n v="1.0252354458488382" u="1"/>
        <n v="1.0387352541475097" u="1"/>
        <n v="1.0612349346452963" u="1"/>
        <n v="0.94873653215636489" u="1"/>
        <n v="0.95773640435547935" u="1"/>
        <n v="0.97123621265415117" u="1"/>
        <n v="0.91273704335990691" u="1"/>
        <n v="0.92173691555902149" u="1"/>
        <n v="0.93523672385769296" u="1"/>
        <n v="0.9187810754445892" u="1"/>
        <n v="0.92831035189071054" u="1"/>
        <n v="0.94260426655989238" u="1"/>
        <n v="0.96642745767519556" u="1"/>
        <n v="0.83767193296875475" u="1"/>
        <n v="0.84693650729137249" u="1"/>
        <n v="0.86083336877529926" u="1"/>
        <n v="0.88399480458184398" u="1"/>
        <n v="0.79123876867186116" u="1"/>
        <n v="0.83623812966743361" u="1"/>
        <n v="0.84973793796610531" u="1"/>
        <n v="0.87223761846389158" u="1"/>
        <n v="0.86323774626477701" u="1"/>
        <n v="0.87673755456344882" u="1"/>
        <n v="0.8992372350612351" u="1"/>
        <n v="0.94559319424124577" u="1"/>
        <n v="0.95419601325510506" u="1"/>
        <n v="0.96710024177589449" u="1"/>
        <n v="0.98860728931054287" u="1"/>
        <n v="1.0144157463521213" u="1"/>
        <n v="1.0230185653659809" u="1"/>
        <n v="1.0359227938867699" u="1"/>
        <n v="1.0574298414214185" u="1"/>
        <n v="1.0882345512426395" u="1"/>
        <n v="1.1955712631173219" u="1"/>
        <n v="1.1638070082969179" u="1"/>
        <n v="1.1691010507669852" u="1"/>
        <n v="1.1743950932370524" u="1"/>
        <n v="1.1849831781771871" u="1"/>
        <n v="1.2061593480574566" u="1"/>
        <n v="1.2220414754676585" u="1"/>
        <n v="1.2485116878179956" u="1"/>
        <n v="1.1176728215374612" u="1"/>
        <n v="1.1266686033442928" u="1"/>
        <n v="1.1401622760545402" u="1"/>
        <n v="1.2076306396057777" u="1"/>
        <n v="1.2166264214126092" u="1"/>
        <n v="1.2301200941228569" u="1"/>
        <n v="1.0277150034691447" u="1"/>
        <n v="1.0367107852759763" u="1"/>
        <n v="1.0502044579862235" u="1"/>
        <n v="1.0631750611336641" u="1"/>
        <n v="1.319900834236321" u="1"/>
        <n v="1.3295885992590626" u="1"/>
        <n v="1.3538080118159173" u="1"/>
        <n v="0.93826392636013667" u="1"/>
        <n v="0.93272806063285563" u="1"/>
        <n v="0.9437997920874176" u="1"/>
        <n v="0.97147912072382281" u="1"/>
        <n v="1.4167784844637388" u="1"/>
        <n v="1.4264662494864806" u="1"/>
        <n v="1.4506856620433353" u="1"/>
        <n v="1.043445375178476" u="1"/>
        <n v="0.89727616727008574" u="1"/>
        <n v="0.90627194907691755" u="1"/>
        <n v="0.91976562178716492" u="1"/>
        <n v="0.98723398533840234" u="1"/>
        <n v="0.99622976714523404" u="1"/>
        <n v="1.0097234398554813" u="1"/>
        <n v="0.91076983998033334" u="1"/>
        <n v="0.93325929449741252" u="1"/>
        <n v="1.0007276580486499" u="1"/>
        <n v="1.0232171125657292" u="1"/>
        <n v="1.0681960215998869" u="1"/>
        <n v="1.0771918034067187" u="1"/>
        <n v="1.0906854761169662" u="1"/>
        <n v="0.89633954063808241" u="1"/>
        <n v="0.9057505123744598" u="1"/>
        <n v="0.91986696997902651" u="1"/>
        <n v="0.93398342758359321" u="1"/>
        <n v="0.94339439931997093" u="1"/>
        <n v="0.95751085692453763" u="1"/>
        <n v="0.91516148411083775" u="1"/>
        <n v="0.92457245584721548" u="1"/>
        <n v="0.93868891345178207" u="1"/>
        <n v="0.96692182866091525" u="1"/>
        <n v="0.97633280039729309" u="1"/>
        <n v="0.99044925800185957" u="1"/>
        <n v="0.92018071683112634" u="1"/>
        <n v="0.94336045017195824" u="1"/>
        <n v="1.0128996501944538" u="1"/>
        <n v="1.2076094102574411" u="1"/>
        <n v="1.6063008237197487" u="1"/>
        <n v="1.0080956774046592" u="1"/>
        <n v="0.9416243832655089" u="1"/>
        <n v="1.0745669715438091" u="1"/>
        <n v="1.3433455929444915" u="1"/>
        <n v="1.3194841027406941" u="1"/>
        <n v="1.4053854674743651" u="1"/>
        <n v="1.710812542082973" u="1"/>
        <n v="1.6392280714715806" u="1"/>
        <n v="1.6153665812677831" u="1"/>
        <n v="1.4387915537596816" u="1"/>
        <n v="1.500831428289555" u="1"/>
        <n v="1.8243170161197086" u="1"/>
        <n v="1.6606953690079542" u="1"/>
        <n v="1.6334250944893289" u="1"/>
        <n v="1.6007007650669778" u="1"/>
        <n v="0.79331886410000008" u="1"/>
        <n v="0.92668042460000011" u="1"/>
        <n v="0.90665013040000009" u="1"/>
        <n v="1.0426788064000001" u="1"/>
        <n v="0.69716719344999978" u="1"/>
        <n v="0.79836426670000005" u="1"/>
        <n v="1.1045142304000002" u="1"/>
        <n v="1.1628320703999999" u="1"/>
        <n v="0.87451123536000008" u="1"/>
        <n v="0.74508515059999991" u="1"/>
        <n v="0.7113094016" u="1"/>
        <n v="0.72453621169999993" u="1"/>
        <n v="0.90342983584000014" u="1"/>
        <n v="0.91738029628000006" u="1"/>
        <n v="0.78540563584" u="1"/>
        <n v="0.82592727784000008" u="1"/>
        <n v="0.81280487469999996" u="1"/>
        <n v="1.2036798145401304" u="1"/>
        <n v="1.2261794950379168" u="1"/>
        <n v="1.2486791755357034" u="1"/>
        <n v="1.2846786643321608" u="1"/>
        <n v="2.067076165298809" u="1"/>
        <n v="2.1018183190086264" u="1"/>
        <n v="2.1365604727184428" u="1"/>
        <n v="2.1921479186541504" u="1"/>
        <n v="1.0954812600260282" u="1"/>
        <n v="1.1186426958325724" u="1"/>
        <n v="1.141804131639117" u="1"/>
        <n v="1.1788624289295884" u="1"/>
        <n v="0.82680860467010986" u="1"/>
        <n v="1.1064325296199293" u="1"/>
        <n v="1.1299248430808533" u="1"/>
        <n v="1.153417156541777" u="1"/>
        <n v="1.1910048580792552" u="1"/>
        <n v="1.1510687059617351" u="1"/>
        <n v="1.1140104086712637" u="1"/>
        <n v="1.1371718444778083" u="1"/>
        <n v="1.1742301417682797" u="1"/>
        <n v="1.164965567445662" u="1"/>
        <n v="1.2020238647361334" u="1"/>
        <n v="1.0956813481507564" u="1"/>
        <n v="1.1046812203498708" u="1"/>
        <n v="1.127180900847657" u="1"/>
        <n v="1.1496805813454436" u="1"/>
        <n v="1.1856800701419012" u="1"/>
        <n v="1.1676803257436723" u="1"/>
        <n v="1.1901800062414587" u="1"/>
        <n v="1.2126796867392451" u="1"/>
        <n v="1.1881270032522064" u="1"/>
        <n v="1.2112884390587513" u="1"/>
        <n v="1.2344498748652957" u="1"/>
        <n v="1.2715081721557675" u="1"/>
        <n v="1.1247678362688405" u="1"/>
        <n v="1.1462748838034889" u="1"/>
        <n v="1.1677819313381375" u="1"/>
        <n v="1.2021932073935753" u="1"/>
        <n v="1.2576113106718405" u="1"/>
        <n v="1.1648978303826851" u="1"/>
        <n v="1.1267807245982004" u="1"/>
        <n v="1.1506039157135031" u="1"/>
        <n v="1.188721021497988" u="1"/>
        <n v="1.2466845404168216" u="1"/>
        <n v="1.0398938140903207" u="1"/>
        <n v="1.3260951774678318" u="1"/>
        <n v="1.611973470851469" u="1"/>
        <n v="1.0821815398520849" u="1"/>
        <n v="1.1631803896441149" u="1"/>
        <n v="0.54987181561521636" u="1"/>
        <n v="1.3131987566075478" u="1"/>
        <n v="0.59216399200000003" u="1"/>
        <n v="0.58165874200000001" u="1"/>
        <n v="0.40770479399999993" u="1"/>
        <n v="0.55086432495484861" u="1"/>
        <n v="1.3621069644512045" u="1"/>
        <n v="0.82273832136876179" u="1"/>
        <n v="0.91914084870854695" u="1"/>
        <n v="0.88622844842744708" u="1"/>
        <n v="0.97556210633328999" u="1"/>
        <n v="0.99907096367693271" u="1"/>
        <n v="1.0601939927704043" u="1"/>
        <n v="1.2341595371133611" u="1"/>
        <n v="1.0970356042355596" u="1"/>
        <n v="0.60196345159999998" u="1"/>
        <n v="0.99319771172872862" u="1"/>
        <n v="1.104745834348646" u="1"/>
        <n v="1.1603332802843527" u="1"/>
        <n v="1.1973915775748243" u="1"/>
        <n v="0.89088756897554122" u="1"/>
        <n v="0.9094098591170342" u="1"/>
        <n v="0.69998762469999998" u="1"/>
        <n v="0.38113970590914609" u="1"/>
        <n v="0.45736764709097527" u="1"/>
        <n v="1.1223586426228325" u="1"/>
        <n v="1.0862365022241165" u="1"/>
        <n v="1.5594655086654232" u="1"/>
        <n v="2.0109922636493733" u="1"/>
        <n v="1.373542727201444" u="1"/>
        <n v="1.32042193249745" u="1"/>
        <n v="1.4160393629646395" u="1"/>
        <n v="0.50426117783154145" u="1"/>
        <n v="0.42978878102751439" u="1"/>
        <n v="1.2885494556750539" u="1"/>
        <n v="1.5541534291950243" u="1"/>
        <n v="0.83000432337330488" u="1"/>
        <n v="0.84859660151970284" u="1"/>
        <n v="0.89972536642229706" u="1"/>
        <n v="0.96944640947128924" u="1"/>
        <n v="1.1088884955692739" u="1"/>
        <n v="0.89507729688569759" u="1"/>
        <n v="0.82840264413123188" u="1"/>
        <n v="0.87306084276998297" u="1"/>
        <n v="0.77739498400169238" u="1"/>
        <n v="0.84253145849429145" u="1"/>
        <n v="0.91335595859013607" u="1"/>
        <n v="0.7487851129828077" u="1"/>
        <n v="0.78279432303998497" u="1"/>
        <n v="0.83693309389713433" u="1"/>
        <n v="0.75120104113448571" u="1"/>
        <n v="0.78188626593581623" u="1"/>
        <n v="0.89358430392664712" u="1"/>
        <n v="0.94021936913690474" u="1"/>
        <n v="0.74309814647220596" u="1"/>
        <n v="0.71509443324248645" u="1"/>
        <n v="0.59026301572214301" u="1"/>
        <n v="0.77576184046286056" u="1"/>
        <n v="0.57365579985532256" u="1"/>
        <n v="0.76015904600401119" u="1"/>
        <n v="0.76513749027165034" u="1"/>
        <n v="0.91458233411963807" u="1"/>
        <n v="0.80025954235468333" u="1"/>
        <n v="0.71466331391919735" u="1"/>
        <n v="1.1696206347673346" u="1"/>
        <n v="1.2595914528263603" u="1"/>
        <n v="9.6146214938657195" u="1"/>
        <n v="0.52845152414229646" u="1"/>
        <n v="0.61535985506017166" u="1"/>
        <n v="0.44037627011858044" u="1"/>
        <n v="1.0050193841971047" u="1"/>
        <n v="0.97832814744928498" u="1"/>
        <n v="0.98277668690725506" u="1"/>
        <n v="0.98722522636522492" u="1"/>
        <n v="0.99612230528116485" u="1"/>
        <n v="1.0139164631130446" u="1"/>
        <n v="1.0272620814869544" u="1"/>
        <n v="1.0495047787768041" u="1"/>
        <n v="0.93829129232755548" u="1"/>
        <n v="0.94718837124349542" u="1"/>
        <n v="0.96053398961740522" u="1"/>
        <n v="0.90270297666379584" u="1"/>
        <n v="0.91160005557973578" u="1"/>
        <n v="0.92494567395364546" u="1"/>
        <n v="0.90870096926551369" u="1"/>
        <n v="0.91812140576474421" u="1"/>
        <n v="0.93225206051359011" u="1"/>
        <n v="0.95580315176166619" u="1"/>
        <n v="0.82850672942929404" u="1"/>
        <n v="0.83766548713687894" u="1"/>
        <n v="0.85140362369825695" u="1"/>
        <n v="0.87430051796721975" u="1"/>
        <n v="0.78259241129860713" u="1"/>
        <n v="0.8270778058783067" u="1"/>
        <n v="0.8404234242522165" u="1"/>
        <n v="0.86266612154206623" u="1"/>
        <n v="0.85376904262612641" u="1"/>
        <n v="0.8671146610000362" u="1"/>
        <n v="0.88935735828988605" u="1"/>
        <n v="0.93516661153240477" u="1"/>
        <n v="0.94367117226087671" u="1"/>
        <n v="0.95642801335358474" u="1"/>
        <n v="0.9776894151747646" u="1"/>
        <n v="1.0032030973601804" u="1"/>
        <n v="1.0117076580886526" u="1"/>
        <n v="1.0244644991813603" u="1"/>
        <n v="1.0457259010025404" u="1"/>
        <n v="1.076196015524624" u="1"/>
        <n v="1.1823757461142408" u="1"/>
        <n v="1.1509742911168059" u="1"/>
        <n v="1.1562078669497118" u="1"/>
        <n v="1.1614414427826176" u="1"/>
        <n v="1.1719085944484293" u="1"/>
        <n v="1.1928428977800525" u="1"/>
        <n v="1.2085436252787698" u="1"/>
        <n v="1.234711504443299" u="1"/>
        <n v="1.1052694943933379" u="1"/>
        <n v="1.1141625296359752" u="1"/>
        <n v="1.1275020824999313" u="1"/>
        <n v="1.1941998468197115" u="1"/>
        <n v="1.2030928820623492" u="1"/>
        <n v="1.2164324349263052" u="1"/>
        <n v="1.0163391419669643" u="1"/>
        <n v="1.0252321772096016" u="1"/>
        <n v="1.0385717300735575" u="1"/>
        <n v="1.0514220590193342" u="1"/>
        <n v="1.3052156032515236" u="1"/>
        <n v="1.3147927181282102" u="1"/>
        <n v="1.3387355053199259" u="1"/>
        <n v="0.92799335668819882" u="1"/>
        <n v="0.92252071961580651" u="1"/>
        <n v="0.93346599376059092" u="1"/>
        <n v="0.96082917912255217" u="1"/>
        <n v="1.4009867520183881" u="1"/>
        <n v="1.4105638668950742" u="1"/>
        <n v="1.4345066540867901" u="1"/>
        <n v="1.0319734610636513" u="1"/>
        <n v="0.88739013094872199" u="1"/>
        <n v="0.8962831661913595" u="1"/>
        <n v="0.90962271905531544" u="1"/>
        <n v="0.97632048337509603" u="1"/>
        <n v="0.98521351861773354" u="1"/>
        <n v="0.99855307148168926" u="1"/>
        <n v="0.90072968381267826" u="1"/>
        <n v="0.92296227191927172" u="1"/>
        <n v="0.98966003623905197" u="1"/>
        <n v="1.0118926243456456" u="1"/>
        <n v="1.0563578005588323" u="1"/>
        <n v="1.0652508358014698" u="1"/>
        <n v="1.078590388665426" u="1"/>
        <n v="0.88648092492717045" u="1"/>
        <n v="0.89578440795023706" u="1"/>
        <n v="0.90973963248483725" u="1"/>
        <n v="0.92369485701943754" u="1"/>
        <n v="0.93299834004250448" u="1"/>
        <n v="0.94695356457710456" u="1"/>
        <n v="0.905087890973304" u="1"/>
        <n v="0.91439137399637083" u="1"/>
        <n v="0.92834659853097079" u="1"/>
        <n v="0.95625704760017116" u="1"/>
        <n v="0.9655605306232381" u="1"/>
        <n v="0.97951575515783806" u="1"/>
        <n v="0.91004419410782011" u="1"/>
        <n v="0.9329591769232557" u="1"/>
        <n v="1.001704125369562" u="1"/>
        <n v="1.1941899810192198" u="1"/>
        <n v="1.5883276854447095" u="1"/>
        <n v="0.99693854615334543" u="1"/>
        <n v="0.93122646307967005" u="1"/>
        <n v="1.0626506292270206" u="1"/>
        <n v="1.3283868179276972" u="1"/>
        <n v="1.3047978650294549" u="1"/>
        <n v="1.3897180954631276" u="1"/>
        <n v="1.6916566925606298" u="1"/>
        <n v="1.6208898338659028" u="1"/>
        <n v="1.5973008809676603" u="1"/>
        <n v="1.4227426295206662" u="1"/>
        <n v="1.4840739070560967" u="1"/>
        <n v="1.8039196784560758" u="1"/>
        <n v="1.6421668585824136" u="1"/>
        <n v="1.6152080552701367" u="1"/>
        <n v="1.5828574912954043" u="1"/>
        <n v="2.1470667973782582" u="1"/>
        <n v="1.8881955256110405" u="1"/>
        <n v="1.346809609075253" u="1"/>
        <n v="1.2172455366204897" u="1"/>
        <n v="1.2535575003281694" u="1"/>
        <n v="1.8647517610387441" u="1"/>
        <n v="1.5679569329194278" u="1"/>
        <n v="2.043908506788827" u="1"/>
        <n v="1.8065053669866618" u="1"/>
        <n v="2.049225944448076" u="1"/>
        <n v="1.9785244752633684" u="1"/>
        <n v="0.69114009526588649" u="1"/>
        <n v="1.1952454563726791" u="1"/>
        <n v="1.0458397743260941" u="1"/>
        <n v="1.4091127990276757" u="1"/>
        <n v="0.3879271219068009" u="1"/>
        <n v="0.29480122976613449" u="1"/>
        <n v="0.36470731233394038" u="1"/>
        <n v="0.34393476806049023" u="1"/>
        <n v="0.77882405319933845" u="1"/>
        <n v="0.92077734950275136" u="1"/>
        <n v="0.89008463222781542" u="1"/>
        <n v="1.0356523826024415" u="1"/>
        <n v="0.68338499811088804" u="1"/>
        <n v="0.79182097501298487" u="1"/>
        <n v="1.0895659190612295" u="1"/>
        <n v="1.1578593631599774" u="1"/>
        <n v="0.86709525013659872" u="1"/>
        <n v="0.73607816297829365" u="1"/>
        <n v="0.6961443093144366" u="1"/>
        <n v="0.71517799187157871" u="1"/>
        <n v="0.89043437987396035" u="1"/>
        <n v="0.91193946858821917" u="1"/>
        <n v="0.77144554211367822" u="1"/>
        <n v="0.81892329179567658" u="1"/>
        <n v="0.79996781157822316" u="1"/>
        <n v="1.1902943113988007" u="1"/>
        <n v="1.2125370086886507" u="1"/>
        <n v="1.2347797059785006" u="1"/>
        <n v="1.2703680216422597" u="1"/>
        <n v="2.0440264998452853" u="1"/>
        <n v="2.07837184124873" u="1"/>
        <n v="2.1127171826521747" u="1"/>
        <n v="2.1676697288976858" u="1"/>
        <n v="1.0833422231488423" u="1"/>
        <n v="1.106239117417805" u="1"/>
        <n v="1.1291360116867681" u="1"/>
        <n v="1.1657710425171088" u="1"/>
        <n v="0.81773824962887154" u="1"/>
        <n v="1.0941737420706932" u="1"/>
        <n v="1.117397734829213" u="1"/>
        <n v="1.1406217275877324" u="1"/>
        <n v="1.1777801160013639" u="1"/>
        <n v="1.1382947693943535" u="1"/>
        <n v="1.1016597385640128" u="1"/>
        <n v="1.1245566328329755" u="1"/>
        <n v="1.1611916636633164" u="1"/>
        <n v="1.1520329059557313" u="1"/>
        <n v="1.1886679367860717" u="1"/>
        <n v="1.0835293644075221" u="1"/>
        <n v="1.0924264433234621" u="1"/>
        <n v="1.1146691406133118" u="1"/>
        <n v="1.1369118379031615" u="1"/>
        <n v="1.1725001535669213" u="1"/>
        <n v="1.154705995735041" u="1"/>
        <n v="1.1769486930248909" u="1"/>
        <n v="1.1991913903147409" u="1"/>
        <n v="1.1749298002246942" u="1"/>
        <n v="1.1978266944936571" u="1"/>
        <n v="1.2207235887626202" u="1"/>
        <n v="1.2573586195929609" u="1"/>
        <n v="1.1122676448869673" u="1"/>
        <n v="1.1335290467081474" u="1"/>
        <n v="1.1547904485293272" u="1"/>
        <n v="1.1888086914432148" u="1"/>
        <n v="1.2436204830315831" u="1"/>
        <n v="1.1519766040928738" u="1"/>
        <n v="1.1142948580959522" u="1"/>
        <n v="1.1378459493440281" u="1"/>
        <n v="1.1755276953409499" u="1"/>
        <n v="1.2328718220514854" u="1"/>
        <n v="1.0283896769033309" u="1"/>
        <n v="1.3113754595450726" u="1"/>
        <n v="1.593988554521987" u="1"/>
        <n v="1.0701837460336123" u="1"/>
        <n v="1.1502574562770711" u="1"/>
        <n v="0.54391122469471542" u="1"/>
        <n v="1.2985730292770941" u="1"/>
        <n v="0.58841596104602922" u="1"/>
        <n v="0.57759203838585127" u="1"/>
        <n v="0.40378903889590484" u="1"/>
        <n v="0.58855036147232842" u="1"/>
        <n v="0.51421381009702494" u="1"/>
        <n v="0.71398707971934916" u="1"/>
        <n v="0.79456343967094822" u="1"/>
        <n v="0.78269103299567655" u="1"/>
        <n v="0.39339221870456642" u="1"/>
        <n v="0.66113747585773897" u="1"/>
        <n v="0.54728825010880222" u="1"/>
        <n v="1.346982329849447" u="1"/>
        <n v="0.81373218750439669" u="1"/>
        <n v="0.9090215054954961" u="1"/>
        <n v="0.87648501873929985" u="1"/>
        <n v="0.96479833993468989" u="1"/>
        <n v="0.98803868761768732" u="1"/>
        <n v="1.0484635915934808" u="1"/>
        <n v="1.2204421644476613" u="1"/>
        <n v="1.0848841449672852" u="1"/>
        <n v="1.2722673137659033" u="1"/>
        <n v="0.58590465080123399" u="1"/>
        <n v="0.98220546419048838" u="1"/>
        <n v="1.0925009808564274" u="1"/>
        <n v="1.1474535271019386" u="1"/>
        <n v="1.1840885579322791" u="1"/>
        <n v="0.69572536266282359" u="1"/>
        <n v="0.88099088691169691" u="1"/>
        <n v="0.89945770162541139" u="1"/>
        <n v="0.68622848136618886" u="1"/>
        <n v="0.37705700249595592" u="1"/>
        <n v="0.45246840299514712" u="1"/>
        <n v="1.0491376794432625" u="1"/>
        <n v="0.37998803599251996" u="1"/>
        <n v="1.3947910450830414" u="1"/>
        <n v="1.6072742238990181" u="1"/>
        <n v="1.1553691909352688" u="1"/>
        <n v="0.82591811262431292" u="1"/>
        <n v="0.87043179015911676" u="1"/>
        <n v="0.77508458205337805" u="1"/>
        <n v="0.84001026445207616" u="1"/>
        <n v="0.91060556508953761" u="1"/>
        <n v="0.74655823659512488" u="1"/>
        <n v="0.78045738738588166" u="1"/>
        <n v="0.83442095648458303" u="1"/>
        <n v="0.7489663464152494" u="1"/>
        <n v="0.77956736986269193" u="1"/>
        <n v="0.8909341369859336" u="1"/>
        <n v="0.93738808170981813" u="1"/>
        <n v="0.74088967402161143" u="1"/>
        <n v="0.71297658530595509" u="1"/>
        <n v="0.58856424326589096" u="1"/>
        <n v="0.77346276401429293" u="1"/>
        <n v="0.57201077101712339" u="1"/>
        <n v="0.75789536174215155" u="1"/>
        <n v="0.76278309283808254" u="1"/>
        <n v="0.91186421418044472" u="1"/>
        <n v="0.79788118740788916" u="1"/>
        <n v="0.71254686115404431" u="1"/>
        <n v="1.1660318670351182" u="1"/>
        <n v="1.2557266260378197" u="1"/>
        <n v="9.5837200275501431" u="1"/>
        <n v="0.52692258167650019" u="1"/>
        <n v="0.61351946135134272" u="1"/>
        <n v="0.43910215139708347" u="1"/>
        <n v="0.77651506693849259" u="1"/>
        <n v="0.91800897957404437" u="1"/>
        <n v="0.88744579078684871" u="1"/>
        <n v="1.0325424605396734" u="1"/>
        <n v="0.68136976699972029" u="1"/>
        <n v="0.78945482766320518" u="1"/>
        <n v="1.0862815241347041" u="1"/>
        <n v="1.1543539596788224" u="1"/>
        <n v="0.86450664448897663" u="1"/>
        <n v="0.7339075092841939" u="1"/>
        <n v="0.694102887985105" u="1"/>
        <n v="0.71307497448823698" u="1"/>
        <n v="0.88775816428382959" u="1"/>
        <n v="0.90919365907678817" u="1"/>
        <n v="0.7691543935149332" u="1"/>
        <n v="0.81647849757292235" u="1"/>
        <n v="0.79757529975674557" u="1"/>
        <n v="0.54564346342218328" u="1"/>
        <n v="0.82435098433342557" u="1"/>
        <n v="0.80628991413406759" u="1"/>
        <n v="0.5842199827139215" u="1"/>
        <n v="0.68420404828647707" u="1"/>
        <n v="0.77814387184063716" u="1"/>
        <n v="0.80483510858845708" u="1"/>
        <n v="1.1222091853481406" u="1"/>
        <n v="1.0860870449494247" u="1"/>
        <n v="1.5592896765775508" u="1"/>
        <n v="2.0108164315615005" u="1"/>
        <n v="1.3733668951135707" u="1"/>
        <n v="1.3202461004095771" u="1"/>
        <n v="1.4158635308767666" u="1"/>
        <n v="0.45233652892924237" u="1"/>
        <n v="0.4296788859725939" u="1"/>
        <n v="1.288373623587181" u="1"/>
        <n v="1.5539775971071512" u="1"/>
        <n v="0.8298504702964159" u="1"/>
        <n v="0.84844274844281398" u="1"/>
        <n v="0.8995715133454083" u="1"/>
        <n v="0.96929255639440048" u="1"/>
        <n v="1.1087346424923852" u="1"/>
        <n v="0.89492344380880873" u="1"/>
        <n v="0.85124174550431286" u="1"/>
        <n v="0.89575542303911682" u="1"/>
        <n v="0.80157699798937798" u="1"/>
        <n v="0.86650268038807599" u="1"/>
        <n v="0.93709798102553765" u="1"/>
        <n v="0.77188186947512483" u="1"/>
        <n v="0.80578102026588161" u="1"/>
        <n v="0.85974458936458287" u="1"/>
        <n v="0.77428997929524912" u="1"/>
        <n v="0.80683897450269193" u="1"/>
        <n v="0.9221016851459336" u="1"/>
        <n v="0.96465968634981814" u="1"/>
        <n v="0.76621330690161127" u="1"/>
        <n v="0.73830021818595526" u="1"/>
        <n v="0.61583584790589085" u="1"/>
        <n v="0.80073436865429293" u="1"/>
        <n v="0.5992823756571235" u="1"/>
        <n v="0.78321899462215161" u="1"/>
        <n v="0.77848331018674111" u="1"/>
        <n v="0.94303176234044472" u="1"/>
        <n v="0.82515279204788905" u="1"/>
        <n v="0.73787049403404414" u="1"/>
        <n v="1.1913554999151184" u="1"/>
        <n v="1.2829982306778198" u="1"/>
        <n v="9.6111954079102961" u="1"/>
        <n v="0.55029824279650019" u="1"/>
        <n v="0.63299917895134283" u="1"/>
        <n v="0.45858186899708347" u="1"/>
        <n v="1.0048721356506101" u="1"/>
        <n v="0.97818089890279036" u="1"/>
        <n v="0.98262943836076044" u="1"/>
        <n v="0.9870779778187303" u="1"/>
        <n v="0.99597505673467024" u="1"/>
        <n v="1.01376921456655" u="1"/>
        <n v="1.0271148329404598" u="1"/>
        <n v="1.0493575302303095" u="1"/>
        <n v="0.93814404378106087" u="1"/>
        <n v="0.94704112269700091" u="1"/>
        <n v="0.9603867410709106" u="1"/>
        <n v="0.90255572811730123" u="1"/>
        <n v="0.91145280703324127" u="1"/>
        <n v="0.92479842540715096" u="1"/>
        <n v="0.90854505903981364" u="1"/>
        <n v="0.91796549553904405" u="1"/>
        <n v="0.93209615028788995" u="1"/>
        <n v="0.95564724153596603" u="1"/>
        <n v="0.82835515004319671" u="1"/>
        <n v="0.83751390775078161" u="1"/>
        <n v="0.85125204431215951" u="1"/>
        <n v="0.87414893858112241" u="1"/>
        <n v="0.81803347841587226" u="1"/>
        <n v="0.82693055733181209" u="1"/>
        <n v="0.84027617570572188" u="1"/>
        <n v="0.86251887299557162" u="1"/>
        <n v="0.84472471516369185" u="1"/>
        <n v="0.8536217940796319" u="1"/>
        <n v="0.86696741245354159" u="1"/>
        <n v="0.88921010974339154" u="1"/>
        <n v="0.93502585924531423" u="1"/>
        <n v="0.94353041997378628" u="1"/>
        <n v="0.95628726106649442" u="1"/>
        <n v="0.97754866288767417" u="1"/>
        <n v="1.00306234507309" u="1"/>
        <n v="1.0115669058015619" u="1"/>
        <n v="1.0243237468942699" u="1"/>
        <n v="1.0455851487154499" u="1"/>
        <n v="1.0760487669781293" u="1"/>
        <n v="1.1822025125301296" u="1"/>
        <n v="1.1508010575326946" u="1"/>
        <n v="1.1560346333656004" u="1"/>
        <n v="1.1612682091985063" u="1"/>
        <n v="1.171735360864318" u="1"/>
        <n v="1.1926696641959411" u="1"/>
        <n v="1.2083703916946584" u="1"/>
        <n v="1.2345382708591877" u="1"/>
        <n v="1.1051223127704957" u="1"/>
        <n v="1.114015348013133" u="1"/>
        <n v="1.1273549008770893" u="1"/>
        <n v="1.1940526651968695" u="1"/>
        <n v="1.2029457004395068" u="1"/>
        <n v="1.2162852533034629" u="1"/>
        <n v="1.0161919603441218" u="1"/>
        <n v="1.0250849955867591" u="1"/>
        <n v="1.0384245484507153" u="1"/>
        <n v="1.0512635557331964" u="1"/>
        <n v="1.3050570999653859" u="1"/>
        <n v="1.3146342148420724" u="1"/>
        <n v="1.3385770020337884" u="1"/>
        <n v="0.92781221007546988" u="1"/>
        <n v="0.92233957300307756" u="1"/>
        <n v="0.93328484714786208" u="1"/>
        <n v="0.96064803250982334" u="1"/>
        <n v="1.4008282487322503" u="1"/>
        <n v="1.4104053636089369" u="1"/>
        <n v="1.4343481508006524" u="1"/>
        <n v="1.0317923144509225" u="1"/>
        <n v="0.88724294932587988" u="1"/>
        <n v="0.8961359845685174" u="1"/>
        <n v="0.90947553743247322" u="1"/>
        <n v="0.97617330175225381" u="1"/>
        <n v="0.98506633699489121" u="1"/>
        <n v="0.99840588985884715" u="1"/>
        <n v="0.90058250218983604" u="1"/>
        <n v="0.92281509029642961" u="1"/>
        <n v="0.98951285461620986" u="1"/>
        <n v="1.0117454427228032" u="1"/>
        <n v="1.0562106189359901" u="1"/>
        <n v="1.0651036541786276" u="1"/>
        <n v="1.0784432070425836" u="1"/>
        <n v="0.88632695030635067" u="1"/>
        <n v="0.89563043332941739" u="1"/>
        <n v="0.90958565786401768" u="1"/>
        <n v="0.92354088239861787" u="1"/>
        <n v="0.93284436542168481" u="1"/>
        <n v="0.94679958995628499" u="1"/>
        <n v="0.90493391635248432" u="1"/>
        <n v="0.91423739937555104" u="1"/>
        <n v="0.92819262391015123" u="1"/>
        <n v="0.95610307297935171" u="1"/>
        <n v="0.96540655600241865" u="1"/>
        <n v="0.97936178053701861" u="1"/>
        <n v="0.90989249497400781" u="1"/>
        <n v="0.93280747778944317" u="1"/>
        <n v="1.0015524262357496" u="1"/>
        <n v="1.1940382818854074" u="1"/>
        <n v="1.5881759863108977" u="1"/>
        <n v="0.99679353962837769" u="1"/>
        <n v="0.93108145655470231" u="1"/>
        <n v="1.0625056227020528" u="1"/>
        <n v="1.3282306570546549" u="1"/>
        <n v="1.3046417041564127" u="1"/>
        <n v="1.3895619345900856" u="1"/>
        <n v="1.6915005316875877" u="1"/>
        <n v="1.620733672992861" u="1"/>
        <n v="1.5971447200946183" u="1"/>
        <n v="1.4225864686476248" u="1"/>
        <n v="1.4839177461830548" u="1"/>
        <n v="1.8037412088868854" u="1"/>
        <n v="1.6419883890132227" u="1"/>
        <n v="1.6150295857009458" u="1"/>
        <n v="1.5826790217262139" u="1"/>
        <n v="0.80378667157849248" u="1"/>
        <n v="0.94528058421404426" u="1"/>
        <n v="0.9186133389468486" u="1"/>
        <n v="1.0637100086996731" u="1"/>
        <n v="0.70669339987972024" u="1"/>
        <n v="0.81477846054320502" u="1"/>
        <n v="1.1174490722947041" u="1"/>
        <n v="1.1855215078388224" u="1"/>
        <n v="0.89255743783297659" u="1"/>
        <n v="0.76117911392419368" u="1"/>
        <n v="0.721374492625105" u="1"/>
        <n v="0.74034657912823698" u="1"/>
        <n v="0.91425058021982952" u="1"/>
        <n v="0.93568607501278811" u="1"/>
        <n v="0.79564680945093325" u="1"/>
        <n v="0.84297091350892239" u="1"/>
        <n v="0.82289893263674563" u="1"/>
        <n v="1.1901470628523063" u="1"/>
        <n v="1.2123897601421558" u="1"/>
        <n v="1.234632457432006" u="1"/>
        <n v="1.2702207730957655" u="1"/>
        <n v="2.0437991307661401" u="1"/>
        <n v="2.0781444721695843" u="1"/>
        <n v="2.1124898135730286" u="1"/>
        <n v="2.1674423598185402" u="1"/>
        <n v="1.083190643762745" u="1"/>
        <n v="1.1060875380317079" u="1"/>
        <n v="1.1289844323006708" u="1"/>
        <n v="1.1656194631310113" u="1"/>
        <n v="0.81758667024277432" u="1"/>
        <n v="1.0940199972647944" u="1"/>
        <n v="1.117243990023314" u="1"/>
        <n v="1.1404679827818336" u="1"/>
        <n v="1.1776263711954649" u="1"/>
        <n v="1.1381431900082561" u="1"/>
        <n v="1.1015081591779152" u="1"/>
        <n v="1.1244050534468784" u="1"/>
        <n v="1.1610400842772188" u="1"/>
        <n v="1.1518813265696339" u="1"/>
        <n v="1.1885163573999744" u="1"/>
        <n v="1.0833821158610273" u="1"/>
        <n v="1.0922791947769674" u="1"/>
        <n v="1.1145218920668174" u="1"/>
        <n v="1.1367645893566667" u="1"/>
        <n v="1.1723529050204267" u="1"/>
        <n v="1.1545587471885466" u="1"/>
        <n v="1.1768014444783963" u="1"/>
        <n v="1.199044141768246" u="1"/>
        <n v="1.1747782208385966" u="1"/>
        <n v="1.1976751151075598" u="1"/>
        <n v="1.2205720093765229" u="1"/>
        <n v="1.2572070402068634" u="1"/>
        <n v="1.1121268925998771" u="1"/>
        <n v="1.1333882944210569" u="1"/>
        <n v="1.1546496962422366" u="1"/>
        <n v="1.1886679391561246" u="1"/>
        <n v="1.2434689036454856" u="1"/>
        <n v="1.1518206938671736" u="1"/>
        <n v="1.1141389478702519" u="1"/>
        <n v="1.137690039118328" u="1"/>
        <n v="1.1753717851152499" u="1"/>
        <n v="1.232698588467374" u="1"/>
        <n v="1.0282380975172336" u="1"/>
        <n v="1.3112022259609615" u="1"/>
        <n v="1.5938153209378758" u="1"/>
        <n v="1.0700364974871177" u="1"/>
        <n v="1.1501102077305765" u="1"/>
        <n v="0.5437812995066319" u="1"/>
        <n v="1.2984214498909969" u="1"/>
        <n v="0.61438891784602923" u="1"/>
        <n v="0.60356499518585127" u="1"/>
        <n v="0.42326875649590479" u="1"/>
        <n v="0.5619390789785248" u="1"/>
        <n v="0.82420152705873362" u="1"/>
        <n v="0.80614045685937541" u="1"/>
        <n v="1.0847304001613864" u="1"/>
        <n v="0.61149158735392151" u="1"/>
        <n v="0.98206260061909156" u="1"/>
        <n v="1.0923494014703301" u="1"/>
        <n v="1.1473019477158413" u="1"/>
        <n v="1.1839369785461817" u="1"/>
        <n v="0.8808776702787412" u="1"/>
        <n v="0.89928108367800064" u="1"/>
        <n v="0.70952768116647713" u="1"/>
        <n v="1.1374129651177787" u="1"/>
        <n v="1.1007854267704427" u="1"/>
        <n v="1.5805210215547554" u="1"/>
        <n v="2.0383652508964527" u="1"/>
        <n v="1.3919969271199388" u="1"/>
        <n v="1.3381329001385631" u="1"/>
        <n v="1.4350881487050398" u="1"/>
        <n v="0.45822640191748876" u="1"/>
        <n v="0.43532490287402309" u="1"/>
        <n v="1.3058144839497374" u="1"/>
        <n v="1.5751346188566182" u="1"/>
        <n v="0.84094912236031361" u="1"/>
        <n v="0.85980153180379526" u="1"/>
        <n v="0.9116456577733697" u="1"/>
        <n v="0.98234219318642579" u="1"/>
        <n v="1.1237352640125382" u="1"/>
        <n v="0.90693255541249929" u="1"/>
        <n v="0.81569488410286228" u="1"/>
        <n v="0.87389477627523049" u="1"/>
        <n v="0.76619173252642214" u="1"/>
        <n v="0.84379158875624671" u="1"/>
        <n v="0.91422838133408724" u="1"/>
        <n v="0.73794287129219494" u="1"/>
        <n v="0.78412239357798275" u="1"/>
        <n v="0.82402545690400497" u="1"/>
        <n v="0.75270205963394599" u="1"/>
        <n v="0.7707840112960046" u="1"/>
        <n v="0.88089601290971964" u="1"/>
        <n v="0.94111745137332514" u="1"/>
        <n v="0.73238915609143296" u="1"/>
        <n v="0.71679310655504669" u="1"/>
        <n v="0.59307682922399507" u="1"/>
        <n v="0.76480308723364565" u="1"/>
        <n v="0.56743259317579831" u="1"/>
        <n v="0.74905030169371878" u="1"/>
        <n v="0.76442908883276151" u="1"/>
        <n v="0.90140203826637899" u="1"/>
        <n v="0.78872678348308156" u="1"/>
        <n v="0.70462058008762329" u="1"/>
        <n v="1.1489177961485788" u="1"/>
        <n v="1.2372960881600079" u="1"/>
        <n v="9.568079328127391" u="1"/>
        <n v="0.52225633852483822" u="1"/>
        <n v="0.60609716007619419" u="1"/>
        <n v="0.43521361543736525" u="1"/>
        <n v="1.0184415618193592" u="1"/>
        <n v="0.99137687831147581" u="1"/>
        <n v="0.99588765889612296" u="1"/>
        <n v="1.0003984394807701" u="1"/>
        <n v="1.0094200006500647" u="1"/>
        <n v="1.0274631229886539" u="1"/>
        <n v="1.0409954647425956" u="1"/>
        <n v="1.0635493676658319" u="1"/>
        <n v="0.95077985304965029" u="1"/>
        <n v="0.95980141421894483" u="1"/>
        <n v="0.97333375597288674" u="1"/>
        <n v="0.91469360837247227" u="1"/>
        <n v="0.9237151695417668" u="1"/>
        <n v="0.93724751129570849" u="1"/>
        <n v="0.92073790855694049" u="1"/>
        <n v="0.93029014979501734" u="1"/>
        <n v="0.94461851165213218" u="1"/>
        <n v="0.96849911474732364" u="1"/>
        <n v="0.83944044831935682" u="1"/>
        <n v="0.84872734952304241" u="1"/>
        <n v="0.86265770132857067" u="1"/>
        <n v="0.88587495433778463" u="1"/>
        <n v="0.8289887772641743" u="1"/>
        <n v="0.83801033843346862" u="1"/>
        <n v="0.85154268018741042" u="1"/>
        <n v="0.87409658311064675" u="1"/>
        <n v="0.85605346077205768" u="1"/>
        <n v="0.86507502194135244" u="1"/>
        <n v="0.87860736369529413" u="1"/>
        <n v="0.90116126661853047" u="1"/>
        <n v="0.94763966309185188" u="1"/>
        <n v="0.95626321420955962" u="1"/>
        <n v="0.96919854088612178" u="1"/>
        <n v="0.9907574186803918" u="1"/>
        <n v="1.0166280720335159" u="1"/>
        <n v="1.0252516231512239" u="1"/>
        <n v="1.0381869498277858" u="1"/>
        <n v="1.0597458276220562" u="1"/>
        <n v="1.0906140511737155" u="1"/>
        <n v="1.1981665433168933" u="1"/>
        <n v="1.1663257391899715" u="1"/>
        <n v="1.1716325398777918" u="1"/>
        <n v="1.1769393405656119" u="1"/>
        <n v="1.1875529419412525" u="1"/>
        <n v="1.2087801446925339" u="1"/>
        <n v="1.2247005467559948" u="1"/>
        <n v="1.2512345501950963" u="1"/>
        <n v="1.1200945982242665" u="1"/>
        <n v="1.1291120591437607" u="1"/>
        <n v="1.1426382505230017" u="1"/>
        <n v="1.2102692074192094" u="1"/>
        <n v="1.2192866683387038" u="1"/>
        <n v="1.2328128597179453" u="1"/>
        <n v="1.0299199890293227" u="1"/>
        <n v="1.0389374499488171" u="1"/>
        <n v="1.0524636413280584" u="1"/>
        <n v="1.0654446006524905" u="1"/>
        <n v="1.3227890622780596" u="1"/>
        <n v="1.3325001740375151" u="1"/>
        <n v="1.3567779534361537" u="1"/>
        <n v="0.94019063618983356" u="1"/>
        <n v="0.93464142947014461" u="1"/>
        <n v="0.94573984290952218" u="1"/>
        <n v="0.97348587650796636" u="1"/>
        <n v="1.4199001798726143" u="1"/>
        <n v="1.4296112916320693" u="1"/>
        <n v="1.4538890710307082" u="1"/>
        <n v="1.0456255638639211" u="1"/>
        <n v="0.89916680569665475" u="1"/>
        <n v="0.90818426661614915" u="1"/>
        <n v="0.92171045799539064" u="1"/>
        <n v="0.98934141489159833" u="1"/>
        <n v="0.99835887581109251" u="1"/>
        <n v="1.0118850671903339" u="1"/>
        <n v="0.91269299707589635" u="1"/>
        <n v="0.93523664937463213" u="1"/>
        <n v="1.0028676062708399" u="1"/>
        <n v="1.0254112585695756" u="1"/>
        <n v="1.0704985631670469" u="1"/>
        <n v="1.0795160240865416" u="1"/>
        <n v="1.0930422154657833" u="1"/>
        <n v="0.89821538070780416" u="1"/>
        <n v="0.9076490321312749" u="1"/>
        <n v="0.92179950926648146" u="1"/>
        <n v="0.93594998640168781" u="1"/>
        <n v="0.945383637825159" u="1"/>
        <n v="0.95953411496036545" u="1"/>
        <n v="0.91708268355474609" u="1"/>
        <n v="0.92651633497821695" u="1"/>
        <n v="0.94066681211342351" u="1"/>
        <n v="0.96896776638383653" u="1"/>
        <n v="0.97840141780730749" u="1"/>
        <n v="0.99255189494251383" u="1"/>
        <n v="0.9221182132036333" u="1"/>
        <n v="0.94535380784272471" u="1"/>
        <n v="1.015060591759998" u="1"/>
        <n v="1.2102395867283637" u="1"/>
        <n v="1.6098918145207315" u="1"/>
        <n v="1.0102573976054932" u="1"/>
        <n v="0.94362591297868759" u="1"/>
        <n v="1.0768888822322986" u="1"/>
        <n v="1.3462946455129157" u="1"/>
        <n v="1.3223756510314979" u="1"/>
        <n v="1.4084840311646007" u="1"/>
        <n v="1.7146471605267424" u="1"/>
        <n v="1.6428901770824904" u="1"/>
        <n v="1.6189711826010731" u="1"/>
        <n v="1.4419706234385847" u="1"/>
        <n v="1.5041600090902698" u="1"/>
        <n v="1.8283839851610737" u="1"/>
        <n v="1.6643680230027833" u="1"/>
        <n v="1.6370320293097349" u="1"/>
        <n v="1.6042288368780766" u="1"/>
        <n v="0.76779354926482524" u="1"/>
        <n v="0.92178186125391792" u="1"/>
        <n v="0.87747834201694308" u="1"/>
        <n v="1.0368916213307002" u="1"/>
        <n v="0.67407514648343247" u="1"/>
        <n v="0.79309963184770738" u="1"/>
        <n v="1.072285582905208" u="1"/>
        <n v="1.1584296163669741" u="1"/>
        <n v="0.86856634365561158" u="1"/>
        <n v="0.73809375511954922" u="1"/>
        <n v="0.68705107442297852" u="1"/>
        <n v="0.71730799574118664" u="1"/>
        <n v="0.87658250236310586" u="1"/>
        <n v="0.91281964548253047" u="1"/>
        <n v="0.76038169200870198" u="1"/>
        <n v="0.8203126578969665" u="1"/>
        <n v="0.78792630809905251" u="1"/>
        <n v="1.2063087376282768" u="1"/>
        <n v="1.2288626405515128" u="1"/>
        <n v="1.2514165434747497" u="1"/>
        <n v="1.2875027881519276" u="1"/>
        <n v="2.0716378866559988" u="1"/>
        <n v="2.1064637661698198" u="1"/>
        <n v="2.1412896456836408" u="1"/>
        <n v="2.1970110529057538" u="1"/>
        <n v="1.0978414377249237" u="1"/>
        <n v="1.1210586907341373" u="1"/>
        <n v="1.1442759437433514" u="1"/>
        <n v="1.1814235485580935" u="1"/>
        <n v="0.8285213028180427" u="1"/>
        <n v="1.1088151012248391" u="1"/>
        <n v="1.1323640292770421" u="1"/>
        <n v="1.1559129573292446" u="1"/>
        <n v="1.1935912422127686" u="1"/>
        <n v="1.153562844947037" u="1"/>
        <n v="1.1164152401322949" u="1"/>
        <n v="1.1396324931415087" u="1"/>
        <n v="1.1767800979562506" u="1"/>
        <n v="1.1674931967525655" u="1"/>
        <n v="1.2046408015673074" u="1"/>
        <n v="1.0980500035967424" u="1"/>
        <n v="1.107071564766037" u="1"/>
        <n v="1.1296254676892734" u="1"/>
        <n v="1.1521793706125099" u="1"/>
        <n v="1.1882656152896875" u="1"/>
        <n v="1.1702224929510985" u="1"/>
        <n v="1.1927763958743347" u="1"/>
        <n v="1.2153302987975714" u="1"/>
        <n v="1.1907104497617786" u="1"/>
        <n v="1.2139277027709929" u="1"/>
        <n v="1.2371449557802066" u="1"/>
        <n v="1.2742925605949491" u="1"/>
        <n v="1.1272185811444935" u="1"/>
        <n v="1.1487774589387634" u="1"/>
        <n v="1.1703363367330335" u="1"/>
        <n v="1.2048305412038653" u="1"/>
        <n v="1.2603622087894206" u="1"/>
        <n v="1.167417300897942" u="1"/>
        <n v="1.1292083359456357" u="1"/>
        <n v="1.153088939040827" u="1"/>
        <n v="1.1912979039931331" u="1"/>
        <n v="1.2493691281406638" u="1"/>
        <n v="1.0421200305028102" u="1"/>
        <n v="1.3289711384579685" u="1"/>
        <n v="1.6155383756002653" u="1"/>
        <n v="1.0845176618428007" u="1"/>
        <n v="1.1657117123664511" u="1"/>
        <n v="0.5509570960665704" u="1"/>
        <n v="1.3160836160115337" u="1"/>
        <n v="0.59567006434525227" u="1"/>
        <n v="0.58481073836912112" u="1"/>
        <n v="0.40910688487501773" u="1"/>
        <n v="0.54790437523802293" u="1"/>
        <n v="0.83523577375225821" u="1"/>
        <n v="0.81692200457859032" u="1"/>
        <n v="1.099395530003958" u="1"/>
        <n v="0.57939444130051632" u="1"/>
        <n v="0.99532748532560933" u="1"/>
        <n v="1.1071283389286091" u="1"/>
        <n v="1.1628497461507226" u="1"/>
        <n v="1.1999973509654644" u="1"/>
        <n v="0.89282551720153147" u="1"/>
        <n v="0.91127539373339106" u="1"/>
        <n v="0.67685200408381352" u="1"/>
        <n v="1.0487062732396246" u="1"/>
        <n v="1.1374014557566912" u="1"/>
        <n v="1.1007739174093556" u="1"/>
        <n v="1.5805074811299469" u="1"/>
        <n v="2.0383517104716438" u="1"/>
        <n v="1.3919833866951303" u="1"/>
        <n v="1.3381193597137542" u="1"/>
        <n v="1.4350746082802313" u="1"/>
        <n v="0.45821624659888216" u="1"/>
        <n v="0.43531644010851761" u="1"/>
        <n v="1.3058009435249285" u="1"/>
        <n v="1.5751210784318093" u="1"/>
        <n v="0.84093727448860589" u="1"/>
        <n v="0.85978968393208755" u="1"/>
        <n v="0.9116338099016621" u="1"/>
        <n v="0.98233034531471819" u="1"/>
        <n v="1.1237234161408307" u="1"/>
        <n v="0.90692070754079157" u="1"/>
        <n v="0.81536593275286229" u="1"/>
        <n v="0.87356582492523061" u="1"/>
        <n v="0.76584759880642239" u="1"/>
        <n v="0.84344745503624674" u="1"/>
        <n v="0.91388424761408749" u="1"/>
        <n v="0.73761391994219505" u="1"/>
        <n v="0.78379344222798286" u="1"/>
        <n v="0.82369650555400509" u="1"/>
        <n v="0.7523731082839461" u="1"/>
        <n v="0.77042975599600461" u="1"/>
        <n v="0.88049114970971953" u="1"/>
        <n v="0.94076319607332537" u="1"/>
        <n v="0.73206020474143307" u="1"/>
        <n v="0.7164641552050468" u="1"/>
        <n v="0.59272257392399508" u="1"/>
        <n v="0.76444883193364566" u="1"/>
        <n v="0.5670783378757982" u="1"/>
        <n v="0.74872135034371901" u="1"/>
        <n v="0.76422514464684599" u="1"/>
        <n v="0.90099717506637922" u="1"/>
        <n v="0.78837252818308179" u="1"/>
        <n v="0.7042916287376233" u="1"/>
        <n v="1.1485888447985788" u="1"/>
        <n v="1.2369418328600081" u="1"/>
        <n v="9.5677224258020352" u="1"/>
        <n v="0.52195269112483822" u="1"/>
        <n v="0.60584412057619419" u="1"/>
        <n v="0.4349605759373652" u="1"/>
        <n v="1.018430222547352" u="1"/>
        <n v="0.99136553903946834" u="1"/>
        <n v="0.99587631962411571" u="1"/>
        <n v="1.0003871002087628" u="1"/>
        <n v="1.0094086613780573" u="1"/>
        <n v="1.0274517837166464" u="1"/>
        <n v="1.0409841254705883" u="1"/>
        <n v="1.0635380283938245" u="1"/>
        <n v="0.95076851377764304" u="1"/>
        <n v="0.95979007494693769" u="1"/>
        <n v="0.97332241670087938" u="1"/>
        <n v="0.91468226910046491" u="1"/>
        <n v="0.92370383026975944" u="1"/>
        <n v="0.93723617202370113" u="1"/>
        <n v="0.92072590226893292" u="1"/>
        <n v="0.93027814350700966" u="1"/>
        <n v="0.94460650536412449" u="1"/>
        <n v="0.96848710845931585" u="1"/>
        <n v="0.83942877553934936" u="1"/>
        <n v="0.84871567674303505" u="1"/>
        <n v="0.8626460285485632" u="1"/>
        <n v="0.88586328155777716" u="1"/>
        <n v="0.82897743799216683" u="1"/>
        <n v="0.83799899916146137" u="1"/>
        <n v="0.85153134091540306" u="1"/>
        <n v="0.8740852438386395" u="1"/>
        <n v="0.85604212150005043" u="1"/>
        <n v="0.86506368266934497" u="1"/>
        <n v="0.87859602442328688" u="1"/>
        <n v="0.90114992734652299" u="1"/>
        <n v="0.94762882408184479" u="1"/>
        <n v="0.95625237519955275" u="1"/>
        <n v="0.9691877018761148" u="1"/>
        <n v="0.99074657967038482" u="1"/>
        <n v="1.0166172330235088" u="1"/>
        <n v="1.025240784141217" u="1"/>
        <n v="1.0381761108177787" u="1"/>
        <n v="1.0597349886120488" u="1"/>
        <n v="1.0906027119017083" u="1"/>
        <n v="1.1981532029968847" u="1"/>
        <n v="1.1663123988699629" u="1"/>
        <n v="1.1716191995577832" u="1"/>
        <n v="1.1769260002456035" u="1"/>
        <n v="1.1875396016212438" u="1"/>
        <n v="1.208766804372525" u="1"/>
        <n v="1.2246872064359862" u="1"/>
        <n v="1.2512212098750877" u="1"/>
        <n v="1.1200832641058955" u="1"/>
        <n v="1.1291007250253899" u="1"/>
        <n v="1.1426269164046312" u="1"/>
        <n v="1.2102578733008389" u="1"/>
        <n v="1.2192753342203333" u="1"/>
        <n v="1.2328015255995748" u="1"/>
        <n v="1.029908654910952" u="1"/>
        <n v="1.0389261158304464" u="1"/>
        <n v="1.0524523072096879" u="1"/>
        <n v="1.0654323946788602" u="1"/>
        <n v="1.3227768563044295" u="1"/>
        <n v="1.332487968063885" u="1"/>
        <n v="1.3567657474625237" u="1"/>
        <n v="0.94017668650568498" u="1"/>
        <n v="0.93462747978599603" u="1"/>
        <n v="0.94572589322537381" u="1"/>
        <n v="0.97347192682381778" u="1"/>
        <n v="1.4198879738989842" u="1"/>
        <n v="1.4295990856584391" u="1"/>
        <n v="1.4538768650570781" u="1"/>
        <n v="1.0456116141797727" u="1"/>
        <n v="0.89915547157828402" u="1"/>
        <n v="0.90817293249777853" u="1"/>
        <n v="0.92169912387701991" u="1"/>
        <n v="0.98933008077322737" u="1"/>
        <n v="0.99834754169272188" u="1"/>
        <n v="1.0118737330719634" u="1"/>
        <n v="0.91268166295752562" u="1"/>
        <n v="0.93522531525626151" u="1"/>
        <n v="1.002856272152469" u="1"/>
        <n v="1.0253999244512049" u="1"/>
        <n v="1.0704872290486762" u="1"/>
        <n v="1.0795046899681708" u="1"/>
        <n v="1.0930308813474123" u="1"/>
        <n v="0.89820352347627774" u="1"/>
        <n v="0.90763717489974871" u="1"/>
        <n v="0.92178765203495505" u="1"/>
        <n v="0.93593812917016173" u="1"/>
        <n v="0.94537178059363269" u="1"/>
        <n v="0.95952225772883915" u="1"/>
        <n v="0.91707082632321968" u="1"/>
        <n v="0.92650447774669065" u="1"/>
        <n v="0.9406549548818971" u="1"/>
        <n v="0.96895590915231011" u="1"/>
        <n v="0.97838956057578119" u="1"/>
        <n v="0.99254003771098753" u="1"/>
        <n v="0.92210653120212982" u="1"/>
        <n v="0.9453421258412209" u="1"/>
        <n v="1.0150489097584943" u="1"/>
        <n v="1.2102279047268596" u="1"/>
        <n v="1.6098801325192273" u="1"/>
        <n v="1.0102462309864089" u="1"/>
        <n v="0.94361474635960318" u="1"/>
        <n v="1.0768777156132143" u="1"/>
        <n v="1.3462826199231321" u="1"/>
        <n v="1.3223636254417144" u="1"/>
        <n v="1.4084720055748172" u="1"/>
        <n v="1.7146351349369588" u="1"/>
        <n v="1.6428781514927073" u="1"/>
        <n v="1.6189591570112896" u="1"/>
        <n v="1.4419585978488016" u="1"/>
        <n v="1.5041479835004863" u="1"/>
        <n v="1.8283702416298926" u="1"/>
        <n v="1.6643542794716022" u="1"/>
        <n v="1.6370182857785536" u="1"/>
        <n v="1.6042150933468955" u="1"/>
        <n v="0.76743929396482535" u="1"/>
        <n v="0.92142760595391804" u="1"/>
        <n v="0.8770734788169432" u="1"/>
        <n v="1.0364867581307" u="1"/>
        <n v="0.67374619513343259" u="1"/>
        <n v="0.7927706804977076" u="1"/>
        <n v="1.0718807197052083" u="1"/>
        <n v="1.1580247531669743" u="1"/>
        <n v="0.86820196677561179" u="1"/>
        <n v="0.73773949981954934" u="1"/>
        <n v="0.68669681912297853" u="1"/>
        <n v="0.71695374044118654" u="1"/>
        <n v="0.87623836864310589" u="1"/>
        <n v="0.9124755117625305" u="1"/>
        <n v="0.76003755828870212" u="1"/>
        <n v="0.81996852417696675" u="1"/>
        <n v="0.7875973567490524" u="1"/>
        <n v="1.2062973983562695" u="1"/>
        <n v="1.2288513012795055" u="1"/>
        <n v="1.2514052042027424" u="1"/>
        <n v="1.2874914488799201" u="1"/>
        <n v="2.0716203774859876" u="1"/>
        <n v="2.1064462569998081" u="1"/>
        <n v="2.1412721365136296" u="1"/>
        <n v="2.1969935437357426" u="1"/>
        <n v="1.097829764944916" u="1"/>
        <n v="1.1210470179541299" u="1"/>
        <n v="1.1442642709633437" u="1"/>
        <n v="1.1814118757780858" u="1"/>
        <n v="0.82850963003803535" u="1"/>
        <n v="1.1088032616908314" u="1"/>
        <n v="1.1323521897430342" u="1"/>
        <n v="1.155901117795237" u="1"/>
        <n v="1.1935794026787609" u="1"/>
        <n v="1.1535511721670295" u="1"/>
        <n v="1.1164035673522874" u="1"/>
        <n v="1.139620820361501" u="1"/>
        <n v="1.1767684251762434" u="1"/>
        <n v="1.1674815239725578" u="1"/>
        <n v="1.2046291287872997" u="1"/>
        <n v="1.0980386643247351" u="1"/>
        <n v="1.1070602254940296" u="1"/>
        <n v="1.1296141284172661" u="1"/>
        <n v="1.1521680313405023" u="1"/>
        <n v="1.1882542760176804" u="1"/>
        <n v="1.1702111536790911" u="1"/>
        <n v="1.1927650566023278" u="1"/>
        <n v="1.2153189595255642" u="1"/>
        <n v="1.1906987769817714" u="1"/>
        <n v="1.2139160299909857" u="1"/>
        <n v="1.2371332830001991" u="1"/>
        <n v="1.2742808878149414" u="1"/>
        <n v="1.1272077421344866" u="1"/>
        <n v="1.1487666199287563" u="1"/>
        <n v="1.1703254977230264" u="1"/>
        <n v="1.2048197021938583" u="1"/>
        <n v="1.2603505360094132" u="1"/>
        <n v="1.1674052946099345" u="1"/>
        <n v="1.129196329657628" u="1"/>
        <n v="1.1530769327528194" u="1"/>
        <n v="1.1912858977051255" u="1"/>
        <n v="1.2493557878206552" u="1"/>
        <n v="1.0421083577228027" u="1"/>
        <n v="1.3289577981379599" u="1"/>
        <n v="1.6155250352802566" u="1"/>
        <n v="1.0845063225707934" u="1"/>
        <n v="1.165700373094444" u="1"/>
        <n v="0.55094709082656401" u="1"/>
        <n v="1.3160719432315262" u="1"/>
        <n v="0.59533267834525228" u="1"/>
        <n v="0.58447335236912112" u="1"/>
        <n v="0.40885384537501773" u="1"/>
        <n v="0.54769269689148625" u="1"/>
        <n v="0.83522426439117081" u="1"/>
        <n v="0.81691049521750292" u="1"/>
        <n v="1.0993836904699503" u="1"/>
        <n v="0.57904018600051621" u="1"/>
        <n v="0.99531648373045234" u="1"/>
        <n v="1.1071166661486016" u="1"/>
        <n v="1.1628380733707149" u="1"/>
        <n v="1.1999856781854572" u="1"/>
        <n v="0.89281679864893837" u="1"/>
        <n v="0.91126179279134611" u="1"/>
        <n v="0.67652305273381375" u="1"/>
        <n v="1.1374151025705519" u="1"/>
        <n v="1.1007875642232163" u="1"/>
        <n v="1.5805235362050771" u="1"/>
        <n v="2.038367765546774" u="1"/>
        <n v="1.3919994417702606" u="1"/>
        <n v="1.3381354147888846" u="1"/>
        <n v="1.4350906633553615" u="1"/>
        <n v="0.4582282879052299" u="1"/>
        <n v="0.43532647453047407" u="1"/>
        <n v="1.3058169986000587" u="1"/>
        <n v="1.5751371335069397" u="1"/>
        <n v="0.84095132267934503" u="1"/>
        <n v="0.85980373212282668" u="1"/>
        <n v="0.91164785809240123" u="1"/>
        <n v="0.98234439350545733" u="1"/>
        <n v="1.1237374643315698" u="1"/>
        <n v="0.90693475573153071" u="1"/>
        <n v="0.81563075640286242" u="1"/>
        <n v="0.87383064857523063" u="1"/>
        <n v="0.76612464508642231" u="1"/>
        <n v="0.84372450131624666" u="1"/>
        <n v="0.9141612938940874" u="1"/>
        <n v="0.73787874359219507" u="1"/>
        <n v="0.78405826587798277" u="1"/>
        <n v="0.82396132920400511" u="1"/>
        <n v="0.75263793193394612" u="1"/>
        <n v="0.77071495069600471" u="1"/>
        <n v="0.88081708650971968" u="1"/>
        <n v="0.94104839077332525" u="1"/>
        <n v="0.7323250283914331" u="1"/>
        <n v="0.71672897885504672" u="1"/>
        <n v="0.59300776862399518" u="1"/>
        <n v="0.76473402663364576" u="1"/>
        <n v="0.5673635325757983" u="1"/>
        <n v="0.74898617399371892" u="1"/>
        <n v="0.76438933076041682" u="1"/>
        <n v="0.90132311186637915" u="1"/>
        <n v="0.78865772288308178" u="1"/>
        <n v="0.70455645238762332" u="1"/>
        <n v="1.1488536684485788" u="1"/>
        <n v="1.2372270275600081" u="1"/>
        <n v="9.5680097515007869" u="1"/>
        <n v="0.52219714372483828" u="1"/>
        <n v="0.60604783107619431" u="1"/>
        <n v="0.43516428643736527" u="1"/>
        <n v="1.0184436676841606" u="1"/>
        <n v="0.99137898417627723" u="1"/>
        <n v="0.99588976476092428" u="1"/>
        <n v="1.0004005453455715" u="1"/>
        <n v="1.0094221065148661" u="1"/>
        <n v="1.0274652288534551" u="1"/>
        <n v="1.0409975706073968" u="1"/>
        <n v="1.0635514735306333" u="1"/>
        <n v="0.95078195891445172" u="1"/>
        <n v="0.95980352008374625" u="1"/>
        <n v="0.97333586183768805" u="1"/>
        <n v="0.91469571423727347" u="1"/>
        <n v="0.92371727540656812" u="1"/>
        <n v="0.93724961716050981" u="1"/>
        <n v="0.9207401382961421" u="1"/>
        <n v="0.93029237953421873" u="1"/>
        <n v="0.94462074139133356" u="1"/>
        <n v="0.96850134448652492" u="1"/>
        <n v="0.8394426161213584" u="1"/>
        <n v="0.84872951732504398" u="1"/>
        <n v="0.86265986913057213" u="1"/>
        <n v="0.88587712213978609" u="1"/>
        <n v="0.82899088312897562" u="1"/>
        <n v="0.83801244429827015" u="1"/>
        <n v="0.85154478605221184" u="1"/>
        <n v="0.87409868897544818" u="1"/>
        <n v="0.856055566636859" u="1"/>
        <n v="0.86507712780615376" u="1"/>
        <n v="0.87860946956009545" u="1"/>
        <n v="0.90116337248333178" u="1"/>
        <n v="0.94764167605085314" u="1"/>
        <n v="0.95626522716856099" u="1"/>
        <n v="0.96920055384512316" u="1"/>
        <n v="0.99075943163939317" u="1"/>
        <n v="1.0166300849925172" u="1"/>
        <n v="1.0252536361102254" u="1"/>
        <n v="1.0381889627867871" u="1"/>
        <n v="1.0597478405810574" u="1"/>
        <n v="1.0906161570385171" u="1"/>
        <n v="1.1981690208048947" u="1"/>
        <n v="1.1663282166779732" u="1"/>
        <n v="1.1716350173657932" u="1"/>
        <n v="1.1769418180536135" u="1"/>
        <n v="1.1875554194292541" u="1"/>
        <n v="1.2087826221805356" u="1"/>
        <n v="1.2247030242439962" u="1"/>
        <n v="1.2512370276830982" u="1"/>
        <n v="1.1200967031319637" u="1"/>
        <n v="1.1291141640514579" u="1"/>
        <n v="1.1426403554306996" u="1"/>
        <n v="1.2102713123269071" u="1"/>
        <n v="1.2192887732464013" u="1"/>
        <n v="1.2328149646256428" u="1"/>
        <n v="1.0299220939370199" u="1"/>
        <n v="1.0389395548565143" u="1"/>
        <n v="1.0524657462357558" u="1"/>
        <n v="1.0654468674761643" u="1"/>
        <n v="1.3227913291017335" u="1"/>
        <n v="1.3325024408611892" u="1"/>
        <n v="1.3567802202598278" u="1"/>
        <n v="0.94019322684546114" u="1"/>
        <n v="0.93464402012577219" u="1"/>
        <n v="0.94574243356514998" u="1"/>
        <n v="0.97348846716359405" u="1"/>
        <n v="1.4199024466962884" u="1"/>
        <n v="1.4296135584557432" u="1"/>
        <n v="1.4538913378543823" u="1"/>
        <n v="1.0456281545195487" u="1"/>
        <n v="0.89916891060435211" u="1"/>
        <n v="0.90818637152384663" u="1"/>
        <n v="0.92171256290308801" u="1"/>
        <n v="0.98934351979929558" u="1"/>
        <n v="0.99836098071878998" u="1"/>
        <n v="1.0118871720980314" u="1"/>
        <n v="0.91269510198359383" u="1"/>
        <n v="0.93523875428232972" u="1"/>
        <n v="1.0028697111785372" u="1"/>
        <n v="1.0254133634772731" u="1"/>
        <n v="1.0705006680747444" u="1"/>
        <n v="1.079518128994239" u="1"/>
        <n v="1.0930443203734805" u="1"/>
        <n v="0.89821758276508745" u="1"/>
        <n v="0.90765123418855842" u="1"/>
        <n v="0.92180171132376487" u="1"/>
        <n v="0.93595218845897155" u="1"/>
        <n v="0.94538583988244251" u="1"/>
        <n v="0.95953631701764897" u="1"/>
        <n v="0.91708488561202939" u="1"/>
        <n v="0.92651853703550036" u="1"/>
        <n v="0.94066901417070692" u="1"/>
        <n v="0.96896996844111982" u="1"/>
        <n v="0.97840361986459112" u="1"/>
        <n v="0.99255409699979724" u="1"/>
        <n v="0.92212038271819852" u="1"/>
        <n v="0.94535597735728971" u="1"/>
        <n v="1.0150627612745629" u="1"/>
        <n v="1.2102417562429286" u="1"/>
        <n v="1.6098939840352962" u="1"/>
        <n v="1.0102594714061803" u="1"/>
        <n v="0.94362798677937476" u="1"/>
        <n v="1.0768909560329858" u="1"/>
        <n v="1.3462968788367322" u="1"/>
        <n v="1.3223778843553149" u="1"/>
        <n v="1.4084862644884173" u="1"/>
        <n v="1.7146493938505594" u="1"/>
        <n v="1.6428924104063074" u="1"/>
        <n v="1.6189734159248899" u="1"/>
        <n v="1.4419728567624017" u="1"/>
        <n v="1.5041622424140864" u="1"/>
        <n v="1.8283865375311494" u="1"/>
        <n v="1.6643705753728595" u="1"/>
        <n v="1.6370345816798113" u="1"/>
        <n v="1.6042313892481528" u="1"/>
        <n v="0.76772448866482523" u="1"/>
        <n v="0.92171280065391803" u="1"/>
        <n v="0.87739941561694312" u="1"/>
        <n v="1.0368126949307002" u="1"/>
        <n v="0.67401101878343261" u="1"/>
        <n v="0.79303550414770774" u="1"/>
        <n v="1.0722066565052082" u="1"/>
        <n v="1.1583506899669742" u="1"/>
        <n v="0.86849530989561163" u="1"/>
        <n v="0.73802469451954922" u="1"/>
        <n v="0.68698201382297863" u="1"/>
        <n v="0.71723893514118653" u="1"/>
        <n v="0.87651541492310592" u="1"/>
        <n v="0.91275255804253053" u="1"/>
        <n v="0.76031460456870203" u="1"/>
        <n v="0.82024557045696656" u="1"/>
        <n v="0.78786218039905265" u="1"/>
        <n v="1.206310843493078" u="1"/>
        <n v="1.228864746416314" u="1"/>
        <n v="1.2514186493395509" u="1"/>
        <n v="1.2875048940167289" u="1"/>
        <n v="2.0716411383590008" u="1"/>
        <n v="2.1064670178728222" u="1"/>
        <n v="2.1412928973866427" u="1"/>
        <n v="2.1970143046087562" u="1"/>
        <n v="1.0978436055269252" u="1"/>
        <n v="1.1210608585361388" u="1"/>
        <n v="1.1442781115453531" u="1"/>
        <n v="1.181425716360095" u="1"/>
        <n v="0.82852347062004428" u="1"/>
        <n v="1.1088172999954404" u="1"/>
        <n v="1.1323662280476434" u="1"/>
        <n v="1.1559151560998457" u="1"/>
        <n v="1.1935934409833702" u="1"/>
        <n v="1.1535650127490382" u="1"/>
        <n v="1.1164174079342963" u="1"/>
        <n v="1.13963466094351" u="1"/>
        <n v="1.1767822657582523" u="1"/>
        <n v="1.1674953645545667" u="1"/>
        <n v="1.2046429693693088" u="1"/>
        <n v="1.0980521094615439" u="1"/>
        <n v="1.1070736706308382" u="1"/>
        <n v="1.1296275735540746" u="1"/>
        <n v="1.1521814764773108" u="1"/>
        <n v="1.188267721154489" u="1"/>
        <n v="1.1702245988158999" u="1"/>
        <n v="1.1927785017391361" u="1"/>
        <n v="1.2153324046623728" u="1"/>
        <n v="1.1907126175637806" u="1"/>
        <n v="1.2139298705729944" u="1"/>
        <n v="1.237147123582208" u="1"/>
        <n v="1.2742947283969501" u="1"/>
        <n v="1.127220594103495" u="1"/>
        <n v="1.1487794718977646" u="1"/>
        <n v="1.1703383496920345" u="1"/>
        <n v="1.2048325541628666" u="1"/>
        <n v="1.2603643765914219" u="1"/>
        <n v="1.1674195306371435" u="1"/>
        <n v="1.1292105656848372" u="1"/>
        <n v="1.1530911687800285" u="1"/>
        <n v="1.191300133732335" u="1"/>
        <n v="1.2493716056286654" u="1"/>
        <n v="1.0421221983048117" u="1"/>
        <n v="1.32897361594597" u="1"/>
        <n v="1.6155408530882667" u="1"/>
        <n v="1.0845197677076022" u="1"/>
        <n v="1.1657138182312525" u="1"/>
        <n v="0.55095895418257146" u="1"/>
        <n v="1.3160857838135349" u="1"/>
        <n v="0.59560429234525225" u="1"/>
        <n v="0.5847449663691211" u="1"/>
        <n v="0.4090575558750178" u="1"/>
        <n v="0.5286108114092527" u="1"/>
        <n v="0.83523791120503155" u="1"/>
        <n v="0.81692414203136365" u="1"/>
        <n v="1.0993977287745593" u="1"/>
        <n v="0.5793253807005162" u="1"/>
        <n v="0.9953295284789957" u="1"/>
        <n v="1.1071305067306108" u="1"/>
        <n v="1.1628519139527238" u="1"/>
        <n v="1.1999995187674659" u="1"/>
        <n v="0.89282713636129851" u="1"/>
        <n v="0.91127791962262794" u="1"/>
        <n v="0.67678787638381355" u="1"/>
        <n v="1.1373716958373079" u="1"/>
        <n v="1.1007441574899723" u="1"/>
        <n v="1.580472469460084" u="1"/>
        <n v="2.0383166988017813" u="1"/>
        <n v="1.3919483750252679" u="1"/>
        <n v="1.3380843480438918" u="1"/>
        <n v="1.4350395966103684" u="1"/>
        <n v="0.45818998784648529" u="1"/>
        <n v="0.43529455781485366" u="1"/>
        <n v="1.3057659318550661" u="1"/>
        <n v="1.5750860667619468" u="1"/>
        <n v="0.84090663927747633" u="1"/>
        <n v="0.8597590487209581" u="1"/>
        <n v="0.91160317469053254" u="1"/>
        <n v="0.98229971010358852" u="1"/>
        <n v="1.123692780929701" u="1"/>
        <n v="0.9068900723296619" u="1"/>
        <n v="0.81533980665286232" u="1"/>
        <n v="0.87353969882523064" u="1"/>
        <n v="0.76582026688642235" u="1"/>
        <n v="0.8434201231162467" u="1"/>
        <n v="0.91385691569408745" u="1"/>
        <n v="0.73758779384219508" u="1"/>
        <n v="0.78376731612798289" u="1"/>
        <n v="0.82367037945400512" u="1"/>
        <n v="0.75234698218394613" u="1"/>
        <n v="0.77040162019600467" u="1"/>
        <n v="0.88045899450971965" u="1"/>
        <n v="0.94073506027332532" u="1"/>
        <n v="0.73203407864143311" u="1"/>
        <n v="0.71643802910504673" u="1"/>
        <n v="0.59269443812399514" u="1"/>
        <n v="0.76442069613364572" u="1"/>
        <n v="0.56705020207579826" u="1"/>
        <n v="0.74869522424371893" u="1"/>
        <n v="0.76420894691366859" u="1"/>
        <n v="0.90096501986637922" u="1"/>
        <n v="0.78834439238308185" u="1"/>
        <n v="0.70426550263762333" u="1"/>
        <n v="1.148562718698579" u="1"/>
        <n v="1.2369136970600081" u="1"/>
        <n v="9.5676940797689802" u="1"/>
        <n v="0.52192857472483845" u="1"/>
        <n v="0.60582402357619436" u="1"/>
        <n v="0.43494047893736537" u="1"/>
        <n v="1.0184009024297331" u="1"/>
        <n v="0.99133621892184964" u="1"/>
        <n v="0.9958469995064968" u="1"/>
        <n v="1.0003577800911441" u="1"/>
        <n v="1.0093793412604386" u="1"/>
        <n v="1.0274224635990277" u="1"/>
        <n v="1.0409548053529694" u="1"/>
        <n v="1.0635087082762058" u="1"/>
        <n v="0.95073919366002413" u="1"/>
        <n v="0.95976075482931877" u="1"/>
        <n v="0.97329309658326046" u="1"/>
        <n v="0.9146529489828461" u="1"/>
        <n v="0.92367451015214064" u="1"/>
        <n v="0.93720685190608222" u="1"/>
        <n v="0.92069485743851287" u="1"/>
        <n v="0.93024709867658961" u="1"/>
        <n v="0.94457546053370445" u="1"/>
        <n v="0.9684560636288958" u="1"/>
        <n v="0.83939859306533005" u="1"/>
        <n v="0.84868549426901563" u="1"/>
        <n v="0.86261584607454389" u="1"/>
        <n v="0.88583309908375785" u="1"/>
        <n v="0.82894811787454803" u="1"/>
        <n v="0.83796967904384267" u="1"/>
        <n v="0.85150202079778436" u="1"/>
        <n v="0.8740559237210207" u="1"/>
        <n v="0.85601280138243152" u="1"/>
        <n v="0.86503436255172617" u="1"/>
        <n v="0.87856670430566797" u="1"/>
        <n v="0.90112060722890419" u="1"/>
        <n v="0.94760079749882686" u="1"/>
        <n v="0.95622434861653471" u="1"/>
        <n v="0.96915967529309688" u="1"/>
        <n v="0.99071855308736689" u="1"/>
        <n v="1.0165892064404909" u="1"/>
        <n v="1.0252127575581991" u="1"/>
        <n v="1.0381480842347608" u="1"/>
        <n v="1.0597069620290309" u="1"/>
        <n v="1.0905733917840896" u="1"/>
        <n v="1.1981187087408625" u="1"/>
        <n v="1.1662779046139407" u="1"/>
        <n v="1.171584705301761" u="1"/>
        <n v="1.1768915059895813" u="1"/>
        <n v="1.1875051073652219" u="1"/>
        <n v="1.2087323101165031" u="1"/>
        <n v="1.224652712179964" u="1"/>
        <n v="1.2511867156190657" u="1"/>
        <n v="1.1200539573141084" u="1"/>
        <n v="1.1290714182336028" u="1"/>
        <n v="1.1425976096128441" u="1"/>
        <n v="1.210228566509052" u="1"/>
        <n v="1.2192460274285459" u="1"/>
        <n v="1.2327722188077879" u="1"/>
        <n v="1.0298793481191648" u="1"/>
        <n v="1.0388968090386592" u="1"/>
        <n v="1.0524230004179007" u="1"/>
        <n v="1.0654008335184741" u="1"/>
        <n v="1.3227452951440437" u="1"/>
        <n v="1.3324564069034988" u="1"/>
        <n v="1.3567341863021374" u="1"/>
        <n v="0.940140616608101" u="1"/>
        <n v="0.93459140988841205" u="1"/>
        <n v="0.94568982332778972" u="1"/>
        <n v="0.97343585692623369" u="1"/>
        <n v="1.419856412738598" u="1"/>
        <n v="1.4295675244980532" u="1"/>
        <n v="1.4538453038966921" u="1"/>
        <n v="1.0455755442821886" u="1"/>
        <n v="0.89912616478649698" u="1"/>
        <n v="0.90814362570599139" u="1"/>
        <n v="0.92166981708523288" u="1"/>
        <n v="0.98930077398144034" u="1"/>
        <n v="0.99831823490093474" u="1"/>
        <n v="1.0118444262801762" u="1"/>
        <n v="0.91265235616573859" u="1"/>
        <n v="0.93519600846447448" u="1"/>
        <n v="1.0028269653606821" u="1"/>
        <n v="1.0253706176594179" u="1"/>
        <n v="1.0704579222568893" u="1"/>
        <n v="1.0794753831763839" u="1"/>
        <n v="1.0930015745556254" u="1"/>
        <n v="0.8981728640633313" u="1"/>
        <n v="0.90760651548680216" u="1"/>
        <n v="0.92175699262200861" u="1"/>
        <n v="0.93590746975721528" u="1"/>
        <n v="0.94534112118068636" u="1"/>
        <n v="0.9594915983158927" u="1"/>
        <n v="0.91704016691027324" u="1"/>
        <n v="0.9264738183337442" u="1"/>
        <n v="0.94062429546895066" u="1"/>
        <n v="0.96892524973936367" u="1"/>
        <n v="0.97835890116283475" u="1"/>
        <n v="0.99250937829804109" u="1"/>
        <n v="0.92207632488395597" u="1"/>
        <n v="0.94531191952304705" u="1"/>
        <n v="1.0150187034403204" u="1"/>
        <n v="1.2101976984086857" u="1"/>
        <n v="1.6098499262010535" u="1"/>
        <n v="1.0102173572999191" u="1"/>
        <n v="0.94358587267311345" u="1"/>
        <n v="1.0768488419267246" u="1"/>
        <n v="1.3462515251838354" u="1"/>
        <n v="1.3223325307024179" u="1"/>
        <n v="1.4084409108355205" u="1"/>
        <n v="1.7146040401976623" u="1"/>
        <n v="1.6428470567534106" u="1"/>
        <n v="1.618928062271993" u="1"/>
        <n v="1.4419275031095047" u="1"/>
        <n v="1.5041168887611898" u="1"/>
        <n v="1.8283347047849818" u="1"/>
        <n v="1.6643187426266917" u="1"/>
        <n v="1.6369827489336433" u="1"/>
        <n v="1.6041795565019852" u="1"/>
        <n v="0.7674111581648253" u="1"/>
        <n v="0.92139947015391799" u="1"/>
        <n v="0.8770413236169432" u="1"/>
        <n v="1.0364546029307002" u="1"/>
        <n v="0.67372006903343262" u="1"/>
        <n v="0.79274455439770763" u="1"/>
        <n v="1.071848564505208" u="1"/>
        <n v="1.1579925979669743" u="1"/>
        <n v="0.86817302709561184" u="1"/>
        <n v="0.73771136401954929" u="1"/>
        <n v="0.68666868332297859" u="1"/>
        <n v="0.71692560464118638" u="1"/>
        <n v="0.87621103672310596" u="1"/>
        <n v="0.91244817984253057" u="1"/>
        <n v="0.76001022636870208" u="1"/>
        <n v="0.81994119225696671" u="1"/>
        <n v="0.78757123064905266" u="1"/>
        <n v="1.2062680782386508" u="1"/>
        <n v="1.228821981161887" u="1"/>
        <n v="1.2513758840851235" u="1"/>
        <n v="1.2874621287623014" u="1"/>
        <n v="2.0715751037749586" u="1"/>
        <n v="2.1064009832887791" u="1"/>
        <n v="2.1412268628026006" u="1"/>
        <n v="2.1969482700247136" u="1"/>
        <n v="1.0977995824708968" u="1"/>
        <n v="1.1210168354801107" u="1"/>
        <n v="1.1442340884893245" u="1"/>
        <n v="1.1813816933040666" u="1"/>
        <n v="0.82847944756401593" u="1"/>
        <n v="1.1087726480386118" u="1"/>
        <n v="1.1323215760908147" u="1"/>
        <n v="1.1558705041430171" u="1"/>
        <n v="1.1935487890265415" u="1"/>
        <n v="1.1535209896930101" u="1"/>
        <n v="1.116373384878268" u="1"/>
        <n v="1.1395906378874816" u="1"/>
        <n v="1.1767382427022239" u="1"/>
        <n v="1.1674513414985386" u="1"/>
        <n v="1.2045989463132805" u="1"/>
        <n v="1.0980093442071162" u="1"/>
        <n v="1.1070309053764107" u="1"/>
        <n v="1.1295848082996471" u="1"/>
        <n v="1.1521387112228831" u="1"/>
        <n v="1.1882249559000615" u="1"/>
        <n v="1.1701818335614724" u="1"/>
        <n v="1.1927357364847089" u="1"/>
        <n v="1.2152896394079451" u="1"/>
        <n v="1.190668594507752" u="1"/>
        <n v="1.2138858475169663" u="1"/>
        <n v="1.2371031005261797" u="1"/>
        <n v="1.274250705340922" u="1"/>
        <n v="1.1271797155514687" u="1"/>
        <n v="1.1487385933457384" u="1"/>
        <n v="1.1702974711400085" u="1"/>
        <n v="1.2047916756108403" u="1"/>
        <n v="1.2603203535353937" u="1"/>
        <n v="1.1673742497795145" u="1"/>
        <n v="1.129165284827208" u="1"/>
        <n v="1.1530458879223995" u="1"/>
        <n v="1.1912548528747058" u="1"/>
        <n v="1.2493212935646332" u="1"/>
        <n v="1.0420781752487833" u="1"/>
        <n v="1.3289233038819379" u="1"/>
        <n v="1.6154905410242342" u="1"/>
        <n v="1.0844770024531747" u="1"/>
        <n v="1.1656710529768251" u="1"/>
        <n v="0.55092122013454725" u="1"/>
        <n v="1.3160417607575068" u="1"/>
        <n v="0.59530588234525228" u="1"/>
        <n v="0.58444655636912124" u="1"/>
        <n v="0.40883374837501774" u="1"/>
        <n v="0.5284001838126311" u="1"/>
        <n v="0.83519450447178778" u="1"/>
        <n v="0.81688073529811978" u="1"/>
        <n v="1.0993530768177306" u="1"/>
        <n v="0.99528803674868893" u="1"/>
        <n v="1.1070864836745822" u="1"/>
        <n v="1.1628078908966957" u="1"/>
        <n v="1.1999554957114376" u="1"/>
        <n v="0.8927942549629484" u="1"/>
        <n v="0.91122662464120174" u="1"/>
        <n v="0.67649692663381356" u="1"/>
        <n v="0.80869731170286219" u="1"/>
        <n v="0.8668972038752305" u="1"/>
        <n v="0.7588711952464221" u="1"/>
        <n v="0.83647105147624679" u="1"/>
        <n v="0.9069078440540872" u="1"/>
        <n v="0.73094529889219495" u="1"/>
        <n v="0.77712482117798276" u="1"/>
        <n v="0.81702788450400499" u="1"/>
        <n v="0.745704487233946" u="1"/>
        <n v="0.76324816409600449" u="1"/>
        <n v="0.87228361610971938" u="1"/>
        <n v="0.93358160417332514" u="1"/>
        <n v="0.72539158369143297" u="1"/>
        <n v="0.7097955341550467" u="1"/>
        <n v="0.58554098202399507" u="1"/>
        <n v="0.75726724003364565" u="1"/>
        <n v="0.5598967459757983" u="1"/>
        <n v="0.7420527292937189" u="1"/>
        <n v="0.76009071415667995" u="1"/>
        <n v="0.89278964146637896" u="1"/>
        <n v="0.78119093628308156" u="1"/>
        <n v="0.69762300768762342" u="1"/>
        <n v="1.1419202237485788" u="1"/>
        <n v="1.2297602409600079" u="1"/>
        <n v="9.5604871724442475" u="1"/>
        <n v="0.51579704092483813" u="1"/>
        <n v="0.60071441207619425" u="1"/>
        <n v="0.42983086743736515" u="1"/>
        <n v="0.76025770206482535" u="1"/>
        <n v="0.91424601405391792" u="1"/>
        <n v="0.86886594521694327" u="1"/>
        <n v="1.0282792245307002" u="1"/>
        <n v="0.66707757408343249" u="1"/>
        <n v="0.7861020594477075" u="1"/>
        <n v="1.0636731861052082" u="1"/>
        <n v="1.149817219566974" u="1"/>
        <n v="0.86081518653561173" u="1"/>
        <n v="0.73055790791954922" u="1"/>
        <n v="0.67951522722297841" u="1"/>
        <n v="0.70977214854118664" u="1"/>
        <n v="0.86926196508310583" u="1"/>
        <n v="0.90549910820253043" u="1"/>
        <n v="0.75306115472870205" u="1"/>
        <n v="0.81299212061696657" u="1"/>
        <n v="0.78092873569905241" u="1"/>
        <n v="0.59076400545636332" u="1"/>
        <n v="0.57990467948023228" u="1"/>
        <n v="0.40542734070835107" u="1"/>
        <n v="0.52359147458744992" u="1"/>
        <n v="0.66985443168381364" u="1"/>
        <n v="1.1372993512819016" u="1"/>
        <n v="1.1006718129345658" u="1"/>
        <n v="1.5803873582184296" u="1"/>
        <n v="2.0382315875601269" u="1"/>
        <n v="1.391863263783613" u="1"/>
        <n v="1.3379992368022373" u="1"/>
        <n v="1.434954485368714" u="1"/>
        <n v="0.45812615441524429" u="1"/>
        <n v="0.43524136328881946" u="1"/>
        <n v="1.3056808206134112" u="1"/>
        <n v="1.5750009555202926" u="1"/>
        <n v="0.84083216694102836" u="1"/>
        <n v="0.85968457638451001" u="1"/>
        <n v="0.91152870235408467" u="1"/>
        <n v="0.98222523776714055" u="1"/>
        <n v="1.1236183085932532" u="1"/>
        <n v="0.90681559999321404" u="1"/>
        <n v="0.80831624010286229" u="1"/>
        <n v="0.86651613227523061" u="1"/>
        <n v="0.75847253572642226" u="1"/>
        <n v="0.83607239195624672" u="1"/>
        <n v="0.90650918453408735" u="1"/>
        <n v="0.73056422729219506" u="1"/>
        <n v="0.77674374957798287" u="1"/>
        <n v="0.81664681290400509" u="1"/>
        <n v="0.74532341563394611" u="1"/>
        <n v="0.7628377792960046" u="1"/>
        <n v="0.87181460490971963" u="1"/>
        <n v="0.93317121937332526" u="1"/>
        <n v="0.72501051209143308" u="1"/>
        <n v="0.70941446255504681" u="1"/>
        <n v="0.5851305972239953" u="1"/>
        <n v="0.75685685523364565" u="1"/>
        <n v="0.55948636117579831" u="1"/>
        <n v="0.74167165769371901" u="1"/>
        <n v="0.7598544563111429" u="1"/>
        <n v="0.89232063026637909" u="1"/>
        <n v="0.78078055148308179" u="1"/>
        <n v="0.6972419360876233" u="1"/>
        <n v="1.1415391521485792" u="1"/>
        <n v="1.2293498561600082" u="1"/>
        <n v="9.5600737212145575" u="1"/>
        <n v="0.51544528252483834" u="1"/>
        <n v="0.60042128007619433" u="1"/>
        <n v="0.42953773543736534" u="1"/>
        <n v="1.0183296270056874" u="1"/>
        <n v="0.99126494349780381" u="1"/>
        <n v="0.99577572408245107" u="1"/>
        <n v="1.0002865046670981" u="1"/>
        <n v="1.0093080658363927" u="1"/>
        <n v="1.0273511881749817" u="1"/>
        <n v="1.0408835299289236" u="1"/>
        <n v="1.0634374328521601" u="1"/>
        <n v="0.9506679182359784" u="1"/>
        <n v="0.95968947940527294" u="1"/>
        <n v="0.97322182115921474" u="1"/>
        <n v="0.91458167355880049" u="1"/>
        <n v="0.9236032347280948" u="1"/>
        <n v="0.93713557648203649" u="1"/>
        <n v="0.92061938934246446" u="1"/>
        <n v="0.93017163058054109" u="1"/>
        <n v="0.94449999243765603" u="1"/>
        <n v="0.9683805955328475" u="1"/>
        <n v="0.83932522130528286" u="1"/>
        <n v="0.84861212250896845" u="1"/>
        <n v="0.86254247431449671" u="1"/>
        <n v="0.88575972732371067" u="1"/>
        <n v="0.8288768424505023" u="1"/>
        <n v="0.83789840361979684" u="1"/>
        <n v="0.85143074537373864" u="1"/>
        <n v="0.87398464829697486" u="1"/>
        <n v="0.8559415259583858" u="1"/>
        <n v="0.86496308712768044" u="1"/>
        <n v="0.87849542888162213" u="1"/>
        <n v="0.90104933180485836" u="1"/>
        <n v="0.94753266657878299" u="1"/>
        <n v="0.95615621769649095" u="1"/>
        <n v="0.96909154437305312" u="1"/>
        <n v="0.99065042216732302" u="1"/>
        <n v="1.016521075520447" u="1"/>
        <n v="1.025144626638155" u="1"/>
        <n v="1.0380799533147171" u="1"/>
        <n v="1.0596388311089873" u="1"/>
        <n v="1.0905021163600437" u="1"/>
        <n v="1.1980348553008087" u="1"/>
        <n v="1.1661940511738869" u="1"/>
        <n v="1.1715008518617072" u="1"/>
        <n v="1.1768076525495272" u="1"/>
        <n v="1.1874212539251678" u="1"/>
        <n v="1.208648456676449" u="1"/>
        <n v="1.2245688587399099" u="1"/>
        <n v="1.2511028621790119" u="1"/>
        <n v="1.1199827142843501" u="1"/>
        <n v="1.1290001752038441" u="1"/>
        <n v="1.1425263665830856" u="1"/>
        <n v="1.2101573234792931" u="1"/>
        <n v="1.2191747843987872" u="1"/>
        <n v="1.232700975778029" u="1"/>
        <n v="1.0298081050894061" u="1"/>
        <n v="1.0388255660089005" u="1"/>
        <n v="1.052351757388142" u="1"/>
        <n v="1.0653241102556574" u="1"/>
        <n v="1.3226685718812261" u="1"/>
        <n v="1.332379683640682" u="1"/>
        <n v="1.3566574630393207" u="1"/>
        <n v="0.94005293287916725" u="1"/>
        <n v="0.93450372615947819" u="1"/>
        <n v="0.94560213959885586" u="1"/>
        <n v="0.97334817319730016" u="1"/>
        <n v="1.4197796894757813" u="1"/>
        <n v="1.4294908012352365" u="1"/>
        <n v="1.4537685806338749" u="1"/>
        <n v="1.0454878605532549" u="1"/>
        <n v="0.89905492175673829" u="1"/>
        <n v="0.90807238267623269" u="1"/>
        <n v="0.92159857405547418" u="1"/>
        <n v="0.98922953095168187" u="1"/>
        <n v="0.99824699187117616" u="1"/>
        <n v="1.0117731832504175" u="1"/>
        <n v="0.91258111313598" u="1"/>
        <n v="0.9351247654347159" u="1"/>
        <n v="1.0027557223309234" u="1"/>
        <n v="1.0252993746296593" u="1"/>
        <n v="1.0703866792271308" u="1"/>
        <n v="1.079404140146625" u="1"/>
        <n v="1.0929303315258667" u="1"/>
        <n v="0.89809833289373764" u="1"/>
        <n v="0.90753198431720838" u="1"/>
        <n v="0.92168246145241495" u="1"/>
        <n v="0.93583293858762162" u="1"/>
        <n v="0.94526659001109259" u="1"/>
        <n v="0.95941706714629904" u="1"/>
        <n v="0.91696563574067957" u="1"/>
        <n v="0.92639928716415065" u="1"/>
        <n v="0.94054976429935699" u="1"/>
        <n v="0.96885071856977023" u="1"/>
        <n v="0.9782843699932412" u="1"/>
        <n v="0.99243484712844743" u="1"/>
        <n v="0.92200289516021827" u="1"/>
        <n v="0.94523848979930958" u="1"/>
        <n v="1.0149452737165829" u="1"/>
        <n v="1.2101242686849483" u="1"/>
        <n v="1.6097764964773162" u="1"/>
        <n v="1.010147167122817" u="1"/>
        <n v="0.94351568249601125" u="1"/>
        <n v="1.0767786517496225" u="1"/>
        <n v="1.3461759357623411" u="1"/>
        <n v="1.3222569412809237" u="1"/>
        <n v="1.4083653214140262" u="1"/>
        <n v="1.714528450776168" u="1"/>
        <n v="1.6427714673319163" u="1"/>
        <n v="1.6188524728504985" u="1"/>
        <n v="1.4418519136880104" u="1"/>
        <n v="1.5040412993396954" u="1"/>
        <n v="1.8282483168747024" u="1"/>
        <n v="1.6642323547164124" u="1"/>
        <n v="1.6368963610233642" u="1"/>
        <n v="1.6040931685917059" u="1"/>
        <n v="0.75984731726482524" u="1"/>
        <n v="0.91383562925391792" u="1"/>
        <n v="0.86839693401694307" u="1"/>
        <n v="1.0278102133307001" u="1"/>
        <n v="0.6666965024834326" u="1"/>
        <n v="0.78572098784770761" u="1"/>
        <n v="1.0632041749052081" u="1"/>
        <n v="1.1493482083669742" u="1"/>
        <n v="0.86039307645561169" u="1"/>
        <n v="0.73014752311954922" u="1"/>
        <n v="0.67910484242297853" u="1"/>
        <n v="0.70936176374118654" u="1"/>
        <n v="0.86886330556310598" u="1"/>
        <n v="0.90510044868253059" u="1"/>
        <n v="0.75266249520870199" u="1"/>
        <n v="0.81259346109696662" u="1"/>
        <n v="0.78054766409905263" u="1"/>
        <n v="1.2061968028146051" u="1"/>
        <n v="1.2287507057378408" u="1"/>
        <n v="1.2513046086610777" u="1"/>
        <n v="1.2873908533382556" u="1"/>
        <n v="2.0714650461348878" u="1"/>
        <n v="2.1062909256487092" u="1"/>
        <n v="2.1411168051625298" u="1"/>
        <n v="2.1968382123846428" u="1"/>
        <n v="1.0977262107108496" u="1"/>
        <n v="1.1209434637200635" u="1"/>
        <n v="1.1441607167292773" u="1"/>
        <n v="1.1813083215440194" u="1"/>
        <n v="0.82840607580396874" u="1"/>
        <n v="1.108698228110564" u="1"/>
        <n v="1.1322471561627669" u="1"/>
        <n v="1.1557960842149695" u="1"/>
        <n v="1.1934743690984935" u="1"/>
        <n v="1.1534476179329631" u="1"/>
        <n v="1.116300013118221" u="1"/>
        <n v="1.1395172661274346" u="1"/>
        <n v="1.1766648709421768" u="1"/>
        <n v="1.1673779697384914" u="1"/>
        <n v="1.2045255745532333" u="1"/>
        <n v="1.0979380687830704" u="1"/>
        <n v="1.1069596299523652" u="1"/>
        <n v="1.1295135328756014" u="1"/>
        <n v="1.1520674357988374" u="1"/>
        <n v="1.1881536804760156" u="1"/>
        <n v="1.1701105581374267" u="1"/>
        <n v="1.1926644610606629" u="1"/>
        <n v="1.2152183639838994" u="1"/>
        <n v="1.1905952227477048" u="1"/>
        <n v="1.2138124757569191" u="1"/>
        <n v="1.2370297287661327" u="1"/>
        <n v="1.274177333580875" u="1"/>
        <n v="1.1271115846314248" u="1"/>
        <n v="1.1486704624256945" u="1"/>
        <n v="1.1702293402199648" u="1"/>
        <n v="1.2047235446907965" u="1"/>
        <n v="1.2602469817753468" u="1"/>
        <n v="1.1672987816834659" u="1"/>
        <n v="1.1290898167311596" u="1"/>
        <n v="1.1529704198263511" u="1"/>
        <n v="1.1911793847786569" u="1"/>
        <n v="1.2492374401245792" u="1"/>
        <n v="1.0420048034887361" u="1"/>
        <n v="1.3288394504418841" u="1"/>
        <n v="1.6154066875841808" u="1"/>
        <n v="1.084405727029129" u="1"/>
        <n v="1.1655997775527795" u="1"/>
        <n v="0.55085833005450691" u="1"/>
        <n v="1.3159683889974598" u="1"/>
        <n v="0.59035687767858569" u="1"/>
        <n v="0.57949755170245454" u="1"/>
        <n v="0.40512199487501777" u="1"/>
        <n v="0.52331560497337148" u="1"/>
        <n v="0.83512215991638117" u="1"/>
        <n v="0.81680839074271328" u="1"/>
        <n v="1.0992786568896828" u="1"/>
        <n v="0.99521888386484458" u="1"/>
        <n v="1.1070131119145352" u="1"/>
        <n v="1.1627345191366485" u="1"/>
        <n v="1.1998821239513906" u="1"/>
        <n v="0.89273945263236498" u="1"/>
        <n v="0.91114113300549127" u="1"/>
        <n v="0.66947336008381364" u="1"/>
        <n v="0.78749389329597352" u="1"/>
        <n v="0.85596435467523058" u="1"/>
        <n v="0.73788300147044383" u="1"/>
        <n v="0.82503360923624669" u="1"/>
        <n v="0.89547040181408744" u="1"/>
        <n v="0.71080697655120606" u="1"/>
        <n v="0.76619197197798283" u="1"/>
        <n v="0.79571034866148449" u="1"/>
        <n v="0.73477163803394607" u="1"/>
        <n v="0.74188846190290869" u="1"/>
        <n v="0.84787252788903855" u="1"/>
        <n v="0.9218077665733253" u="1"/>
        <n v="0.70532933964086542" u="1"/>
        <n v="0.69886268495504678" u="1"/>
        <n v="0.57376714442399512" u="1"/>
        <n v="0.7359894683071575" u="1"/>
        <n v="0.54132267964736269" u="1"/>
        <n v="0.72176225037188724" u="1"/>
        <n v="0.75331253546906862" u="1"/>
        <n v="0.8680976487887575" u="1"/>
        <n v="0.75958544269016282" u="1"/>
        <n v="0.67794115508916275" u="1"/>
        <n v="1.1161521079164065" u="1"/>
        <n v="1.2020099623715148" u="1"/>
        <n v="9.5486253597409281" u="1"/>
        <n v="0.49938482984367605" u="1"/>
        <n v="0.58469669903405463" u="1"/>
        <n v="0.41615402486973008" u="1"/>
        <n v="0.7389389651050331" u="1"/>
        <n v="0.90247217645391808" u="1"/>
        <n v="0.84450167440575208" u="1"/>
        <n v="1.0148234101307001" u="1"/>
        <n v="0.64781415208228965" u="1"/>
        <n v="0.77516921024770757" u="1"/>
        <n v="1.0366403229530821" u="1"/>
        <n v="1.1363614051669741" u="1"/>
        <n v="0.84870495357561182" u="1"/>
        <n v="0.71878407031954927" u="1"/>
        <n v="0.65930255156238982" u="1"/>
        <n v="0.69799831094118658" u="1"/>
        <n v="0.84676156898059751" u="1"/>
        <n v="0.89406166596253045" u="1"/>
        <n v="0.73215255054885697" u="1"/>
        <n v="0.8015546783769667" u="1"/>
        <n v="0.76010570874427097" u="1"/>
        <n v="0.56847525612501404" u="1"/>
        <n v="0.5578331166684054" u="1"/>
        <n v="0.38946369197751746" u="1"/>
        <n v="0.51567684413589732" u="1"/>
        <n v="0.65055297053746008" u="1"/>
        <n v="0.42176793620281533" u="1"/>
        <n v="1.1372214164653955" u="1"/>
        <n v="1.1005938781180598" u="1"/>
        <n v="1.580295670199011" u="1"/>
        <n v="2.0381398995407078" u="1"/>
        <n v="1.3917715757641944" u="1"/>
        <n v="1.3379075487828183" u="1"/>
        <n v="1.4348627973492953" u="1"/>
        <n v="0.43785837828266405" u="1"/>
        <n v="0.43518405827668261" u="1"/>
        <n v="1.3055891325939926" u="1"/>
        <n v="1.5749092675008733" u="1"/>
        <n v="0.84075193992403696" u="1"/>
        <n v="0.85960434936751862" u="1"/>
        <n v="0.91144847533709306" u="1"/>
        <n v="0.98214501075014915" u="1"/>
        <n v="1.1235380815762619" u="1"/>
        <n v="0.90673537297622264" u="1"/>
        <n v="0.78658861073597353" u="1"/>
        <n v="0.85505907211523058" u="1"/>
        <n v="0.73693593663844392" u="1"/>
        <n v="0.82408654440424667" u="1"/>
        <n v="0.89452333698208741" u="1"/>
        <n v="0.70990169399120606" u="1"/>
        <n v="0.76528668941798283" u="1"/>
        <n v="0.79480506610148449" u="1"/>
        <n v="0.73386635547394607" u="1"/>
        <n v="0.74091354222290873" u="1"/>
        <n v="0.84675833396903855" u="1"/>
        <n v="0.92083284689332523" u="1"/>
        <n v="0.70442405708086553" u="1"/>
        <n v="0.69795740239504667" u="1"/>
        <n v="0.57279222474399516" u="1"/>
        <n v="0.73501454862715754" u="1"/>
        <n v="0.54034775996736273" u="1"/>
        <n v="0.72085696781188713" u="1"/>
        <n v="0.75275127583379831" u="1"/>
        <n v="0.86698345486875761" u="1"/>
        <n v="0.75861052301016285" u="1"/>
        <n v="0.67703587252916275" u="1"/>
        <n v="1.1152468253564065" u="1"/>
        <n v="1.2010350426915148" u="1"/>
        <n v="9.5476431553792036" u="1"/>
        <n v="0.49854918440367607" u="1"/>
        <n v="0.58400032783405453" u="1"/>
        <n v="0.41545765366973003" u="1"/>
        <n v="1.0182528439352381" u="1"/>
        <n v="0.99118816042735447" u="1"/>
        <n v="0.99569894101200185" u="1"/>
        <n v="1.000209721596649" u="1"/>
        <n v="1.0092312827659433" u="1"/>
        <n v="1.0272744051045326" u="1"/>
        <n v="1.0408067468584743" u="1"/>
        <n v="1.0633606497817107" u="1"/>
        <n v="0.95059113516552896" u="1"/>
        <n v="0.95961269633482371" u="1"/>
        <n v="0.9731450380887654" u="1"/>
        <n v="0.91450489048835104" u="1"/>
        <n v="0.92352645165764558" u="1"/>
        <n v="0.93705879341158715" u="1"/>
        <n v="0.92053808962081229" u="1"/>
        <n v="0.93009033085888881" u="1"/>
        <n v="0.94441869271600387" u="1"/>
        <n v="0.96829929581119523" u="1"/>
        <n v="0.83924617990923212" u="1"/>
        <n v="0.84853308111291759" u="1"/>
        <n v="0.86246343291844596" u="1"/>
        <n v="0.88568068592765981" u="1"/>
        <n v="0.82880005938005286" u="1"/>
        <n v="0.8378216205493475" u="1"/>
        <n v="0.8513539623032893" u="1"/>
        <n v="0.87390786522652564" u="1"/>
        <n v="0.85586474288793657" u="1"/>
        <n v="0.8648863040572311" u="1"/>
        <n v="0.87841864581117279" u="1"/>
        <n v="0.90097254873440924" u="1"/>
        <n v="0.94745927099673588" u="1"/>
        <n v="0.95608282211444384" u="1"/>
        <n v="0.96901814879100601" u="1"/>
        <n v="0.99057702658527591" u="1"/>
        <n v="1.0164476799383999" u="1"/>
        <n v="1.0250712310561081" u="1"/>
        <n v="1.03800655773267" u="1"/>
        <n v="1.0595654355269404" u="1"/>
        <n v="1.0904253332895943" u="1"/>
        <n v="1.1979445222767506" u="1"/>
        <n v="1.1661037181498288" u="1"/>
        <n v="1.1714105188376491" u="1"/>
        <n v="1.1767173195254692" u="1"/>
        <n v="1.1873309209011098" u="1"/>
        <n v="1.2085581236523912" u="1"/>
        <n v="1.2244785257158521" u="1"/>
        <n v="1.2510125291549536" u="1"/>
        <n v="1.1199059661113826" u="1"/>
        <n v="1.1289234270308772" u="1"/>
        <n v="1.1424496184101183" u="1"/>
        <n v="1.2100805753063257" u="1"/>
        <n v="1.2190980362258201" u="1"/>
        <n v="1.2326242276050619" u="1"/>
        <n v="1.029731356916439" u="1"/>
        <n v="1.0387488178359334" u="1"/>
        <n v="1.0522750092151749" u="1"/>
        <n v="1.0652414583770773" u="1"/>
        <n v="1.3225859200026464" u="1"/>
        <n v="1.3322970317621019" u="1"/>
        <n v="1.3565748111607405" u="1"/>
        <n v="0.93995847358936158" u="1"/>
        <n v="0.93440926686967241" u="1"/>
        <n v="0.94550768030905008" u="1"/>
        <n v="0.97325371390749427" u="1"/>
        <n v="1.4196970375972011" u="1"/>
        <n v="1.4294081493566562" u="1"/>
        <n v="1.453685928755295" u="1"/>
        <n v="1.0453934012634489" u="1"/>
        <n v="0.89897817358377108" u="1"/>
        <n v="0.90799563450326548" u="1"/>
        <n v="0.92152182588250697" u="1"/>
        <n v="0.98915278277871455" u="1"/>
        <n v="0.99817024369820906" u="1"/>
        <n v="1.0116964350774502" u="1"/>
        <n v="0.91250436496301268" u="1"/>
        <n v="0.93504801726174869" u="1"/>
        <n v="1.002678974157956" u="1"/>
        <n v="1.0252226264566919" u="1"/>
        <n v="1.0703099310541633" u="1"/>
        <n v="1.0793273919736577" u="1"/>
        <n v="1.0928535833528996" u="1"/>
        <n v="0.89801804249740269" u="1"/>
        <n v="0.90745169392087355" u="1"/>
        <n v="0.92160217105608" u="1"/>
        <n v="0.93575264819128667" u="1"/>
        <n v="0.94518629961475764" u="1"/>
        <n v="0.9593367767499642" u="1"/>
        <n v="0.91688534534434474" u="1"/>
        <n v="0.92631899676781559" u="1"/>
        <n v="0.94046947390302205" u="1"/>
        <n v="0.96877042817343528" u="1"/>
        <n v="0.97820407959690625" u="1"/>
        <n v="0.99235455673211248" u="1"/>
        <n v="0.92192379132146463" u="1"/>
        <n v="0.94515938596055582" u="1"/>
        <n v="1.0148661698778292" u="1"/>
        <n v="1.2100451648461947" u="1"/>
        <n v="1.6096973926385623" u="1"/>
        <n v="1.0100715531593025" u="1"/>
        <n v="0.94344006853249684" u="1"/>
        <n v="1.076703037786108" u="1"/>
        <n v="1.3460945053400948" u="1"/>
        <n v="1.3221755108586775" u="1"/>
        <n v="1.4082838909917794" u="1"/>
        <n v="1.7144470203539217" u="1"/>
        <n v="1.64269003690967" u="1"/>
        <n v="1.6187710424282522" u="1"/>
        <n v="1.4417704832657641" u="1"/>
        <n v="1.5039598689174491" u="1"/>
        <n v="1.8281552535349923" u="1"/>
        <n v="1.6641392913767019" u="1"/>
        <n v="1.6368032976836537" u="1"/>
        <n v="1.6040001052519959" u="1"/>
        <n v="0.73796404542503313" u="1"/>
        <n v="0.90149725677391812" u="1"/>
        <n v="0.84338748048575218" u="1"/>
        <n v="1.0137092162107" u="1"/>
        <n v="0.64690886952228976" u="1"/>
        <n v="0.77426392768770758" u="1"/>
        <n v="1.0355261290330822" u="1"/>
        <n v="1.1352472112469743" u="1"/>
        <n v="0.8477021790476118" u="1"/>
        <n v="0.7178091506395492" u="1"/>
        <n v="0.65832763188238974" u="1"/>
        <n v="0.69702339126118651" u="1"/>
        <n v="0.84581450414859738" u="1"/>
        <n v="0.89311460113053043" u="1"/>
        <n v="0.73120548571685695" u="1"/>
        <n v="0.80060761354496668" u="1"/>
        <n v="0.75920042618427097" u="1"/>
        <n v="1.2061200197441555" u="1"/>
        <n v="1.2286739226673915" u="1"/>
        <n v="1.2512278255906284" u="1"/>
        <n v="1.2873140702678063" u="1"/>
        <n v="2.0713464840408116" u="1"/>
        <n v="2.1061723635546326" u="1"/>
        <n v="2.1409982430684535" u="1"/>
        <n v="2.1967196502905666" u="1"/>
        <n v="1.0976471693147989" u="1"/>
        <n v="1.120864422324013" u="1"/>
        <n v="1.1440816753332266" u="1"/>
        <n v="1.1812292801479687" u="1"/>
        <n v="0.82832703440791799" u="1"/>
        <n v="1.1086180575517126" u="1"/>
        <n v="1.1321669856039154" u="1"/>
        <n v="1.1557159136561179" u="1"/>
        <n v="1.1933941985396419" u="1"/>
        <n v="1.1533685765369124" u="1"/>
        <n v="1.1162209717221701" u="1"/>
        <n v="1.1394382247313839" u="1"/>
        <n v="1.1765858295461258" u="1"/>
        <n v="1.1672989283424406" u="1"/>
        <n v="1.2044465331571825" u="1"/>
        <n v="1.0978612857126211" u="1"/>
        <n v="1.1068828468819158" u="1"/>
        <n v="1.1294367498051521" u="1"/>
        <n v="1.1519906527283883" u="1"/>
        <n v="1.1880768974055664" u="1"/>
        <n v="1.1700337750669771" u="1"/>
        <n v="1.1925876779902138" u="1"/>
        <n v="1.21514158091345" u="1"/>
        <n v="1.190516181351654" u="1"/>
        <n v="1.2137334343608681" u="1"/>
        <n v="1.2369506873700817" u="1"/>
        <n v="1.2740982921848241" u="1"/>
        <n v="1.1270381890493777" u="1"/>
        <n v="1.1485970668436474" u="1"/>
        <n v="1.1701559446379177" u="1"/>
        <n v="1.2046501491087496" u="1"/>
        <n v="1.260167940379296" u="1"/>
        <n v="1.1672174819618135" u="1"/>
        <n v="1.1290085170095074" u="1"/>
        <n v="1.1528891201046989" u="1"/>
        <n v="1.191098085057005" u="1"/>
        <n v="1.2491471071005213" u="1"/>
        <n v="1.0419257620926854" u="1"/>
        <n v="1.3287491174178259" u="1"/>
        <n v="1.615316354560123" u="1"/>
        <n v="1.0843289439586794" u="1"/>
        <n v="1.1655229944823302" u="1"/>
        <n v="0.55079058028646344" u="1"/>
        <n v="1.3158893476014089" u="1"/>
        <n v="0.56750807390279179" u="1"/>
        <n v="0.55686593444618326" u="1"/>
        <n v="0.3887383053108508" u="1"/>
        <n v="0.51502148186156571" u="1"/>
        <n v="0.83504422509987519" u="1"/>
        <n v="0.8167304559262073" u="1"/>
        <n v="1.0991984863308313" u="1"/>
        <n v="0.99514438734906674" u="1"/>
        <n v="1.1069340705184842" u="1"/>
        <n v="1.1626554777405977" u="1"/>
        <n v="1.1998030825553399" u="1"/>
        <n v="0.89268041557623612" u="1"/>
        <n v="0.91104903519793057" u="1"/>
        <n v="0.64964768797745998" u="1"/>
        <n v="0.51057481470752186" u="1"/>
        <n v="0.36785402454996252" u="1"/>
        <n v="1.3076346623303776" u="1"/>
        <n v="1.2843990676912866" u="1"/>
        <n v="1.3680472083920143" u="1"/>
        <n v="1.6654628197723811" u="1"/>
        <n v="1.5957560358551079" u="1"/>
        <n v="1.5725204412160165" u="1"/>
        <n v="1.4005770408867422" u="1"/>
        <n v="1.4609895869483791" u="1"/>
        <n v="1.2782925090985116" u="1"/>
        <n v="1.1353879245938736" u="1"/>
        <n v="1.0988223116185742" u="1"/>
        <n v="1.5777288206822737" u="1"/>
        <n v="2.0347989828735162" u="1"/>
        <n v="1.3895234597799975" u="1"/>
        <n v="1.335750499522204" u="1"/>
        <n v="1.4325418279862323" u="1"/>
        <n v="0.50979028828284501" u="1"/>
        <n v="0.43451387814865206" u="1"/>
        <n v="1.3034867233675285" u="1"/>
        <n v="1.5723515246564943" u="1"/>
        <n v="0.83942230550294505" u="1"/>
        <n v="0.85824284159317277" u="1"/>
        <n v="0.90999931584129867" u="1"/>
        <n v="0.98057632617965229" u="1"/>
        <n v="1.1217303468563595" u="1"/>
        <n v="0.90529418181874177" u="1"/>
        <n v="0.80519929782637445" u="1"/>
        <n v="0.85560382797071455" u="1"/>
        <n v="0.75446438826794482" u="1"/>
        <n v="0.82477552877089011" u="1"/>
        <n v="0.89509323541551666" u="1"/>
        <n v="0.72678053487845407" u="1"/>
        <n v="0.76598322146285736" u="1"/>
        <n v="0.81360130814222309" u="1"/>
        <n v="0.73461600918510717" u="1"/>
        <n v="0.75855787973128286" u="1"/>
        <n v="0.86692329112146616" u="1"/>
        <n v="0.92141950704538489" u="1"/>
        <n v="0.72117919466788849" u="1"/>
        <n v="0.69876776658196449" u="1"/>
        <n v="0.57396730950723085" u="1"/>
        <n v="0.75252566719682745" u="1"/>
        <n v="0.55346265355979896" u="1"/>
        <n v="0.73798321529958566" u="1"/>
        <n v="0.75271262058560662" u="1"/>
        <n v="0.88760516266817036" u="1"/>
        <n v="0.77665451733464907" u="1"/>
        <n v="0.69317249361505962" u="1"/>
        <n v="1.1412797104603187" u="1"/>
        <n v="1.2290704574188047" u="1"/>
        <n v="9.5336606737768808" u="1"/>
        <n v="0.51058983540084579" u="1"/>
        <n v="0.59784045905657368" u="1"/>
        <n v="0.42549152950070479" u="1"/>
        <n v="1.016619171627855" u="1"/>
        <n v="0.9896002457840376" u="1"/>
        <n v="0.99410340009134046" u="1"/>
        <n v="0.99860655439864321" u="1"/>
        <n v="1.007612863013249" u="1"/>
        <n v="1.0256254802424605" u="1"/>
        <n v="1.0391349431643691" u="1"/>
        <n v="1.0616507147008836" u="1"/>
        <n v="0.94907185701831165" u="1"/>
        <n v="0.95807816563291748" u="1"/>
        <n v="0.97158762855482594" u="1"/>
        <n v="0.91304662255988855" u="1"/>
        <n v="0.92205293117449438" u="1"/>
        <n v="0.93556239409640307" u="1"/>
        <n v="0.91907479004491022" u="1"/>
        <n v="0.92861088151919868" u="1"/>
        <n v="0.94291501873063133" u="1"/>
        <n v="0.96675524741635266" u="1"/>
        <n v="0.83791773449920226" u="1"/>
        <n v="0.84718893454364952" u="1"/>
        <n v="0.86109573461032018" u="1"/>
        <n v="0.88427373472143789" u="1"/>
        <n v="0.82748669072113379" u="1"/>
        <n v="0.83649299933573962" u="1"/>
        <n v="0.85000246225764819" u="1"/>
        <n v="0.8725182337941626" u="1"/>
        <n v="0.85450561656495105" u="1"/>
        <n v="0.86351192517955688" u="1"/>
        <n v="0.87702138810146535" u="1"/>
        <n v="0.89953715963797987" u="1"/>
        <n v="0.94594141141121235" u="1"/>
        <n v="0.95455038288105598" u="1"/>
        <n v="0.96746384008582176" u="1"/>
        <n v="0.98898626876043116" u="1"/>
        <n v="1.0148131831699623" u="1"/>
        <n v="1.0234221546398061" u="1"/>
        <n v="1.0363356118445715" u="1"/>
        <n v="1.0578580405191811" u="1"/>
        <n v="1.0886696405447012" u="1"/>
        <n v="1.1960225548562999" u="1"/>
        <n v="1.1642355832753384" u="1"/>
        <n v="1.1695334118721652" u="1"/>
        <n v="1.174831240468992" u="1"/>
        <n v="1.1854268976626461" u="1"/>
        <n v="1.2066182120499536" u="1"/>
        <n v="1.222511697840434" u="1"/>
        <n v="1.249000840824569" u="1"/>
        <n v="1.1181003911758383" u="1"/>
        <n v="1.1271026064728458" u="1"/>
        <n v="1.1406059294183575" u="1"/>
        <n v="1.208122544145914" u="1"/>
        <n v="1.2171247594429215" u="1"/>
        <n v="1.230628082388433" u="1"/>
        <n v="1.0280782382057627" u="1"/>
        <n v="1.0370804535027702" u="1"/>
        <n v="1.0505837764482815" u="1"/>
        <n v="1.0635350593207078" u="1"/>
        <n v="1.3204444343353083" u="1"/>
        <n v="1.3301391277320853" u="1"/>
        <n v="1.3543758612240289" u="1"/>
        <n v="0.93847739931574081" u="1"/>
        <n v="0.93293757451758208" u="1"/>
        <n v="0.94401722411389943" u="1"/>
        <n v="0.97171634810469176" u="1"/>
        <n v="1.4173913683030819" u="1"/>
        <n v="1.4270860616998595" u="1"/>
        <n v="1.4513227951918029" u="1"/>
        <n v="1.0437340704807525" u="1"/>
        <n v="0.89754611639915283" u="1"/>
        <n v="0.90654833169616056" u="1"/>
        <n v="0.9200516546416716" u="1"/>
        <n v="0.9875682693692287" u="1"/>
        <n v="0.99657048466623621" u="1"/>
        <n v="1.0100738076117475" u="1"/>
        <n v="0.9110494393446642" u="1"/>
        <n v="0.93355497758718309" u="1"/>
        <n v="1.0010715923147397" u="1"/>
        <n v="1.0235771305572587" u="1"/>
        <n v="1.0685882070422965" u="1"/>
        <n v="1.077590422339304" u="1"/>
        <n v="1.0910937452848157" u="1"/>
        <n v="0.896591662065509" u="1"/>
        <n v="0.90600936422237832" u="1"/>
        <n v="0.92013591745768253" u="1"/>
        <n v="0.93426247069298674" u="1"/>
        <n v="0.94368017284985617" u="1"/>
        <n v="0.95780672608516038" u="1"/>
        <n v="0.91542706637924787" u="1"/>
        <n v="0.92484476853611719" u="1"/>
        <n v="0.93897132177142151" u="1"/>
        <n v="0.96722442824202981" u="1"/>
        <n v="0.97664213039889924" u="1"/>
        <n v="0.99076868363420334" u="1"/>
        <n v="0.9204556361507259" u="1"/>
        <n v="0.94365194688193144" u="1"/>
        <n v="1.0132408790755481" u="1"/>
        <n v="1.2080898892176748" u="1"/>
        <n v="1.6070664337944103" u="1"/>
        <n v="1.0084503749332598" u="1"/>
        <n v="0.94193154268936152" u="1"/>
        <n v="1.0749692071771584" u="1"/>
        <n v="1.3055143942887379" u="1"/>
        <n v="1.2823180835575327" u="1"/>
        <n v="1.3658248021898727" u="1"/>
        <n v="1.6627375795493033" u="1"/>
        <n v="1.5931486473556868" u="1"/>
        <n v="1.5699523366244814" u="1"/>
        <n v="1.3982996372135603" u="1"/>
        <n v="1.4586100451146946" u="1"/>
        <n v="1.825170927105314" u="1"/>
        <n v="1.6614322631203338" u="1"/>
        <n v="1.6341424857895035" u="1"/>
        <n v="1.6013947529925074" u="1"/>
        <n v="0.75554177346405504" u="1"/>
        <n v="0.90211660718215414" u="1"/>
        <n v="0.86347631253034862" u="1"/>
        <n v="1.014445065468264" u="1"/>
        <n v="0.66236512245694812" u="1"/>
        <n v="0.774945282113643" u="1"/>
        <n v="1.0599540922240391" u="1"/>
        <n v="1.1357775788942861" u="1"/>
        <n v="0.84847372223578044" u="1"/>
        <n v="0.71873905848146169" u="1"/>
        <n v="0.67410690424890718" u="1"/>
        <n v="0.69798844112848857" u="1"/>
        <n v="0.86580179676103597" u="1"/>
        <n v="0.89368688128262419" u="1"/>
        <n v="0.74860452466304517" u="1"/>
        <n v="0.80133629322268152" u="1"/>
        <n v="0.7771925967735458" u="1"/>
        <n v="1.2041687245420785" u="1"/>
        <n v="1.226684496078593" u="1"/>
        <n v="1.2492002676151073" u="1"/>
        <n v="1.2852255020735301" u="1"/>
        <n v="2.0679801786017986" u="1"/>
        <n v="2.1027471787684755" u="1"/>
        <n v="2.1375141789351519" u="1"/>
        <n v="2.1931413792018346" u="1"/>
        <n v="1.0958818510455621" u="1"/>
        <n v="1.1190598511566801" u="1"/>
        <n v="1.142237851267798" u="1"/>
        <n v="1.1793226514455863" u="1"/>
        <n v="0.82701704975659607" u="1"/>
        <n v="1.1068354831808149" u="1"/>
        <n v="1.1303445975792346" u="1"/>
        <n v="1.1538537119776535" u="1"/>
        <n v="1.1914682950151252" u="1"/>
        <n v="1.151509051312245" u="1"/>
        <n v="1.1144242511344566" u="1"/>
        <n v="1.1376022512455739" u="1"/>
        <n v="1.1746870514233629" u="1"/>
        <n v="1.1654158513789157" u="1"/>
        <n v="1.202500651556704" u="1"/>
        <n v="1.0960930211668092" u="1"/>
        <n v="1.1050993297814147" u="1"/>
        <n v="1.1276151013179292" u="1"/>
        <n v="1.1501308728544439" u="1"/>
        <n v="1.1861561073128666" u="1"/>
        <n v="1.1681434900836554" u="1"/>
        <n v="1.1906592616201697" u="1"/>
        <n v="1.213175033156684" u="1"/>
        <n v="1.1885938514900336" u="1"/>
        <n v="1.2117718516011511" u="1"/>
        <n v="1.234949851712269" u="1"/>
        <n v="1.2720346518900572" u="1"/>
        <n v="1.1252167193439262" u="1"/>
        <n v="1.1467391480185354" u="1"/>
        <n v="1.168261576693145" u="1"/>
        <n v="1.2026974625725195" u="1"/>
        <n v="1.2581278518233869" u="1"/>
        <n v="1.1653371269725892" u="1"/>
        <n v="1.1271927610754353" u="1"/>
        <n v="1.1510329897611566" u="1"/>
        <n v="1.1891773556583105" u="1"/>
        <n v="1.2471385725981012" u="1"/>
        <n v="1.0402546507788797" u="1"/>
        <n v="1.326606001550505" u="1"/>
        <n v="1.6126887457791588" u="1"/>
        <n v="1.0825835582449008" u="1"/>
        <n v="1.1636403357763525" u="1"/>
        <n v="0.54993689902941778" u="1"/>
        <n v="1.2762191934589247" u="1"/>
        <n v="0.56324003579911819" u="1"/>
        <n v="0.55230889534827199" u="1"/>
        <n v="0.38453540661973795" u="1"/>
        <n v="0.51559164843836891" u="1"/>
        <n v="0.8337216175476535" u="1"/>
        <n v="0.81543881106000382" u="1"/>
        <n v="1.0974318374214469" u="1"/>
        <n v="0.99354716742193117" u="1"/>
        <n v="1.1051530510900094" u="1"/>
        <n v="1.1607802513566918" u="1"/>
        <n v="1.1978650515344804" u="1"/>
        <n v="1.3439118764737008" u="1"/>
        <n v="1.3200333213092248" u="1"/>
        <n v="0.89123873847105572" u="1"/>
        <n v="0.90961413515464251" u="1"/>
        <n v="0.66516579256223096" u="1"/>
        <n v="1.0487263124036559" u="1"/>
        <n v="1.1650622493187239" u="1"/>
        <n v="1.1275370258790109" u="1"/>
        <n v="1.6189901543142451" u="1"/>
        <n v="2.0880554473106558" u="1"/>
        <n v="1.4258456219039584" u="1"/>
        <n v="1.3706614697867339" u="1"/>
        <n v="1.4699929435977381" u="1"/>
        <n v="0.52306111046744341" u="1"/>
        <n v="0.44582716061693695" u="1"/>
        <n v="1.3375509785163993" u="1"/>
        <n v="1.6134717391025231" u="1"/>
        <n v="0.86132585434539011" u="1"/>
        <n v="0.88064030758641887" u="1"/>
        <n v="0.93375505399924752" u="1"/>
        <n v="1.0061842536531052" u="1"/>
        <n v="1.1510426529608204" u="1"/>
        <n v="0.92892644068899066" u="1"/>
        <n v="0.83029524156161627" u="1"/>
        <n v="0.87843744541611157" u="1"/>
        <n v="0.77799512270393034" u="1"/>
        <n v="0.84681762120965576" u="1"/>
        <n v="0.91898071212762444" u="1"/>
        <n v="0.74944670400663393" u="1"/>
        <n v="0.7864648785598769" u="1"/>
        <n v="0.83895758487107874" u="1"/>
        <n v="0.75427448016019483" u="1"/>
        <n v="0.78221997737484172" u="1"/>
        <n v="0.89396568842839064" u="1"/>
        <n v="0.94600955660196639" u="1"/>
        <n v="0.74367180846699232" u="1"/>
        <n v="0.71748545341770087" u="1"/>
        <n v="0.58943898971317976" u="1"/>
        <n v="0.77600085910138172" u="1"/>
        <n v="0.57076995607719561" u="1"/>
        <n v="0.76099649508591705" u="1"/>
        <n v="0.77270177118684047" u="1"/>
        <n v="0.91528837965168286" u="1"/>
        <n v="0.8008773321952225" u="1"/>
        <n v="0.71479733076878416" u="1"/>
        <n v="1.1767889739401125" u="1"/>
        <n v="1.2673112027047364" u="1"/>
        <n v="9.7842693171483983" u="1"/>
        <n v="0.52654610056407158" u="1"/>
        <n v="0.61647751066416012" u="1"/>
        <n v="0.43878841713672634" u="1"/>
        <n v="1.0431783926812133" u="1"/>
        <n v="1.0154503950656617" u="1"/>
        <n v="1.020071728001587" u="1"/>
        <n v="1.0246930609375122" u="1"/>
        <n v="1.0339357268093625" u="1"/>
        <n v="1.0524210585530636" u="1"/>
        <n v="1.0662850573608391" u="1"/>
        <n v="1.0893917220404654" u="1"/>
        <n v="0.97385839864233492" u="1"/>
        <n v="0.98310106451418511" u="1"/>
        <n v="0.99696506332196078" u="1"/>
        <n v="0.93688773515493284" u="1"/>
        <n v="0.94613040102678347" u="1"/>
        <n v="0.95999439983455903" u="1"/>
        <n v="0.94306701790130898" u="1"/>
        <n v="0.95285337000091519" u="1"/>
        <n v="0.96753289815032484" u="1"/>
        <n v="0.99199877839934059" u="1"/>
        <n v="0.85978365793412437" u="1"/>
        <n v="0.86929816691985273" u="1"/>
        <n v="0.88356993039844545" u="1"/>
        <n v="0.90735620286276619" u="1"/>
        <n v="0.84908240937235357" u="1"/>
        <n v="0.85832507524420409" u="1"/>
        <n v="0.87218907405197954" u="1"/>
        <n v="0.89529573873160573" u="1"/>
        <n v="0.87681040698790491" u="1"/>
        <n v="0.88605307285975532" u="1"/>
        <n v="0.89991707166753099" u="1"/>
        <n v="0.92302373634715718" u="1"/>
        <n v="0.97065111293041195" u="1"/>
        <n v="0.97948601413144554" u="1"/>
        <n v="0.9927383659329958" u="1"/>
        <n v="1.0148256189355795" u="1"/>
        <n v="1.0413303225386803" u="1"/>
        <n v="1.0501652237397139" u="1"/>
        <n v="1.0634175755412643" u="1"/>
        <n v="1.085504828543848" u="1"/>
        <n v="1.1171197196560168" u="1"/>
        <n v="1.2272686972720155" u="1"/>
        <n v="1.1946475236066609" u="1"/>
        <n v="1.2000843858842201" u="1"/>
        <n v="1.2055212481617792" u="1"/>
        <n v="1.216394972716897" u="1"/>
        <n v="1.2381424218271335" u="1"/>
        <n v="1.2544530086598107" u="1"/>
        <n v="1.2816373200476063" u="1"/>
        <n v="1.1473228915777181" u="1"/>
        <n v="1.1565613567089004" u="1"/>
        <n v="1.1704190544056736" u="1"/>
        <n v="1.2397075428895408" u="1"/>
        <n v="1.2489460080207231" u="1"/>
        <n v="1.2628037057174968" u="1"/>
        <n v="1.0549382402658951" u="1"/>
        <n v="1.0641767053970774" u="1"/>
        <n v="1.0780344030938507" u="1"/>
        <n v="1.0913163123429266" u="1"/>
        <n v="1.3549678941635903" u="1"/>
        <n v="1.3649170104587098" u="1"/>
        <n v="1.389789801196508" u="1"/>
        <n v="0.96295817710279075" u="1"/>
        <n v="0.95727296779129412" u="1"/>
        <n v="0.96864338641428793" u="1"/>
        <n v="0.99706943297177175" u="1"/>
        <n v="1.4544590571147844" u="1"/>
        <n v="1.4644081734099035" u="1"/>
        <n v="1.4892809641477018" u="1"/>
        <n v="1.0709771540212301" u="1"/>
        <n v="0.92098049586375197" u="1"/>
        <n v="0.93021896099493429" u="1"/>
        <n v="0.94407665869170754" u="1"/>
        <n v="1.0133651471755747" u="1"/>
        <n v="1.0226036123067572" u="1"/>
        <n v="1.0364613100035305" u="1"/>
        <n v="0.93483819356052533" u="1"/>
        <n v="0.95793435638848112" u="1"/>
        <n v="1.0272228448723482" u="1"/>
        <n v="1.050319007700304" u="1"/>
        <n v="1.0965113333562153" u="1"/>
        <n v="1.1057497984873976" u="1"/>
        <n v="1.1196074961841711" u="1"/>
        <n v="0.9199954367475901" u="1"/>
        <n v="0.92966029257713467" u="1"/>
        <n v="0.94415757632145147" u="1"/>
        <n v="0.95865486006576828" u="1"/>
        <n v="0.96831971589531274" u="1"/>
        <n v="0.98281699963962965" u="1"/>
        <n v="0.93932514840667913" u="1"/>
        <n v="0.94899000423622359" u="1"/>
        <n v="0.96348728798054051" u="1"/>
        <n v="0.99248185546917411" u="1"/>
        <n v="1.0021467112987188" u="1"/>
        <n v="1.0166439950430355" u="1"/>
        <n v="0.94448754686282577" u="1"/>
        <n v="0.96829261048239368" u="1"/>
        <n v="1.0397078013410972" u="1"/>
        <n v="1.2396703357454668" u="1"/>
        <n v="1.6491174300020337" u="1"/>
        <n v="1.0347970519214817" u="1"/>
        <n v="0.96653253124772098" u="1"/>
        <n v="1.1030615725952424" u="1"/>
        <n v="1.339651602947652" u="1"/>
        <n v="1.3158465393280843" u="1"/>
        <n v="1.4015447683585283" u="1"/>
        <n v="1.7062495826889965" u="1"/>
        <n v="1.6348343918302928" u="1"/>
        <n v="1.6110293282107251" u="1"/>
        <n v="1.4348718574259234" u="1"/>
        <n v="1.4967650228367997" u="1"/>
        <n v="1.8729238556647898" u="1"/>
        <n v="1.7048881124678403" u="1"/>
        <n v="1.6768821552683484" u="1"/>
        <n v="1.6432750066289588" u="1"/>
        <n v="0.77911041823811167" u="1"/>
        <n v="0.92620008066370052" u="1"/>
        <n v="0.89041190655784197" u="1"/>
        <n v="1.0415348270971438" u="1"/>
        <n v="0.68303540530075535" u="1"/>
        <n v="0.79566213524550045" u="1"/>
        <n v="1.0929774731791166" u="1"/>
        <n v="1.1660515329948153" u="1"/>
        <n v="0.87116109625094063" u="1"/>
        <n v="0.73801005925017416" u="1"/>
        <n v="0.69515232154639917" u="1"/>
        <n v="0.71671487261653821" u="1"/>
        <n v="0.89278227712265268" u="1"/>
        <n v="0.91753745030926503" u="1"/>
        <n v="0.77195369352399767" u="1"/>
        <n v="0.82276325757033275" u="1"/>
        <n v="0.80142076386340821" u="1"/>
        <n v="1.2356499063921591" u="1"/>
        <n v="1.2587565710717852" u="1"/>
        <n v="1.2818632357514117" u="1"/>
        <n v="1.3188338992388136" u="1"/>
        <n v="2.1220652782256062" u="1"/>
        <n v="2.1577446869220878" u="1"/>
        <n v="2.1934240956185693" u="1"/>
        <n v="2.2505111495329397" u="1"/>
        <n v="1.1245176614190204" u="1"/>
        <n v="1.1483039338833416" u="1"/>
        <n v="1.1720902063476626" u="1"/>
        <n v="1.2101482422905763" u="1"/>
        <n v="0.84859690083289663" u="1"/>
        <n v="1.1357569841679584" u="1"/>
        <n v="1.1598830605246271" u="1"/>
        <n v="1.1840091368812957" u="1"/>
        <n v="1.2226108590519651" u="1"/>
        <n v="1.1816047153333911" u="1"/>
        <n v="1.1435466793904774" u="1"/>
        <n v="1.1673329518547986" u="1"/>
        <n v="1.205390987797712" u="1"/>
        <n v="1.1958764788119836" u="1"/>
        <n v="1.2339345147548975" u="1"/>
        <n v="1.124737915929954" u="1"/>
        <n v="1.1339805818018045" u="1"/>
        <n v="1.1570872464814306" u="1"/>
        <n v="1.1801939111610569" u="1"/>
        <n v="1.2171645746484583" u="1"/>
        <n v="1.1986792429047575" u="1"/>
        <n v="1.2217859075843835" u="1"/>
        <n v="1.2448925722640096" u="1"/>
        <n v="1.2196627512763045" u="1"/>
        <n v="1.2434490237406259" u="1"/>
        <n v="1.2672352962049467" u="1"/>
        <n v="1.3052933321478606" u="1"/>
        <n v="1.1546312363305813" u="1"/>
        <n v="1.1767184893331648" u="1"/>
        <n v="1.198805742335749" u="1"/>
        <n v="1.2341453471398829" u="1"/>
        <n v="1.2910215686692681" u="1"/>
        <n v="1.1957921458579894" u="1"/>
        <n v="1.1566467374595639" u="1"/>
        <n v="1.18111261770858" u="1"/>
        <n v="1.2202580261070055" u="1"/>
        <n v="1.2797261793441785" u="1"/>
        <n v="1.0674306075046502" u="1"/>
        <n v="1.3612791135075653" u="1"/>
        <n v="1.654869676495756" u="1"/>
        <n v="1.1108739171221782" u="1"/>
        <n v="1.194057909968832" u="1"/>
        <n v="0.56426290381571009" u="1"/>
        <n v="1.3095912333669628" u="1"/>
        <n v="0.58529160143491765" u="1"/>
        <n v="0.57392931381909817" u="1"/>
        <n v="0.39957943734134732" u="1"/>
        <n v="0.5293973642221248" u="1"/>
        <n v="0.85547915594109258" u="1"/>
        <n v="0.83671654422123609" u="1"/>
        <n v="1.126106553625291" u="1"/>
        <n v="1.0195044846517065" u="1"/>
        <n v="1.1340321704047489" u="1"/>
        <n v="1.1911192243191195" u="1"/>
        <n v="1.229177260262033" u="1"/>
        <n v="1.3790531206814065" u="1"/>
        <n v="1.3545479081318514" u="1"/>
        <n v="0.91453537282156794" u="1"/>
        <n v="0.86831134328020887" u="1"/>
        <n v="0.89211640689977656" u="1"/>
        <n v="0.96353159775848018" u="1"/>
        <n v="1.16349413216285" u="1"/>
        <n v="1.5729412264194169" u="1"/>
        <n v="0.96198156320280359" u="1"/>
        <n v="0.89371704252904272" u="1"/>
        <n v="1.0302460838765641" u="1"/>
        <n v="1.2825194502606891" u="1"/>
        <n v="1.2587143866411215" u="1"/>
        <n v="1.3777397047389603" u="1"/>
        <n v="1.7609000268668231" u="1"/>
        <n v="1.5648583264703821" u="1"/>
        <n v="1.5928642836698739" u="1"/>
        <n v="1.5536559435905859" u="1"/>
        <n v="5.7069972053684292" u="1"/>
        <n v="1.3202406105624742" u="1"/>
        <n v="1.1166203110174058" u="1"/>
        <n v="1.2090469697359105" u="1"/>
        <n v="1.161786924974181" u="1"/>
        <n v="1.1243686509008208" u="1"/>
        <n v="1.6144290783962745" u="1"/>
        <n v="2.0821575043132801" u="1"/>
        <n v="1.4218350206657429" u="1"/>
        <n v="1.3668081470284483" u="1"/>
        <n v="1.4658565195755788" u="1"/>
        <n v="0.52161021649008898" u="1"/>
        <n v="0.44459842249248366" u="1"/>
        <n v="1.3337920228460716" u="1"/>
        <n v="1.6089263910325455" u="1"/>
        <n v="0.85891752762146167" u="1"/>
        <n v="0.87817693339451486" u="1"/>
        <n v="0.93114029927041098" u="1"/>
        <n v="1.0033630709193604" u="1"/>
        <n v="1.1478086142172594" u="1"/>
        <n v="0.92632544782714776" u="1"/>
        <n v="0.82794184015195449" u="1"/>
        <n v="0.87593871775366461" u="1"/>
        <n v="0.77580666053836456" u="1"/>
        <n v="0.84442140545130884" u="1"/>
        <n v="0.91636665857306443" u="1"/>
        <n v="0.74733735903945542" u="1"/>
        <n v="0.78424378730436828" u="1"/>
        <n v="0.83657803455686519" u="1"/>
        <n v="0.75215056164711469" u="1"/>
        <n v="0.78002346939249068" u="1"/>
        <n v="0.89145539359141801" u="1"/>
        <n v="0.94331861911933101" u="1"/>
        <n v="0.74157989610284847" u="1"/>
        <n v="0.71547258946739634" u="1"/>
        <n v="0.58782442722359862" u="1"/>
        <n v="0.77382312469152936" u="1"/>
        <n v="0.56921174955980114" u="1"/>
        <n v="0.75885228491266965" u="1"/>
        <n v="0.77046408375094255" u="1"/>
        <n v="0.91271371828042891" u="1"/>
        <n v="0.79862450349537528" u="1"/>
        <n v="0.71279258141981316" u="1"/>
        <n v="1.1733896163483786" u="1"/>
        <n v="1.2636503560674848" u="1"/>
        <n v="9.7548996695522359" u="1"/>
        <n v="0.5250978535427413" u="1"/>
        <n v="0.61473425036070706" u="1"/>
        <n v="0.43758154461895105" u="1"/>
        <n v="1.0402148942293297" u="1"/>
        <n v="1.0125659232391619" u="1"/>
        <n v="1.0171740850708564" u="1"/>
        <n v="1.021782246902551" u="1"/>
        <n v="1.0309985705659404" u="1"/>
        <n v="1.049431217892719" u="1"/>
        <n v="1.0632557033878025" u="1"/>
        <n v="1.086296512546276" u="1"/>
        <n v="0.97109246675391026" u="1"/>
        <n v="0.98030879041729957" u="1"/>
        <n v="0.99413327591238332" u="1"/>
        <n v="0.934227172100353" u="1"/>
        <n v="0.94344349576374242" u="1"/>
        <n v="0.95726798125882606" u="1"/>
        <n v="0.94038940988831299" u="1"/>
        <n v="0.95014787023778391" u="1"/>
        <n v="0.96478556076199051" u="1"/>
        <n v="0.98918171163566782" u="1"/>
        <n v="0.85734312979727911" u="1"/>
        <n v="0.86683052180370923" u="1"/>
        <n v="0.88106160981335446" u="1"/>
        <n v="0.9047800898294297" u="1"/>
        <n v="0.84667209729815507" u="1"/>
        <n v="0.85588842096154438" u="1"/>
        <n v="0.86971290645662813" u="1"/>
        <n v="0.89275371561510131" u="1"/>
        <n v="0.87432106828832279" u="1"/>
        <n v="0.8835373919517121" u="1"/>
        <n v="0.89736187744679585" u="1"/>
        <n v="0.92040268660526914" u="1"/>
        <n v="0.96789389721390473" u="1"/>
        <n v="0.97670361836273267" u="1"/>
        <n v="0.98991820008597486" u="1"/>
        <n v="1.0119425029580444" u="1"/>
        <n v="1.0383716664045286" u="1"/>
        <n v="1.0471813875533564" u="1"/>
        <n v="1.0603959692765987" u="1"/>
        <n v="1.0824202721486684" u="1"/>
        <n v="1.1139454835364437" u="1"/>
        <n v="1.2237822285050939" u="1"/>
        <n v="1.1912540273401904" u="1"/>
        <n v="1.1966753942010075" u="1"/>
        <n v="1.2020967610618247" u="1"/>
        <n v="1.2129394947834591" u="1"/>
        <n v="1.2346249622267282" u="1"/>
        <n v="1.2508890628091796" u="1"/>
        <n v="1.2779958971132661" u="1"/>
        <n v="1.1440974376588111" u="1"/>
        <n v="1.1533095725539206" u="1"/>
        <n v="1.1671277748965849" u="1"/>
        <n v="1.2362187866099068" u="1"/>
        <n v="1.2454309215050163" u="1"/>
        <n v="1.2592491238476808" u="1"/>
        <n v="1.0519760887077154" u="1"/>
        <n v="1.0611882236028247" u="1"/>
        <n v="1.075006425945489" u="1"/>
        <n v="1.088253903347393" u="1"/>
        <n v="1.3511540607385972" u="1"/>
        <n v="1.3610748213948689" u="1"/>
        <n v="1.3858767230355487" u="1"/>
        <n v="0.96026844221782492" u="1"/>
        <n v="0.9545994361285266" u="1"/>
        <n v="0.96593744830712314" u="1"/>
        <n v="0.99428247875361409" u="1"/>
        <n v="1.4503616673013155" u="1"/>
        <n v="1.4602824279575877" u="1"/>
        <n v="1.485084329598267" u="1"/>
        <n v="1.0679795579144908" u="1"/>
        <n v="0.9184001327286262" u="1"/>
        <n v="0.92761226762373594" u="1"/>
        <n v="0.94143046996640023" u="1"/>
        <n v="1.0105214816797221" u="1"/>
        <n v="1.0197336165748316" u="1"/>
        <n v="1.0335518189174961" u="1"/>
        <n v="0.9322183350712907" u="1"/>
        <n v="0.95524867230906474" u="1"/>
        <n v="1.0243396840223864" u="1"/>
        <n v="1.0473700212601604" u="1"/>
        <n v="1.0934306957357085" u="1"/>
        <n v="1.1026428306308178" u="1"/>
        <n v="1.1164610329734823" u="1"/>
        <n v="0.91741993457912407" u="1"/>
        <n v="0.92705724493093089" u="1"/>
        <n v="0.94151321045864134" u="1"/>
        <n v="0.95596917598635178" u="1"/>
        <n v="0.96560648633815882" u="1"/>
        <n v="0.98006245186586916" u="1"/>
        <n v="0.93669455528273793" u="1"/>
        <n v="0.94633186563454486" u="1"/>
        <n v="0.96078783116225519" u="1"/>
        <n v="0.98969976221767597" u="1"/>
        <n v="0.99933707256948312" u="1"/>
        <n v="1.0137930380971933" u="1"/>
        <n v="0.86588245632699157" u="1"/>
        <n v="0.88961967394227948" u="1"/>
        <n v="0.96083132678814354" u="1"/>
        <n v="1.1602239547565631" u="1"/>
        <n v="1.5685040977395168" u="1"/>
        <n v="0.95928368679732401" u="1"/>
        <n v="0.89121372451818914" u="1"/>
        <n v="1.0273536490764588" u="1"/>
        <n v="1.2789100428330031" u="1"/>
        <n v="1.2551728252177152" u="1"/>
        <n v="1.3975961309094433" u="1"/>
        <n v="1.70143251638513" u="1"/>
        <n v="1.6302208635392659" u="1"/>
        <n v="1.6064836459239782" u="1"/>
        <n v="1.3738589132941552" u="1"/>
        <n v="1.4925450013705954" u="1"/>
        <n v="1.7559352957301122" u="1"/>
        <n v="1.560452327133623" u="1"/>
        <n v="1.5883784655045496" u="1"/>
        <n v="1.5492818717852519" u="1"/>
        <n v="0.77692329704201002" u="1"/>
        <n v="0.92356894179179028" u="1"/>
        <n v="0.88791233947658288" u="1"/>
        <n v="1.0385790671955826" u="1"/>
        <n v="0.68112653526847411" u="1"/>
        <n v="0.79341328034929826" u="1"/>
        <n v="1.0898664240221847" u="1"/>
        <n v="1.1627198961115524" u="1"/>
        <n v="0.86870081055253101" u="1"/>
        <n v="0.73594700718015371" u="1"/>
        <n v="0.69321864357903051" u="1"/>
        <n v="0.71471610405304742" u="1"/>
        <n v="0.89024730844753897" u="1"/>
        <n v="0.91492775351062916" u="1"/>
        <n v="0.76978346854314494" u="1"/>
        <n v="0.82043965441072375" u="1"/>
        <n v="0.79915452546891907" u="1"/>
        <n v="1.2321727348752827" u="1"/>
        <n v="1.255213544033756" u="1"/>
        <n v="1.2782543531922292" u="1"/>
        <n v="1.3151196478457861" u="1"/>
        <n v="2.1160859842903355" u="1"/>
        <n v="2.1516637043144482" u="1"/>
        <n v="2.1872414243385609" u="1"/>
        <n v="2.2441657763771419" u="1"/>
        <n v="1.1213585333307712" u="1"/>
        <n v="1.1450770133468462" u="1"/>
        <n v="1.1687954933629217" u="1"/>
        <n v="1.2067450613886423" u="1"/>
        <n v="0.8462241651442971" u="1"/>
        <n v="1.1325664778608067" u="1"/>
        <n v="1.1566237933056831" u="1"/>
        <n v="1.1806811087505598" u="1"/>
        <n v="1.2191728134623618" u="1"/>
        <n v="1.1782828853693521" u="1"/>
        <n v="1.1403333173436312" u="1"/>
        <n v="1.1640517973597069" u="1"/>
        <n v="1.2020013653854271" u="1"/>
        <n v="1.1925139733789971" u="1"/>
        <n v="1.2304635414047176" u="1"/>
        <n v="1.1215768509146118" u="1"/>
        <n v="1.1307931745780009" u="1"/>
        <n v="1.1538339837364742" u="1"/>
        <n v="1.1768747928949472" u="1"/>
        <n v="1.2137400875485045" u="1"/>
        <n v="1.1953074402217256" u="1"/>
        <n v="1.2183482493801989" u="1"/>
        <n v="1.241389058538672" u="1"/>
        <n v="1.2162324533950724" u="1"/>
        <n v="1.2399509334111478" u="1"/>
        <n v="1.2636694134272231" u="1"/>
        <n v="1.3016189814529435" u="1"/>
        <n v="1.1513830095960658" u="1"/>
        <n v="1.1734073124681357" u="1"/>
        <n v="1.1954316153402056" u="1"/>
        <n v="1.2306704999355176" u="1"/>
        <n v="1.2873878934432983" u="1"/>
        <n v="1.1924311899666771" u="1"/>
        <n v="1.1533973485687932" u="1"/>
        <n v="1.1777934994424704" u="1"/>
        <n v="1.2168273408403545" u="1"/>
        <n v="1.1134902368355473" u="1"/>
        <n v="1.06443418129219" u="1"/>
        <n v="1.20565347346944" u="1"/>
        <n v="1.6502055560564519" u="1"/>
        <n v="1.1077523654195274" u="1"/>
        <n v="1.190699278390031" u="1"/>
        <n v="0.56269399287059552" u="1"/>
        <n v="1.3059033241823967" u="1"/>
        <n v="0.52791004079411707" u="1"/>
        <n v="0.8530861638689573" u="1"/>
        <n v="0.8343770268322771" u="1"/>
        <n v="1.1229435516828561" u="1"/>
        <n v="5.689922566341707" u="1"/>
        <n v="1.01664201631698" u="1"/>
        <n v="1.1308459253372012" u="1"/>
        <n v="1.1877702773757823" u="1"/>
        <n v="1.2257198454015026" u="1"/>
        <n v="1.3165250440927974" u="1"/>
        <n v="0.91196311129754148" u="1"/>
        <n v="1.2164962071910743" u="1"/>
        <n v="1.1617155669354393" u="1"/>
        <n v="1.1242972928620787" u="1"/>
        <n v="1.6143451277624603" u="1"/>
        <n v="2.0820735536794661" u="1"/>
        <n v="1.4217510700319289" u="1"/>
        <n v="1.3667241963946344" u="1"/>
        <n v="1.4657725689417651" u="1"/>
        <n v="0.52154725351472853" u="1"/>
        <n v="0.44454595334634989" u="1"/>
        <n v="1.3337080722122574" u="1"/>
        <n v="1.6088424403987314" u="1"/>
        <n v="0.85884407081687442" u="1"/>
        <n v="0.87810347658992771" u="1"/>
        <n v="0.93106684246582372" u="1"/>
        <n v="1.0032896141147731" u="1"/>
        <n v="1.1477351574126722" u="1"/>
        <n v="0.92625199102256051" u="1"/>
        <n v="0.82781991835195445" u="1"/>
        <n v="0.87581679595366457" u="1"/>
        <n v="0.77567911157836467" u="1"/>
        <n v="0.84429385649130895" u="1"/>
        <n v="0.91623910961306454" u="1"/>
        <n v="0.74721543723945549" u="1"/>
        <n v="0.78412186550436835" u="1"/>
        <n v="0.83645611275686516" u="1"/>
        <n v="0.75202863984711488" u="1"/>
        <n v="0.77989216899249081" u="1"/>
        <n v="0.89130533599141804" u="1"/>
        <n v="0.94318731871933115" u="1"/>
        <n v="0.74145797430284854" u="1"/>
        <n v="0.71535066766739641" u="1"/>
        <n v="0.58769312682359853" u="1"/>
        <n v="0.56908044915980127" u="1"/>
        <n v="0.75873036311266984" u="1"/>
        <n v="0.77038849432944789" u="1"/>
        <n v="0.91256366068042893" u="1"/>
        <n v="0.7984932030953753" u="1"/>
        <n v="0.71267065961981324" u="1"/>
        <n v="1.1732676945483786" u="1"/>
        <n v="1.2635190556674847" u="1"/>
        <n v="9.7547673880646197" u="1"/>
        <n v="0.52498531034274121" u="1"/>
        <n v="0.43748775861895101" u="1"/>
        <n v="1.0401445907428846" u="1"/>
        <n v="1.0124956197527166" u="1"/>
        <n v="1.0171037815844113" u="1"/>
        <n v="1.0217119434161059" u="1"/>
        <n v="1.030928267079495" u="1"/>
        <n v="1.0493609144062737" u="1"/>
        <n v="1.0631853999013574" u="1"/>
        <n v="1.0862262090598309" u="1"/>
        <n v="0.97102216326746504" u="1"/>
        <n v="0.98023848693085436" u="1"/>
        <n v="0.99406297242593811" u="1"/>
        <n v="0.93415686861390779" u="1"/>
        <n v="0.94337319227729732" u="1"/>
        <n v="0.95719767777238096" u="1"/>
        <n v="0.94031497090266503" u="1"/>
        <n v="0.95007343125213595" u="1"/>
        <n v="0.96471112177634266" u="1"/>
        <n v="0.98910727265002008" u="1"/>
        <n v="0.85727075856123269" u="1"/>
        <n v="0.86675815056766281" u="1"/>
        <n v="0.88098923857730793" u="1"/>
        <n v="0.90470771859338306" u="1"/>
        <n v="0.84660179381170997" u="1"/>
        <n v="0.85581811747509917" u="1"/>
        <n v="0.86964260297018292" u="1"/>
        <n v="0.8926834121286561" u="1"/>
        <n v="0.87425076480187758" u="1"/>
        <n v="0.88346708846526689" u="1"/>
        <n v="0.89729157396035064" u="1"/>
        <n v="0.92033238311882393" u="1"/>
        <n v="0.9678266953518615" u="1"/>
        <n v="0.97663641650068944" u="1"/>
        <n v="0.98985099822393152" u="1"/>
        <n v="1.0118753010960013" u="1"/>
        <n v="1.0383044645424855" u="1"/>
        <n v="1.0471141856913133" u="1"/>
        <n v="1.0603287674145554" u="1"/>
        <n v="1.0823530702866255" u="1"/>
        <n v="1.1138751800499989" u="1"/>
        <n v="1.2236995185210406" u="1"/>
        <n v="1.1911713173561371" u="1"/>
        <n v="1.1965926842169545" u="1"/>
        <n v="1.2020140510777715" u="1"/>
        <n v="1.2128567847994058" u="1"/>
        <n v="1.234542252242675" u="1"/>
        <n v="1.2508063528251265" u="1"/>
        <n v="1.2779131871292129" u="1"/>
        <n v="1.1440271661249128" u="1"/>
        <n v="1.1532393010200221" u="1"/>
        <n v="1.1670575033626864" u="1"/>
        <n v="1.2361485150760085" u="1"/>
        <n v="1.2453606499711178" u="1"/>
        <n v="1.2591788523137826" u="1"/>
        <n v="1.0519058171738169" u="1"/>
        <n v="1.0611179520689265" u="1"/>
        <n v="1.074936154411591" u="1"/>
        <n v="1.088178226310887" u="1"/>
        <n v="1.3510783837020914" u="1"/>
        <n v="1.3609991443583629" u="1"/>
        <n v="1.3858010459990429" u="1"/>
        <n v="0.96018195417610386" u="1"/>
        <n v="0.95451294808680576" u="1"/>
        <n v="0.96585096026540207" u="1"/>
        <n v="0.99419599071189313" u="1"/>
        <n v="1.4502859902648098" u="1"/>
        <n v="1.4602067509210817" u="1"/>
        <n v="1.4850086525617612" u="1"/>
        <n v="1.0678930698727698" u="1"/>
        <n v="0.91832986119472804" u="1"/>
        <n v="0.92754199608983767" u="1"/>
        <n v="0.94136019843250196" u="1"/>
        <n v="1.0104512101458236" u="1"/>
        <n v="1.0196633450409334" u="1"/>
        <n v="1.0334815473835979" u="1"/>
        <n v="0.93214806353739244" u="1"/>
        <n v="0.95517840077516647" u="1"/>
        <n v="1.0242694124884881" u="1"/>
        <n v="1.0472997497262622" u="1"/>
        <n v="1.09336042420181" u="1"/>
        <n v="1.1025725590969195" u="1"/>
        <n v="1.116390761439584" u="1"/>
        <n v="0.91734641974366127" u="1"/>
        <n v="0.92698373009546808" u="1"/>
        <n v="0.94143969562317853" u="1"/>
        <n v="0.95589566115088909" u="1"/>
        <n v="0.9655329715026959" u="1"/>
        <n v="0.97998893703040624" u="1"/>
        <n v="0.93662104044727512" u="1"/>
        <n v="0.94625835079908205" u="1"/>
        <n v="0.96071431632679238" u="1"/>
        <n v="0.98962624738221328" u="1"/>
        <n v="0.99926355773402031" u="1"/>
        <n v="1.0137195232617304" u="1"/>
        <n v="0.86581002791766848" u="1"/>
        <n v="0.88954724553295661" u="1"/>
        <n v="0.96075889837882056" u="1"/>
        <n v="1.1601515263472399" u="1"/>
        <n v="1.5684316693301938" u="1"/>
        <n v="0.95921445375900061" u="1"/>
        <n v="0.89114449147986574" u="1"/>
        <n v="1.0272844160381351" u="1"/>
        <n v="1.2788376144236802" u="1"/>
        <n v="1.255100396808392" u="1"/>
        <n v="1.3975237025001204" u="1"/>
        <n v="1.7013600879758068" u="1"/>
        <n v="1.6301484351299427" u="1"/>
        <n v="1.606411217514655" u="1"/>
        <n v="1.373786484884832" u="1"/>
        <n v="1.4924725729612722" u="1"/>
        <n v="1.7558500858367909" u="1"/>
        <n v="1.5603671172403013" u="1"/>
        <n v="1.5882932556112286" u="1"/>
        <n v="1.5491966618919306" u="1"/>
        <n v="0.77679199664201015" u="1"/>
        <n v="0.9234376413917903" u="1"/>
        <n v="0.88776228187658301" u="1"/>
        <n v="1.0384290095955826" u="1"/>
        <n v="0.68100461346847407" u="1"/>
        <n v="0.79329135854929822" u="1"/>
        <n v="1.0897163664221847" u="1"/>
        <n v="1.1625698385115526" u="1"/>
        <n v="0.86856575871253117" u="1"/>
        <n v="0.77369182429152938" u="1"/>
        <n v="0.73581570678015373" u="1"/>
        <n v="0.69308734317903054" u="1"/>
        <n v="0.71458480365304744" u="1"/>
        <n v="0.89011975948753896" u="1"/>
        <n v="0.91480020455062938" u="1"/>
        <n v="0.76965591958314494" u="1"/>
        <n v="0.82031210545072386" u="1"/>
        <n v="0.79903260366891915" u="1"/>
        <n v="1.2321024313888373" u="1"/>
        <n v="1.2551432405473109" u="1"/>
        <n v="1.2781840497057839" u="1"/>
        <n v="1.3150493443593407" u="1"/>
        <n v="2.115977427436265" u="1"/>
        <n v="2.1515551474603787" u="1"/>
        <n v="2.1871328674844914" u="1"/>
        <n v="2.2440572195230724" u="1"/>
        <n v="1.121286162094725" u="1"/>
        <n v="1.1450046421107998" u="1"/>
        <n v="1.1687231221268752" u="1"/>
        <n v="1.2066726901525957" u="1"/>
        <n v="0.84615179390825068" u="1"/>
        <n v="1.1324930727499596" u="1"/>
        <n v="1.1565503881948362" u="1"/>
        <n v="1.1806077036397125" u="1"/>
        <n v="1.2190994083515148" u="1"/>
        <n v="1.1782105141333055" u="1"/>
        <n v="1.140260946107585" u="1"/>
        <n v="1.1639794261236602" u="1"/>
        <n v="1.2019289941493807" u="1"/>
        <n v="1.1924416021429507" u="1"/>
        <n v="1.2303911701686712" u="1"/>
        <n v="1.1215065474281665" u="1"/>
        <n v="1.1307228710915556" u="1"/>
        <n v="1.1537636802500288" u="1"/>
        <n v="1.1768044894085021" u="1"/>
        <n v="1.2136697840620592" u="1"/>
        <n v="1.1952371367352805" u="1"/>
        <n v="1.2182779458937538" u="1"/>
        <n v="1.2413187550522267" u="1"/>
        <n v="1.2161600821590257" u="1"/>
        <n v="1.2398785621751012" u="1"/>
        <n v="1.2635970421911766" u="1"/>
        <n v="1.3015466102168971" u="1"/>
        <n v="1.1513158077340224" u="1"/>
        <n v="1.1733401106060926" u="1"/>
        <n v="1.1953644134781622" u="1"/>
        <n v="1.2306032980734745" u="1"/>
        <n v="1.2873155222072517" u="1"/>
        <n v="1.1923567509810293" u="1"/>
        <n v="1.1533229095831457" u="1"/>
        <n v="1.1777190604568226" u="1"/>
        <n v="1.2167529018547067" u="1"/>
        <n v="1.113407526851494" u="1"/>
        <n v="1.0643618100561436" u="1"/>
        <n v="1.2055707634853869" u="1"/>
        <n v="1.6501228460723989" u="1"/>
        <n v="1.1076820619330825" u="1"/>
        <n v="1.1906289749035857" u="1"/>
        <n v="0.56263196038255547" u="1"/>
        <n v="1.3058330206959516" u="1"/>
        <n v="0.58521897254602873" u="1"/>
        <n v="0.57385668493020936" u="1"/>
        <n v="0.39952496567468065" u="1"/>
        <n v="0.52782177780124706" u="1"/>
        <n v="1.2164134972070213" u="1"/>
        <n v="0.85301480583021549" u="1"/>
        <n v="0.83430566879353518" u="1"/>
        <n v="1.1228701465720088" u="1"/>
        <n v="5.6898006445417071" u="1"/>
        <n v="1.0165738064270062" u="1"/>
        <n v="1.130773554101155" u="1"/>
        <n v="1.1876979061397355" u="1"/>
        <n v="1.2256474741654557" u="1"/>
        <n v="1.3164504854361414" u="1"/>
        <n v="0.91190905627146612" u="1"/>
        <n v="1.1618796575406569" u="1"/>
        <n v="1.1244613834672958" u="1"/>
        <n v="1.6145381755333044" u="1"/>
        <n v="2.0822666014503102" u="1"/>
        <n v="1.4219441178027732" u="1"/>
        <n v="1.3669172441654787" u="1"/>
        <n v="1.4659656167126087" u="1"/>
        <n v="0.52169203934286157" u="1"/>
        <n v="0.44466660820312737" u="1"/>
        <n v="1.3339011199831012" u="1"/>
        <n v="1.6090354881695754" u="1"/>
        <n v="0.85901298761636313" u="1"/>
        <n v="0.87827239338941621" u="1"/>
        <n v="0.93123575926531243" u="1"/>
        <n v="1.0034585309142618" u="1"/>
        <n v="1.1479040742121605" u="1"/>
        <n v="0.926420907822049" u="1"/>
        <n v="0.82893463195195438" u="1"/>
        <n v="0.87693150955366461" u="1"/>
        <n v="0.77684527349836452" u="1"/>
        <n v="0.84546001841130891" u="1"/>
        <n v="0.9174052715330645" u="1"/>
        <n v="0.74833015083945542" u="1"/>
        <n v="0.78523657910436839" u="1"/>
        <n v="0.83757082635686508" u="1"/>
        <n v="0.75314335344711481" u="1"/>
        <n v="0.78109262979249072" u="1"/>
        <n v="0.89267729119141803" u="1"/>
        <n v="0.94438777951933106" u="1"/>
        <n v="0.74257268790284847" u="1"/>
        <n v="0.71646538126739634" u="1"/>
        <n v="0.58889358762359856" u="1"/>
        <n v="0.5702809099598013" u="1"/>
        <n v="0.75984507671266976" u="1"/>
        <n v="0.77107959761168376" u="1"/>
        <n v="0.91393561588042893" u="1"/>
        <n v="0.79969366389537533" u="1"/>
        <n v="0.71378537321981317" u="1"/>
        <n v="1.1743824081483787" u="1"/>
        <n v="1.2647195164674847" u="1"/>
        <n v="9.7559768188085343" u="1"/>
        <n v="0.52601427674274104" u="1"/>
        <n v="0.43834523061895092" u="1"/>
        <n v="1.0403062563637884" u="1"/>
        <n v="1.0126572853736207" u="1"/>
        <n v="1.0172654472053153" u="1"/>
        <n v="1.0218736090370097" u="1"/>
        <n v="1.0310899327003991" u="1"/>
        <n v="1.0495225800271777" u="1"/>
        <n v="1.0633470655222614" u="1"/>
        <n v="1.0863878746807347" u="1"/>
        <n v="0.97118382888836896" u="1"/>
        <n v="0.98040015255175816" u="1"/>
        <n v="0.99422463804684191" u="1"/>
        <n v="0.93431853423481181" u="1"/>
        <n v="0.94353485789820113" u="1"/>
        <n v="0.95735934339328488" u="1"/>
        <n v="0.94048614626597515" u="1"/>
        <n v="0.95024460661544607" u="1"/>
        <n v="0.96488229713965257" u="1"/>
        <n v="0.98927844801333009" u="1"/>
        <n v="0.85743717905333949" u="1"/>
        <n v="0.86692457105976972" u="1"/>
        <n v="0.88115565906941484" u="1"/>
        <n v="0.90487413908548997" u="1"/>
        <n v="0.84676345943261377" u="1"/>
        <n v="0.85597978309600298" u="1"/>
        <n v="0.86980426859108673" u="1"/>
        <n v="0.8928450777495599" u="1"/>
        <n v="0.87441243042278138" u="1"/>
        <n v="0.8836287540861707" u="1"/>
        <n v="0.89745323958125456" u="1"/>
        <n v="0.92049404873972784" u="1"/>
        <n v="0.96798122866596081" u="1"/>
        <n v="0.97679094981478876" u="1"/>
        <n v="0.99000553153803095" u="1"/>
        <n v="1.0120298344101006" u="1"/>
        <n v="1.0384589978565846" u="1"/>
        <n v="1.0472687190054126" u="1"/>
        <n v="1.0604833007286547" u="1"/>
        <n v="1.0825076036007248" u="1"/>
        <n v="1.1140368456709027" u="1"/>
        <n v="1.2238897133691629" u="1"/>
        <n v="1.1913615122042596" u="1"/>
        <n v="1.1967828790650767" u="1"/>
        <n v="1.2022042459258939" u="1"/>
        <n v="1.2130469796475283" u="1"/>
        <n v="1.2347324470907972" u="1"/>
        <n v="1.2509965476732487" u="1"/>
        <n v="1.2781033819773349" u="1"/>
        <n v="1.1441887582696837" u="1"/>
        <n v="1.1534008931647932" u="1"/>
        <n v="1.1672190955074573" u="1"/>
        <n v="1.2363101072207789" u="1"/>
        <n v="1.2455222421158885" u="1"/>
        <n v="1.2593404444585532" u="1"/>
        <n v="1.0520674093185878" u="1"/>
        <n v="1.0612795442136971" u="1"/>
        <n v="1.0750977465563614" u="1"/>
        <n v="1.0883522486206403" u="1"/>
        <n v="1.3512524060118443" u="1"/>
        <n v="1.3611731666681159" u="1"/>
        <n v="1.3859750683087955" u="1"/>
        <n v="0.96038083681582176" u="1"/>
        <n v="0.95471183072652355" u="1"/>
        <n v="0.96604984290511997" u="1"/>
        <n v="0.99439487335161081" u="1"/>
        <n v="1.4504600125745626" u="1"/>
        <n v="1.4603807732308347" u="1"/>
        <n v="1.485182674871514" u="1"/>
        <n v="1.0680919525124875" u="1"/>
        <n v="0.91849145333949866" u="1"/>
        <n v="0.92770358823460841" u="1"/>
        <n v="0.9415217905772727" u="1"/>
        <n v="1.0106128022905947" u="1"/>
        <n v="1.0198249371857042" u="1"/>
        <n v="1.0336431395283683" u="1"/>
        <n v="0.93230965568216306" u="1"/>
        <n v="0.95533999291993721" u="1"/>
        <n v="1.0244310046332588" u="1"/>
        <n v="1.0474613418710328" u="1"/>
        <n v="1.0935220163465809" u="1"/>
        <n v="1.1027341512416904" u="1"/>
        <n v="1.1165523535843547" u="1"/>
        <n v="0.91751546998742128" u="1"/>
        <n v="0.92715278033922832" u="1"/>
        <n v="0.94160874586693877" u="1"/>
        <n v="0.95606471139464921" u="1"/>
        <n v="0.96570202174645614" u="1"/>
        <n v="0.98015798727416636" u="1"/>
        <n v="0.93679009069103514" u="1"/>
        <n v="0.94642740104284206" u="1"/>
        <n v="0.9608833665705524" u="1"/>
        <n v="0.9897952976259734" u="1"/>
        <n v="0.99943260797778044" u="1"/>
        <n v="1.0138885735054908" u="1"/>
        <n v="0.86597657988196419" u="1"/>
        <n v="0.88971379749725221" u="1"/>
        <n v="0.96092545034311627" u="1"/>
        <n v="1.1603180783115357" u="1"/>
        <n v="1.5685982212944893" u="1"/>
        <n v="0.95937365784251849" u="1"/>
        <n v="0.89130369556338351" u="1"/>
        <n v="1.0274436201216532" u="1"/>
        <n v="1.2790041663879756" u="1"/>
        <n v="1.255266948772688" u="1"/>
        <n v="1.3976902544644159" u="1"/>
        <n v="1.7015266399401026" u="1"/>
        <n v="1.6303149870942384" u="1"/>
        <n v="1.6065777694789507" u="1"/>
        <n v="1.373953036849128" u="1"/>
        <n v="1.4926391249255679" u="1"/>
        <n v="1.7560460293241975" u="1"/>
        <n v="1.5605630607277077" u="1"/>
        <n v="1.5884891990986352" u="1"/>
        <n v="1.5493926053793372" u="1"/>
        <n v="0.77799245744201007" u="1"/>
        <n v="0.92463810219179021" u="1"/>
        <n v="0.88913423707658301" u="1"/>
        <n v="1.0398009647955826" u="1"/>
        <n v="0.682119327068474" u="1"/>
        <n v="0.79440607214929815" u="1"/>
        <n v="1.0910883216221849" u="1"/>
        <n v="1.1639417937115526" u="1"/>
        <n v="0.86980051839253125" u="1"/>
        <n v="0.77489228509152941" u="1"/>
        <n v="0.73701616758015365" u="1"/>
        <n v="0.69428780397903034" u="1"/>
        <n v="0.71578526445304735" u="1"/>
        <n v="0.89128592140753893" u="1"/>
        <n v="0.91596636647062923" u="1"/>
        <n v="0.7708220815031448" u="1"/>
        <n v="0.82147826737072394" u="1"/>
        <n v="0.80014731726891908" u="1"/>
        <n v="1.2322640970097414" u="1"/>
        <n v="1.2553049061682147" u="1"/>
        <n v="1.2783457153266877" u="1"/>
        <n v="1.3152110099802445" u="1"/>
        <n v="2.1162270581744256" u="1"/>
        <n v="2.1518047781985388" u="1"/>
        <n v="2.1873824982226515" u="1"/>
        <n v="2.2443068502612324" u="1"/>
        <n v="1.1214525825868313" u="1"/>
        <n v="1.1451710626029068" u="1"/>
        <n v="1.1688895426189823" u="1"/>
        <n v="1.2068391106447025" u="1"/>
        <n v="0.84631821440035759" u="1"/>
        <n v="1.1326618706776681" u="1"/>
        <n v="1.1567191861225443" u="1"/>
        <n v="1.1807765015674208" u="1"/>
        <n v="1.2192682062792228" u="1"/>
        <n v="1.1783769346254125" u="1"/>
        <n v="1.1404273665996916" u="1"/>
        <n v="1.1641458466157668" u="1"/>
        <n v="1.2020954146414875" u="1"/>
        <n v="1.1926080226350573" u="1"/>
        <n v="1.2305575906607784" u="1"/>
        <n v="1.1216682130490701" u="1"/>
        <n v="1.1308845367124594" u="1"/>
        <n v="1.1539253458709329" u="1"/>
        <n v="1.1769661550294057" u="1"/>
        <n v="1.213831449682963" u="1"/>
        <n v="1.1953988023561846" u="1"/>
        <n v="1.2184396115146574" u="1"/>
        <n v="1.2414804206731307" u="1"/>
        <n v="1.2163265026511327" u="1"/>
        <n v="1.2400449826672084" u="1"/>
        <n v="1.2637634626832832" u="1"/>
        <n v="1.3017130307090041" u="1"/>
        <n v="1.151470341048122" u="1"/>
        <n v="1.1734946439201916" u="1"/>
        <n v="1.1955189467922616" u="1"/>
        <n v="1.2307578313875733" u="1"/>
        <n v="1.2874819426993587" u="1"/>
        <n v="1.1925279263443394" u="1"/>
        <n v="1.1534940849464552" u="1"/>
        <n v="1.1778902358201326" u="1"/>
        <n v="1.2169240772180165" u="1"/>
        <n v="1.1135977216996165" u="1"/>
        <n v="1.0645282305482506" u="1"/>
        <n v="1.2057609583335092" u="1"/>
        <n v="1.6503130409205209" u="1"/>
        <n v="1.1078437275539861" u="1"/>
        <n v="1.1907906405244899" u="1"/>
        <n v="0.56277460651864719" u="1"/>
        <n v="1.305994686316855" u="1"/>
        <n v="0.58588300810158433" u="1"/>
        <n v="0.57452072048576486" u="1"/>
        <n v="0.40002299234134736" u="1"/>
        <n v="0.52862875373605833" u="1"/>
        <n v="1.2166036920551435" u="1"/>
        <n v="0.85317889643543288" u="1"/>
        <n v="0.83446975939875268" u="1"/>
        <n v="1.1230389444997173" u="1"/>
        <n v="5.690915358141706" u="1"/>
        <n v="1.0167306577408171" u="1"/>
        <n v="1.1309399745932613" u="1"/>
        <n v="1.1878643266318425" u="1"/>
        <n v="1.225813894657563" u="1"/>
        <n v="1.3166219359876219" u="1"/>
        <n v="0.91203335792128937" u="1"/>
        <n v="2.0301649756079989" u="1"/>
        <n v="1.7855792046291865" u="1"/>
        <n v="1.27365802823063" u="1"/>
        <n v="1.1511988705559555" u="1"/>
        <n v="1.1855239532305735" u="1"/>
        <n v="1.7633932185801351" u="1"/>
        <n v="1.4828779303714428" u="1"/>
        <n v="1.9326513496106932" u="1"/>
        <n v="1.7082554803903836" u="1"/>
        <n v="1.9377233670702849" u="1"/>
        <n v="0.65383622491792392" u="1"/>
        <n v="1.1305363303962792" u="1"/>
        <n v="0.98921928909674428" u="1"/>
        <n v="1.2032183405922239" u="1"/>
        <n v="1.1813347678270376" u="1"/>
        <n v="1.1432812248463666" u="1"/>
        <n v="1.6416305259921302" u="1"/>
        <n v="2.1172998132505154" u="1"/>
        <n v="1.4457667018269127" u="1"/>
        <n v="1.3898056092082793" u="1"/>
        <n v="1.4905355759218197" u="1"/>
        <n v="0.53031020944571217" u="1"/>
        <n v="0.45201688850687932" u="1"/>
        <n v="1.3562289536370993" u="1"/>
        <n v="1.6360344167302672" u="1"/>
        <n v="0.87331821576811353" u="1"/>
        <n v="0.89290459818463541" u="1"/>
        <n v="0.94676714983007015" u="1"/>
        <n v="1.0202160838920267" u="1"/>
        <n v="1.1671139520159399" u="1"/>
        <n v="0.94187055422593979" u="1"/>
        <n v="0.82256282955771132" u="1"/>
        <n v="0.89094226920078246" u="1"/>
        <n v="0.77092004187021368" u="1"/>
        <n v="0.8588959776626478" u="1"/>
        <n v="0.93206268162543404" u="1"/>
        <n v="0.74261912795276341" u="1"/>
        <n v="0.79769058767958456" u="1"/>
        <n v="0.83112822615824145" u="1"/>
        <n v="0.76505249914716511" u="1"/>
        <n v="0.77514561422453043" u="1"/>
        <n v="0.88588070197089197" u="1"/>
        <n v="0.95947628990853495" u="1"/>
        <n v="0.73690886355241014" u="1"/>
        <n v="0.72775182653868575" u="1"/>
        <n v="0.59794669385712096" u="1"/>
        <n v="0.56606208695005167" u="1"/>
        <n v="0.7540396567534704" u="1"/>
        <n v="0.78362666358486777" u="1"/>
        <n v="0.90696475514142783" u="1"/>
        <n v="0.79359416074874933" u="1"/>
        <n v="0.70835754155064312" u="1"/>
        <n v="1.1651786935789168" u="1"/>
        <n v="1.254807823854218" u="1"/>
        <n v="9.9206570597065742" u="1"/>
        <n v="0.52209316757705315" u="1"/>
        <n v="0.43507763964754426" u="1"/>
        <n v="1.0155237820344454" u="1"/>
        <n v="0.98740540052163439" u="1"/>
        <n v="0.99209179744043618" u="1"/>
        <n v="0.99677819435923809" u="1"/>
        <n v="1.0061509881968418" u="1"/>
        <n v="1.024896575872049" u="1"/>
        <n v="1.0389557666284543" u="1"/>
        <n v="1.0623877512224635" u="1"/>
        <n v="0.94991422517121982" u="1"/>
        <n v="0.95928701900882329" u="1"/>
        <n v="0.97334620976522868" u="1"/>
        <n v="0.91151225334421937" u="1"/>
        <n v="0.92143638799579974" u="1"/>
        <n v="0.93632258997317019" u="1"/>
        <n v="0.96113292660212124" u="1"/>
        <n v="0.83312591518384638" u="1"/>
        <n v="0.84277437942843836" u="1"/>
        <n v="0.85724707579532644" u="1"/>
        <n v="0.88136823640680628" u="1"/>
        <n v="0.82338150836357049" u="1"/>
        <n v="0.8327543022011743" u="1"/>
        <n v="0.84681349295757957" u="1"/>
        <n v="0.87024547755158865" u="1"/>
        <n v="0.85149988987638148" u="1"/>
        <n v="0.86087268371398495" u="1"/>
        <n v="0.87493187447039056" u="1"/>
        <n v="0.89836385906439964" u="1"/>
        <n v="0.94832304167100523" u="1"/>
        <n v="0.95728232989812634" u="1"/>
        <n v="0.97072126223880806" u="1"/>
        <n v="0.99311948280661089" u="1"/>
        <n v="1.0199973474879744" u="1"/>
        <n v="1.0289566357150954" u="1"/>
        <n v="1.042395568055777" u="1"/>
        <n v="1.0647937886235799" u="1"/>
        <n v="1.1326837050044913" u="1"/>
        <n v="1.1947338612169947" u="1"/>
        <n v="1.1616534123783935" u="1"/>
        <n v="1.1671668205181602" u="1"/>
        <n v="1.1726802286579272" u="1"/>
        <n v="1.1837070449374609" u="1"/>
        <n v="1.2057606774965282" u="1"/>
        <n v="1.2223009019158289" u="1"/>
        <n v="1.2498679426146631" u="1"/>
        <n v="1.177400443975851" u="1"/>
        <n v="1.1867689779303434" u="1"/>
        <n v="1.2101903128165752" u="1"/>
        <n v="1.2710857835207776" u="1"/>
        <n v="1.2804543174752698" u="1"/>
        <n v="1.3038756523615014" u="1"/>
        <n v="1.0837151044309241" u="1"/>
        <n v="1.0930836383854172" u="1"/>
        <n v="1.1165049732716485" u="1"/>
        <n v="1.1065426622965813" u="1"/>
        <n v="1.0914088766777854" u="1"/>
        <n v="1.1014980670903158" u="1"/>
        <n v="1.1267210431216421" u="1"/>
        <n v="0.97635760226664814" u="1"/>
        <n v="1.0858973838884083" u="1"/>
        <n v="1.0974278872170149" u="1"/>
        <n v="1.1262541455385306" u="1"/>
        <n v="1.192300780803091" u="1"/>
        <n v="1.2931926849283963" u="1"/>
        <n v="1.5454224452416601" u="1"/>
        <n v="0.94787136209078049" u="1"/>
        <n v="0.95723989604527315" u="1"/>
        <n v="0.98066123093150481" u="1"/>
        <n v="1.0415567016357072" u="1"/>
        <n v="1.0509252355901997" u="1"/>
        <n v="1.0743465704764315" u="1"/>
        <n v="0.96192416302251949" u="1"/>
        <n v="0.97129269697701215" u="1"/>
        <n v="0.99471403186324381" u="1"/>
        <n v="1.0556095025674463" u="1"/>
        <n v="1.064978036521939" u="1"/>
        <n v="1.0883993714081708" u="1"/>
        <n v="1.1071364393171559" u="1"/>
        <n v="1.1399263081578801" u="1"/>
        <n v="0.92791324021980504" u="1"/>
        <n v="0.93771416804912033" u="1"/>
        <n v="0.96221648762240886" u="1"/>
        <n v="0.96711695153706667" u="1"/>
        <n v="0.97691787936638197" u="1"/>
        <n v="1.0014201989396703" u="1"/>
        <n v="0.94751509587843574" u="1"/>
        <n v="0.95731602370775104" u="1"/>
        <n v="0.98181834328103956" u="1"/>
        <n v="1.0112211267689857" u="1"/>
        <n v="1.0357234463422742" u="1"/>
        <n v="0.88040393381005033" u="1"/>
        <n v="0.90454415013841361" u="1"/>
        <n v="0.97696479912350243" u="1"/>
        <n v="1.1797426162817526" u="1"/>
        <n v="1.5949543371295967" u="1"/>
        <n v="0.97539878313891393" u="1"/>
        <n v="0.90617316278551974" u="1"/>
        <n v="1.0446244034923078" u="1"/>
        <n v="1.3004436979235676" u="1"/>
        <n v="1.2763034815952043" u="1"/>
        <n v="1.4211447795653831" u="1"/>
        <n v="1.7301395485684299" u="1"/>
        <n v="1.6577188995833407" u="1"/>
        <n v="1.6335786832549777" u="1"/>
        <n v="1.3970045632370194" u="1"/>
        <n v="1.5177056448788351" u="1"/>
        <n v="1.7855360527986295" u="1"/>
        <n v="1.5867342712709334" u="1"/>
        <n v="1.6151345257748901" u="1"/>
        <n v="1.5753741694693506" u="1"/>
        <n v="0.77207085647049412" u="1"/>
        <n v="0.93939131235012308" u="1"/>
        <n v="0.88236669310913618" u="1"/>
        <n v="1.0563743762072162" u="1"/>
        <n v="0.67695108734869913" u="1"/>
        <n v="0.80701575583170437" u="1"/>
        <n v="1.0826651982292252" u="1"/>
        <n v="1.1826228065743767" u="1"/>
        <n v="0.8835957278912322" u="1"/>
        <n v="0.76899609871645758" u="1"/>
        <n v="0.7485840255452102" u="1"/>
        <n v="0.68905239711150967" u="1"/>
        <n v="0.72699267466991735" u="1"/>
        <n v="0.88442252810493072" u="1"/>
        <n v="0.93059934754617835" u="1"/>
        <n v="0.76494622680522861" u="1"/>
        <n v="0.83450707634171928" u="1"/>
        <n v="0.7940115075559443" u="1"/>
        <n v="1.2529181600060397" u="1"/>
        <n v="1.2763501446000491" u="1"/>
        <n v="1.2997821291940581" u="1"/>
        <n v="1.3372733045444727" u="1"/>
        <n v="2.1517434866891163" u="1"/>
        <n v="2.1879252276063363" u="1"/>
        <n v="2.2241069685235564" u="1"/>
        <n v="2.2819977539911087" u="1"/>
        <n v="1.1402174983326889" u="1"/>
        <n v="1.1643386589441684" u="1"/>
        <n v="1.1884598195556486" u="1"/>
        <n v="1.2270536765340165" u="1"/>
        <n v="0.8604120352395207" u="1"/>
        <n v="1.1516131700133985" u="1"/>
        <n v="1.1760789186336138" u="1"/>
        <n v="1.2005446672538289" u="1"/>
        <n v="1.2396898650461736" u="1"/>
        <n v="1.1981082838002408" u="1"/>
        <n v="1.1595144268218727" u="1"/>
        <n v="1.1836355874333526" u="1"/>
        <n v="1.2222294444117205" u="1"/>
        <n v="1.2125809801671288" u="1"/>
        <n v="1.2511748371454967" u="1"/>
        <n v="1.140444633954796" u="1"/>
        <n v="1.1498174277923996" u="1"/>
        <n v="1.173249412386409" u="1"/>
        <n v="1.196681396980418" u="1"/>
        <n v="1.2341725723308328" u="1"/>
        <n v="1.2154269846556254" u="1"/>
        <n v="1.2388589692496343" u="1"/>
        <n v="1.2622909538436438" u="1"/>
        <n v="1.2367021407786085" u="1"/>
        <n v="1.2608233013900885" u="1"/>
        <n v="1.2849444620015686" u="1"/>
        <n v="1.3235383189799363" u="1"/>
        <n v="1.1707644941479394" u="1"/>
        <n v="1.1931627147157422" u="1"/>
        <n v="1.2155609352835453" u="1"/>
        <n v="1.2513980881920295" u="1"/>
        <n v="1.3090656226130488" u="1"/>
        <n v="1.2124916797485157" u="1"/>
        <n v="1.1727951411421942" u="1"/>
        <n v="1.1976054777711447" u="1"/>
        <n v="1.2373020163774662" u="1"/>
        <n v="1.132190060047443" u="1"/>
        <n v="1.0823267128651366" u="1"/>
        <n v="1.2259179984234796" u="1"/>
        <n v="1.6780174658843614" u="1"/>
        <n v="1.1263854431983906" u="1"/>
        <n v="1.2107405877368234" u="1"/>
        <n v="0.57209378601229777" u="1"/>
        <n v="1.3279005107068689" u="1"/>
        <n v="0.58259799445747895" u="1"/>
        <n v="0.57130296144310833" u="1"/>
        <n v="0.39779238139329121" u="1"/>
        <n v="0.53696841050639077" u="1"/>
        <n v="1.2369448147030133" u="1"/>
        <n v="0.86739303823650293" u="1"/>
        <n v="0.84836626674616744" u="1"/>
        <n v="1.1418268705653123" u="1"/>
        <n v="5.7866555490636795" u="1"/>
        <n v="1.0337334432011833" u="1"/>
        <n v="1.1498659625772809" u="1"/>
        <n v="1.2077567480448328" u="1"/>
        <n v="1.2463506050232005" u="1"/>
        <n v="1.3386920419801431" u="1"/>
        <n v="0.93812218982389839" u="1"/>
        <n v="1.2060541908180216" u="1"/>
        <n v="1.2294861754120305" u="1"/>
        <n v="1.2904093353564547" u="1"/>
        <n v="2.0793800048546767" u="1"/>
        <n v="2.1155617457718963" u="1"/>
        <n v="2.2096342721566691" u="1"/>
        <n v="1.0919751771097286" u="1"/>
        <n v="1.1160963377212085" u="1"/>
        <n v="1.1788113553110569" u="1"/>
        <n v="1.1026816727729676" u="1"/>
        <n v="1.1271474213931829" u="1"/>
        <n v="1.1907583678057427" u="1"/>
        <n v="1.2029325159225366" u="1"/>
        <n v="1.1029534586043814" u="1"/>
        <n v="1.1873086031428142" u="1"/>
        <n v="1.168563015467607" u="1"/>
        <n v="1.191995000061616" u="1"/>
        <n v="1.2752959977569764" u="1"/>
        <n v="1.1259680530123337" u="1"/>
        <n v="1.1483662735801365" u="1"/>
        <n v="1.206601647056424" u="1"/>
        <n v="1.1628710064906138" u="1"/>
        <n v="1.0795214740103725" u="1"/>
        <n v="1.1638766185488052" u="1"/>
        <n v="1.1112721055989128" u="1"/>
        <n v="1.0965443313240399" u="1"/>
        <n v="1.0506358111905272" u="1"/>
        <n v="1.1813421667020221" u="1"/>
        <n v="1.1432886237213511" u="1"/>
        <n v="1.6416392305509357" u="1"/>
        <n v="2.1173085178093212" u="1"/>
        <n v="1.4457754063857184" u="1"/>
        <n v="1.3898143137670849" u="1"/>
        <n v="1.4905442804806255" u="1"/>
        <n v="0.53031673786481637" u="1"/>
        <n v="0.45202232885613286" u="1"/>
        <n v="1.3562376581959046" u="1"/>
        <n v="1.6360431212890725" u="1"/>
        <n v="0.87332583225706828" u="1"/>
        <n v="0.89291221467359028" u="1"/>
        <n v="0.94677476631902491" u="1"/>
        <n v="1.0202237003809815" u="1"/>
        <n v="1.167121568504895" u="1"/>
        <n v="0.94187817071489466" u="1"/>
        <n v="0.82235817510771136" u="1"/>
        <n v="0.89073761475078239" u="1"/>
        <n v="0.77070594183021368" u="1"/>
        <n v="0.85868187762264792" u="1"/>
        <n v="0.93184858158543382" u="1"/>
        <n v="0.74241447350276346" u="1"/>
        <n v="0.7974859332295845" u="1"/>
        <n v="0.83092357170824127" u="1"/>
        <n v="0.76484784469716516" u="1"/>
        <n v="0.77492521712453044" u="1"/>
        <n v="0.8856288195708919" u="1"/>
        <n v="0.95925589280853485" u="1"/>
        <n v="0.73670420910241008" u="1"/>
        <n v="0.7275471720886858" u="1"/>
        <n v="0.59772629675712108" u="1"/>
        <n v="0.56584168985005168" u="1"/>
        <n v="0.75383500230347034" u="1"/>
        <n v="0.78349978134164466" u="1"/>
        <n v="0.90671287274142776" u="1"/>
        <n v="0.79337376364874934" u="1"/>
        <n v="0.70815288710064295" u="1"/>
        <n v="1.1649740391289165" u="1"/>
        <n v="1.2545874267542179" u="1"/>
        <n v="9.9204350157809316" u="1"/>
        <n v="0.52190425577705324" u="1"/>
        <n v="0.43492021314754431" u="1"/>
        <n v="1.0155310715664501" u="1"/>
        <n v="0.98741269005363907" u="1"/>
        <n v="0.99209908697244076" u="1"/>
        <n v="0.99678548389124266" u="1"/>
        <n v="1.0061582777288465" u="1"/>
        <n v="1.0249038654040536" u="1"/>
        <n v="1.038963056160459" u="1"/>
        <n v="1.0623950407544682" u="1"/>
        <n v="0.9499215147032245" u="1"/>
        <n v="0.9592943085408282" u="1"/>
        <n v="0.97335349929723336" u="1"/>
        <n v="0.91151997167222443" u="1"/>
        <n v="0.92144410632380458" u="1"/>
        <n v="0.93633030830117514" u="1"/>
        <n v="0.96114064493012608" u="1"/>
        <n v="0.83313341911385108" u="1"/>
        <n v="0.84278188335844306" u="1"/>
        <n v="0.85725457972533115" u="1"/>
        <n v="0.88137574033681088" u="1"/>
        <n v="0.82338879789557506" u="1"/>
        <n v="0.83276159173317887" u="1"/>
        <n v="0.84682078248958437" u="1"/>
        <n v="0.87025276708359323" u="1"/>
        <n v="0.85150717940838616" u="1"/>
        <n v="0.86087997324598975" u="1"/>
        <n v="0.87493916400239524" u="1"/>
        <n v="0.89837114859640421" u="1"/>
        <n v="0.94833000960600955" u="1"/>
        <n v="0.95728929783313077" u="1"/>
        <n v="0.9707282301738126" u="1"/>
        <n v="0.99312645074161521" u="1"/>
        <n v="1.020004315422979" u="1"/>
        <n v="1.0289636036500998" u="1"/>
        <n v="1.0424025359907816" u="1"/>
        <n v="1.0648007565585844" u="1"/>
        <n v="1.1326909945364958" u="1"/>
        <n v="1.1947424371370001" u="1"/>
        <n v="1.161661988298399" u="1"/>
        <n v="1.1671753964381657" u="1"/>
        <n v="1.1726888045779325" u="1"/>
        <n v="1.1837156208574664" u="1"/>
        <n v="1.2057692534165336" u="1"/>
        <n v="1.2223094778358341" u="1"/>
        <n v="1.2498765185346685" u="1"/>
        <n v="1.1774077301948032" u="1"/>
        <n v="1.186776264149296" u="1"/>
        <n v="1.2101975990355276" u="1"/>
        <n v="1.2710930697397302" u="1"/>
        <n v="1.2804616036942229" u="1"/>
        <n v="1.3038829385804542" u="1"/>
        <n v="1.0837223906498765" u="1"/>
        <n v="1.0930909246043694" u="1"/>
        <n v="1.1165122594906012" u="1"/>
        <n v="1.1065505089939147" u="1"/>
        <n v="1.0914167233751186" u="1"/>
        <n v="1.1015059137876495" u="1"/>
        <n v="1.1267288898189758" u="1"/>
        <n v="0.97636656992074355" u="1"/>
        <n v="1.085906351542504" u="1"/>
        <n v="1.0974368548711102" u="1"/>
        <n v="1.1262631131926262" u="1"/>
        <n v="1.1923086275004244" u="1"/>
        <n v="1.29320053162573" u="1"/>
        <n v="1.5454302919389937" u="1"/>
        <n v="0.94787864830973301" u="1"/>
        <n v="0.95724718226422567" u="1"/>
        <n v="0.98066851715045744" u="1"/>
        <n v="1.0415639878546594" u="1"/>
        <n v="1.0509325218091523" u="1"/>
        <n v="1.0743538566953841" u="1"/>
        <n v="0.961931449241472" u="1"/>
        <n v="0.97129998319596478" u="1"/>
        <n v="0.99472131808219622" u="1"/>
        <n v="1.0556167887863988" u="1"/>
        <n v="1.0649853227408914" u="1"/>
        <n v="1.0884066576271232" u="1"/>
        <n v="1.1071437255361085" u="1"/>
        <n v="1.1399335943768325" u="1"/>
        <n v="0.92792086272578611" u="1"/>
        <n v="0.9377217905551013" u="1"/>
        <n v="0.96222411012839004" u="1"/>
        <n v="0.96712457404304764" u="1"/>
        <n v="0.97692550187236304" u="1"/>
        <n v="1.0014278214456516" u="1"/>
        <n v="0.94752271838441671" u="1"/>
        <n v="0.95732364621373223" u="1"/>
        <n v="0.98182596578702064" u="1"/>
        <n v="1.011228749274967" u="1"/>
        <n v="1.0357310688482557" u="1"/>
        <n v="0.88041144366815982" u="1"/>
        <n v="0.90455165999652287" u="1"/>
        <n v="0.97697230898161203" u="1"/>
        <n v="1.1797501261398617" u="1"/>
        <n v="1.5949618469877063" u="1"/>
        <n v="0.97540596167975391" u="1"/>
        <n v="0.90618034132635983" u="1"/>
        <n v="1.0446315820331478" u="1"/>
        <n v="1.3004512077816772" u="1"/>
        <n v="1.2763109914533137" u="1"/>
        <n v="1.4211522894234925" u="1"/>
        <n v="1.7301470584265395" u="1"/>
        <n v="1.6577264094414506" u="1"/>
        <n v="1.6335861931130873" u="1"/>
        <n v="1.3970120730951292" u="1"/>
        <n v="1.5177131547369445" u="1"/>
        <n v="1.7855448879258171" u="1"/>
        <n v="1.5867431063981212" u="1"/>
        <n v="1.615143360902078" u="1"/>
        <n v="1.5753830045965387" u="1"/>
        <n v="0.77185045937049401" u="1"/>
        <n v="0.93917091525012319" u="1"/>
        <n v="0.882114810709136" u="1"/>
        <n v="1.0561224938072162" u="1"/>
        <n v="0.67674643289869907" u="1"/>
        <n v="0.80681110138170442" u="1"/>
        <n v="1.0824133158292253" u="1"/>
        <n v="1.0503839287905272" u="1"/>
        <n v="0.88336903373123199" u="1"/>
        <n v="0.7687757016164577" u="1"/>
        <n v="0.74836362844520998" u="1"/>
        <n v="0.68883200001150979" u="1"/>
        <n v="0.72677227756991736" u="1"/>
        <n v="0.88420842806493072" u="1"/>
        <n v="0.93038524750617824" u="1"/>
        <n v="0.7647321267652285" u="1"/>
        <n v="0.83429297630171917" u="1"/>
        <n v="0.79380685310594412" u="1"/>
        <n v="1.2060614803500265" u="1"/>
        <n v="1.2294934649440354" u="1"/>
        <n v="1.2529254495380444" u="1"/>
        <n v="1.2904166248884592" u="1"/>
        <n v="2.0793912607496843" u="1"/>
        <n v="2.1155730016669043" u="1"/>
        <n v="2.1517547425841235" u="1"/>
        <n v="2.2096455280516762" u="1"/>
        <n v="1.0919826810397333" u="1"/>
        <n v="1.1161038416512132" u="1"/>
        <n v="1.1402250022626934" u="1"/>
        <n v="1.1788188592410616" u="1"/>
        <n v="0.86041953916952552" u="1"/>
        <n v="1.1026892839019724" u="1"/>
        <n v="1.1271550325221877" u="1"/>
        <n v="1.1516207811424033" u="1"/>
        <n v="1.1907659789347473" u="1"/>
        <n v="1.1498734665072858" u="1"/>
        <n v="1.1595219307518776" u="1"/>
        <n v="1.1836430913633573" u="1"/>
        <n v="1.2222369483417255" u="1"/>
        <n v="1.1643461628741736" u="1"/>
        <n v="1.2029400198525413" u="1"/>
        <n v="1.1029607481363861" u="1"/>
        <n v="1.1263927327303953" u="1"/>
        <n v="1.1498247173244043" u="1"/>
        <n v="1.1873158926748189" u="1"/>
        <n v="1.1685703049996115" u="1"/>
        <n v="1.1920022895936206" u="1"/>
        <n v="1.2154342741876298" u="1"/>
        <n v="1.1884673234856535" u="1"/>
        <n v="1.2125884840971333" u="1"/>
        <n v="1.2367096447086134" u="1"/>
        <n v="1.2753035016869814" u="1"/>
        <n v="1.125975020947338" u="1"/>
        <n v="1.1483732415151409" u="1"/>
        <n v="1.1707714620829439" u="1"/>
        <n v="1.2066086149914286" u="1"/>
        <n v="1.3090731265430537" u="1"/>
        <n v="1.162878724818619" u="1"/>
        <n v="1.1728028594701989" u="1"/>
        <n v="1.1976131960991498" u="1"/>
        <n v="1.2373097347054709" u="1"/>
        <n v="1.1321986359674485" u="1"/>
        <n v="1.0823342167951413" u="1"/>
        <n v="1.2259265743434851" u="1"/>
        <n v="1.6780260418043671" u="1"/>
        <n v="1.0795287635423771" u="1"/>
        <n v="1.1638839080808099" u="1"/>
        <n v="0.57210021795230193" u="1"/>
        <n v="1.3279078002388738" u="1"/>
        <n v="0.58247608167970111" u="1"/>
        <n v="0.57118104866533048" u="1"/>
        <n v="0.39770094680995777" u="1"/>
        <n v="0.53682025476835915" u="1"/>
        <n v="1.2369533906230188" u="1"/>
        <n v="0.86740043711148773" u="1"/>
        <n v="0.84837366562115213" u="1"/>
        <n v="5.7864508946136803" u="1"/>
        <n v="1.0337405156552131" u="1"/>
        <n v="1.1112796095289175" u="1"/>
        <n v="1.3386997727164323" u="1"/>
        <n v="0.7919137210677113" u="1"/>
        <n v="0.86029316071078243" u="1"/>
        <n v="0.7388563591422137" u="1"/>
        <n v="0.82683229493464805" u="1"/>
        <n v="0.89999899889743395" u="1"/>
        <n v="0.7119700194627635" u="1"/>
        <n v="0.76704147918958454" u="1"/>
        <n v="0.80047911766824154" u="1"/>
        <n v="0.7344033906571652" u="1"/>
        <n v="0.7421388820045306" u="1"/>
        <n v="0.84815872229089206" u="1"/>
        <n v="0.92646955768853501" u="1"/>
        <n v="0.70625975506241023" u="1"/>
        <n v="0.69710271804868584" u="1"/>
        <n v="0.56493996163712101" u="1"/>
        <n v="0.53305535473005161" u="1"/>
        <n v="0.72339054826347038" u="1"/>
        <n v="0.76462474284482806" u="1"/>
        <n v="0.86924277546142792" u="1"/>
        <n v="0.76058742852874939" u="1"/>
        <n v="0.67770843306064299" u="1"/>
        <n v="1.1345295850889165" u="1"/>
        <n v="1.2218010916342179" u="1"/>
        <n v="9.8874036984115055" u="1"/>
        <n v="0.49380168281705306" u="1"/>
        <n v="0.41150140234754423" u="1"/>
        <n v="0.95016805759969092" u="1"/>
        <n v="0.96025724801222145" u="1"/>
        <n v="0.98548022404354785" u="1"/>
        <n v="0.73906412425049417" u="1"/>
        <n v="0.90638458013012324" u="1"/>
        <n v="0.84464471342913616" u="1"/>
        <n v="1.0186523965272163" u="1"/>
        <n v="0.64630197885869922" u="1"/>
        <n v="0.77636664734170435" u="1"/>
        <n v="1.0449432185492253" u="1"/>
        <n v="1.0129138315105271" u="1"/>
        <n v="0.84964594617923206" u="1"/>
        <n v="0.73598936649645785" u="1"/>
        <n v="0.71557729332521014" u="1"/>
        <n v="0.65604566489150984" u="1"/>
        <n v="0.6939859424499174" u="1"/>
        <n v="0.85235884537693085" u="1"/>
        <n v="0.89853566481817826" u="1"/>
        <n v="0.73288254407722853" u="1"/>
        <n v="0.80244339361371919" u="1"/>
        <n v="0.76336239906594439" u="1"/>
        <n v="0.51478056514876036" u="1"/>
        <n v="1.1813561423547712" u="1"/>
        <n v="1.1433025993741002" u="1"/>
        <n v="1.6416556724953466" u="1"/>
        <n v="2.117324959753732" u="1"/>
        <n v="1.4457918483301291" u="1"/>
        <n v="1.3898307557114955" u="1"/>
        <n v="1.4905607224250359" u="1"/>
        <n v="0.53032906932312429" u="1"/>
        <n v="0.45203260507138948" u="1"/>
        <n v="1.356254100140315" u="1"/>
        <n v="1.6360595632334831" u="1"/>
        <n v="0.87334021895842751" u="1"/>
        <n v="0.8929266013749495" u="1"/>
        <n v="0.94678915302038413" u="1"/>
        <n v="1.0202380870823407" u="1"/>
        <n v="1.1671359552062543" u="1"/>
        <n v="0.94189255741625388" u="1"/>
        <n v="0.79170297052771132" u="1"/>
        <n v="0.86008241017078246" u="1"/>
        <n v="0.73863588165421379" u="1"/>
        <n v="0.82661181744664791" u="1"/>
        <n v="0.89977852140943404" u="1"/>
        <n v="0.71175926892276353" u="1"/>
        <n v="0.76683072864958457" u="1"/>
        <n v="0.80026836712824145" u="1"/>
        <n v="0.73419264011716523" u="1"/>
        <n v="0.74191191988453054" u="1"/>
        <n v="0.84789933701089204" u="1"/>
        <n v="0.92624259556853505" u="1"/>
        <n v="0.70604900452241026" u="1"/>
        <n v="0.69689196750868576" u="1"/>
        <n v="0.56471299951712106" u="1"/>
        <n v="0.53282839261005166" u="1"/>
        <n v="0.72317979772347041" u="1"/>
        <n v="0.76449408113053019" u="1"/>
        <n v="0.86898339018142801" u="1"/>
        <n v="0.76036046640874944" u="1"/>
        <n v="0.67749768252064313" u="1"/>
        <n v="1.1343188345489168" u="1"/>
        <n v="1.221574129514218" u="1"/>
        <n v="9.8871750404114813" u="1"/>
        <n v="0.49360714385705323" u="1"/>
        <n v="0.41133928654754437" u="1"/>
        <n v="1.015544840682459" u="1"/>
        <n v="0.987426459169648" u="1"/>
        <n v="0.99211285608844968" u="1"/>
        <n v="0.99679925300725158" u="1"/>
        <n v="1.0061720468448552" u="1"/>
        <n v="1.0249176345200626" u="1"/>
        <n v="1.038976825276468" u="1"/>
        <n v="1.0624088098704769" u="1"/>
        <n v="0.9499352838192332" u="1"/>
        <n v="0.9593080776568369" u="1"/>
        <n v="0.97336726841324228" u="1"/>
        <n v="0.91153455073623391" u="1"/>
        <n v="0.92145868538781406" u="1"/>
        <n v="0.93634488736518451" u="1"/>
        <n v="0.96115522399413544" u="1"/>
        <n v="0.83314759320386023" u="1"/>
        <n v="0.84279605744845221" u="1"/>
        <n v="0.85726875381534018" u="1"/>
        <n v="0.88138991442682002" u="1"/>
        <n v="0.82340256701158376" u="1"/>
        <n v="0.83277536084918768" u="1"/>
        <n v="0.84683455160559307" u="1"/>
        <n v="0.87026653619960215" u="1"/>
        <n v="0.85152094852439497" u="1"/>
        <n v="0.86089374236199867" u="1"/>
        <n v="0.87495293311840405" u="1"/>
        <n v="0.89838491771241313" u="1"/>
        <n v="0.94834317126101808" u="1"/>
        <n v="0.9573024594881393" u="1"/>
        <n v="0.97074139182882102" u="1"/>
        <n v="0.99313961239662374" u="1"/>
        <n v="1.0200174770779873" u="1"/>
        <n v="1.0289767653051083" u="1"/>
        <n v="1.0424156976457901" u="1"/>
        <n v="1.0648139182135932" u="1"/>
        <n v="1.1327047636525045" u="1"/>
        <n v="1.1947586360970106" u="1"/>
        <n v="1.1616781872584094" u="1"/>
        <n v="1.1671915953981762" u="1"/>
        <n v="1.1727050035379429" u="1"/>
        <n v="1.1837318198174769" u="1"/>
        <n v="1.2057854523765441" u="1"/>
        <n v="1.2223256767958446" u="1"/>
        <n v="1.2498927174946788" u="1"/>
        <n v="1.1774214930528248" u="1"/>
        <n v="1.1867900270073177" u="1"/>
        <n v="1.2102113618935493" u="1"/>
        <n v="1.2711068325977519" u="1"/>
        <n v="1.2804753665522441" u="1"/>
        <n v="1.3038967014384759" u="1"/>
        <n v="1.083736153507898" u="1"/>
        <n v="1.0931046874623911" u="1"/>
        <n v="1.1165260223486226" u="1"/>
        <n v="1.1065653305333225" u="1"/>
        <n v="1.0914315449145264" u="1"/>
        <n v="1.1015207353270573" u="1"/>
        <n v="1.1267437113583836" u="1"/>
        <n v="0.97638350882292391" u="1"/>
        <n v="1.0859232904446843" u="1"/>
        <n v="1.0974537937732907" u="1"/>
        <n v="1.1262800520948064" u="1"/>
        <n v="0.95018287913909871" u="1"/>
        <n v="0.96027206955162925" u="1"/>
        <n v="0.98549504558295564" u="1"/>
        <n v="0.94789241116775458" u="1"/>
        <n v="0.95726094512224735" u="1"/>
        <n v="0.9806822800084789" u="1"/>
        <n v="1.0415777507126811" u="1"/>
        <n v="1.050946284667174" u="1"/>
        <n v="1.0743676195534055" u="1"/>
        <n v="0.96194521209949357" u="1"/>
        <n v="0.97131374605398635" u="1"/>
        <n v="0.99473508094021768" u="1"/>
        <n v="1.0556305516444202" u="1"/>
        <n v="1.0649990855989131" u="1"/>
        <n v="1.0884204204851446" u="1"/>
        <n v="1.10715748839413" u="1"/>
        <n v="1.139947357234854" u="1"/>
        <n v="0.92793526079263944" u="1"/>
        <n v="0.93773618862195462" u="1"/>
        <n v="0.96223850819524337" u="1"/>
        <n v="0.96713897210990096" u="1"/>
        <n v="0.97693989993921626" u="1"/>
        <n v="1.001442219512505" u="1"/>
        <n v="0.94753711645127014" u="1"/>
        <n v="0.95733804428058544" u="1"/>
        <n v="0.98184036385387408" u="1"/>
        <n v="1.0112431473418202" u="1"/>
        <n v="1.0357454669151089" u="1"/>
        <n v="0.88042562895569998" u="1"/>
        <n v="0.90456584528406314" u="1"/>
        <n v="0.97698649426915218" u="1"/>
        <n v="1.1797643114274021" u="1"/>
        <n v="1.5949760322752464" u="1"/>
        <n v="0.97541952114578501" u="1"/>
        <n v="0.90619390079239093" u="1"/>
        <n v="1.0446451414991791" u="1"/>
        <n v="1.3004653930692174" u="1"/>
        <n v="1.2763251767408539" u="1"/>
        <n v="1.4211664747110326" u="1"/>
        <n v="1.7301612437140794" u="1"/>
        <n v="1.6577405947289905" u="1"/>
        <n v="1.6336003784006274" u="1"/>
        <n v="1.3970262583826696" u="1"/>
        <n v="1.5177273400244848" u="1"/>
        <n v="1.785561576499394" u="1"/>
        <n v="1.5867597949716976" u="1"/>
        <n v="1.6151600494756546" u="1"/>
        <n v="1.5753996931701153" u="1"/>
        <n v="0.73883716213049422" u="1"/>
        <n v="0.90615761801012318" u="1"/>
        <n v="0.84438532814913625" u="1"/>
        <n v="1.0183930112472162" u="1"/>
        <n v="0.64609122831869925" u="1"/>
        <n v="0.77615589680170438" u="1"/>
        <n v="1.0446838332692252" u="1"/>
        <n v="1.0126544462305271" u="1"/>
        <n v="0.84941249942723218" u="1"/>
        <n v="0.73576240437645768" u="1"/>
        <n v="0.71535033120521008" u="1"/>
        <n v="0.65581870277150989" u="1"/>
        <n v="0.69375898032991745" u="1"/>
        <n v="0.85213836788893083" u="1"/>
        <n v="0.89831518733017834" u="1"/>
        <n v="0.73266206658922861" u="1"/>
        <n v="0.80222291612571928" u="1"/>
        <n v="0.76315164852594419" u="1"/>
        <n v="1.2060752494660352" u="1"/>
        <n v="1.2295072340600444" u="1"/>
        <n v="1.2529392186540536" u="1"/>
        <n v="1.2904303940044684" u="1"/>
        <n v="2.0794125218846973" u="1"/>
        <n v="2.1155942628019178" u="1"/>
        <n v="2.1517760037191378" u="1"/>
        <n v="2.2096667891866897" u="1"/>
        <n v="1.0919968551297423" u="1"/>
        <n v="1.1161180157412223" u="1"/>
        <n v="1.1402391763527024" u="1"/>
        <n v="1.1788330333310706" u="1"/>
        <n v="0.86043371325953455" u="1"/>
        <n v="1.1027036604789815" u="1"/>
        <n v="1.1271694090991971" u="1"/>
        <n v="1.1516351577194124" u="1"/>
        <n v="1.1907803555117569" u="1"/>
        <n v="1.1498876405972946" u="1"/>
        <n v="1.1595361048418864" u="1"/>
        <n v="1.1836572654533664" u="1"/>
        <n v="1.2222511224317347" u="1"/>
        <n v="1.1643603369641826" u="1"/>
        <n v="1.2029541939425505" u="1"/>
        <n v="1.102974517252395" u="1"/>
        <n v="1.126406501846404" u="1"/>
        <n v="1.1498384864404132" u="1"/>
        <n v="1.187329661790828" u="1"/>
        <n v="1.1685840741156206" u="1"/>
        <n v="1.1920160587096298" u="1"/>
        <n v="1.2154480433036388" u="1"/>
        <n v="1.1884814975756628" u="1"/>
        <n v="1.2126026581871425" u="1"/>
        <n v="1.2367238187986223" u="1"/>
        <n v="1.2753176757769904" u="1"/>
        <n v="1.1259881826023468" u="1"/>
        <n v="1.1483864031701494" u="1"/>
        <n v="1.1707846237379524" u="1"/>
        <n v="1.2066217766464371" u="1"/>
        <n v="1.309087300633063" u="1"/>
        <n v="1.1628933038826283" u="1"/>
        <n v="1.1728174385342083" u="1"/>
        <n v="1.1976277751631592" u="1"/>
        <n v="1.2373243137694805" u="1"/>
        <n v="1.1322148349274588" u="1"/>
        <n v="1.0823483908851503" u="1"/>
        <n v="1.2259427733034953" u="1"/>
        <n v="1.6780422407643774" u="1"/>
        <n v="1.0795425326583858" u="1"/>
        <n v="1.1638976771968188" u="1"/>
        <n v="0.57211236717230973" u="1"/>
        <n v="1.3279215693548825" u="1"/>
        <n v="0.58209944901303445" u="1"/>
        <n v="0.57080441599866383" u="1"/>
        <n v="0.39741847230995786" u="1"/>
        <n v="0.51462799626108513" u="1"/>
        <n v="1.1877331887905647" u="1"/>
        <n v="1.1494714157221946" u="1"/>
        <n v="1.6505360732942906" u="1"/>
        <n v="2.1288082366489185" u="1"/>
        <n v="1.4536004766188557" u="1"/>
        <n v="1.397333163283017" u="1"/>
        <n v="1.4986143272875265" u="1"/>
        <n v="0.53315395543934008" u="1"/>
        <n v="0.45444189898559245" u="1"/>
        <n v="1.3635727752815141" u="1"/>
        <n v="1.644909341960707" u="1"/>
        <n v="0.87802922369062875" u="1"/>
        <n v="0.89772278335817246" u="1"/>
        <n v="0.95188007244391692" u="1"/>
        <n v="1.025730921197205" u="1"/>
        <n v="1.1734326187037813" u="1"/>
        <n v="0.94695668252703102" u="1"/>
        <n v="0.86467489325390134" u="1"/>
        <n v="0.83101589096738226" u="1"/>
        <n v="0.90458296525023529" u="1"/>
        <n v="0.77091293583457898" u="1"/>
        <n v="0.73809625073781604" u="1"/>
        <n v="0.93118834658112448" u="1"/>
        <n v="0.70059146777008718" u="1"/>
        <n v="0.56768045012467472" u="1"/>
        <n v="0.76860679091043671" u="1"/>
        <n v="9.9411543562727562" u="1"/>
        <n v="1.0210158540409255" u="1"/>
        <n v="0.99274360793129235" u="1"/>
        <n v="0.9974556489495644" u="1"/>
        <n v="1.0021676899678367" u="1"/>
        <n v="1.0115917720043814" u="1"/>
        <n v="1.0304399360774701" u="1"/>
        <n v="1.0445760591322863" u="1"/>
        <n v="1.0681362642236472" u="1"/>
        <n v="0.95504727978511494" u="1"/>
        <n v="0.96447136182165916" u="1"/>
        <n v="0.97860748487647575" u="1"/>
        <n v="0.91643135340488102" u="1"/>
        <n v="0.92640979320828098" u="1"/>
        <n v="0.94137745291338082" u="1"/>
        <n v="0.96632355242188062" u="1"/>
        <n v="0.83761799186156516" u="1"/>
        <n v="0.84731925278153719" u="1"/>
        <n v="0.86187114416149546" u="1"/>
        <n v="0.88612429646142588" u="1"/>
        <n v="0.82782217229176558" u="1"/>
        <n v="0.83724625432830979" u="1"/>
        <n v="0.85138237738312661" u="1"/>
        <n v="0.87494258247448753" u="1"/>
        <n v="0.85609441840139888" u="1"/>
        <n v="0.86551850043794321" u="1"/>
        <n v="0.87965462349275969" u="1"/>
        <n v="0.90321482858412061" u="1"/>
        <n v="0.95345025267237771" u="1"/>
        <n v="0.96245856638378058" u="1"/>
        <n v="0.97597103695088472" u="1"/>
        <n v="0.9984918212293914" u="1"/>
        <n v="1.0255167623635997" u="1"/>
        <n v="1.0345250760750027" u="1"/>
        <n v="1.0480375466421066" u="1"/>
        <n v="1.0705583309206135" u="1"/>
        <n v="1.1388168794977307" u="1"/>
        <n v="1.2011951224010888" u="1"/>
        <n v="1.1679336563897558" u="1"/>
        <n v="1.1734772340583111" u="1"/>
        <n v="1.1790208117268668" u="1"/>
        <n v="1.190107967063978" u="1"/>
        <n v="1.2122822777382001" u="1"/>
        <n v="1.2289130107438664" u="1"/>
        <n v="1.2566308990866437" u="1"/>
        <n v="1.1837783392562322" u="1"/>
        <n v="1.1931981380994621" u="1"/>
        <n v="1.2167476352075366" u="1"/>
        <n v="1.2779763276885305" u="1"/>
        <n v="1.2873961265317604" u="1"/>
        <n v="1.3109456236398345" u="1"/>
        <n v="1.0895803508239337" u="1"/>
        <n v="1.0990001496671638" u="1"/>
        <n v="1.1225496467752385" u="1"/>
        <n v="1.1125278314387517" u="1"/>
        <n v="1.0973112333073805" u="1"/>
        <n v="1.1074556320616278" u="1"/>
        <n v="1.1328166289472468" u="1"/>
        <n v="0.9816204143800733" u="1"/>
        <n v="1.0917596008547605" u="1"/>
        <n v="1.1033531994310433" u="1"/>
        <n v="1.1323371958717505" u="1"/>
        <n v="0.9552896507479155" u="1"/>
        <n v="0.96543404950216294" u="1"/>
        <n v="0.9907950463877816" u="1"/>
        <n v="0.95299326759710146" u="1"/>
        <n v="0.96241306644033131" u="1"/>
        <n v="0.98596256354840595" u="1"/>
        <n v="1.0471912560293994" u="1"/>
        <n v="1.0566110548726295" u="1"/>
        <n v="1.080160551980704" u="1"/>
        <n v="0.96712296586194635" u="1"/>
        <n v="0.97654276470517609" u="1"/>
        <n v="1.0000922618132506" u="1"/>
        <n v="1.0613209542942448" u="1"/>
        <n v="1.0707407531374742" u="1"/>
        <n v="1.0942902502455489" u="1"/>
        <n v="1.1131298479320086" u="1"/>
        <n v="1.146099143883313" u="1"/>
        <n v="0.93292294012146659" u="1"/>
        <n v="0.94277749891130713" u="1"/>
        <n v="0.96741389588590809" u="1"/>
        <n v="0.9723411752808282" u="1"/>
        <n v="0.98219573407066874" u="1"/>
        <n v="1.0068321310452697" u="1"/>
        <n v="0.95263205770114745" u="1"/>
        <n v="0.96248661649098788" u="1"/>
        <n v="0.98712301346558884" u="1"/>
        <n v="1.0166866898351101" u="1"/>
        <n v="1.0413230868097112" u="1"/>
        <n v="0.88515466439115786" u="1"/>
        <n v="0.90942697668140515" u="1"/>
        <n v="0.98224391355214702" u="1"/>
        <n v="1.1861313367902251" u="1"/>
        <n v="1.6036151081824794" u="1"/>
        <n v="0.98067227821836034" u="1"/>
        <n v="0.91106785326838624" u="1"/>
        <n v="1.0502767031683344" u="1"/>
        <n v="1.3074928982414618" u="1"/>
        <n v="1.2832205859512145" u="1"/>
        <n v="1.4288544596926986" u="1"/>
        <n v="1.7395400570078643" u="1"/>
        <n v="1.6667231201371226" u="1"/>
        <n v="1.6424508078468749" u="1"/>
        <n v="1.4045821474024514" u="1"/>
        <n v="1.5259437088536876" u="1"/>
        <n v="1.7952278927690444" u="1"/>
        <n v="1.595338262143478" u="1"/>
        <n v="1.6238939236614165" u="1"/>
        <n v="1.5839159975363031" u="1"/>
        <n v="0.91099346344465515" u="1"/>
        <n v="1.023825486962632" u="1"/>
        <n v="0.78028913157651125" u="1"/>
        <n v="1.0180555203522121" u="1"/>
        <n v="0.85393432892445675" u="1"/>
        <n v="0.71914207364819538" u="1"/>
        <n v="0.69743257427649097" u="1"/>
        <n v="0.90311162376457821" u="1"/>
        <n v="0.80649353287309811" u="1"/>
        <n v="1.2125888507315083" u="1"/>
        <n v="1.2361490558228694" u="1"/>
        <n v="1.2597092609142302" u="1"/>
        <n v="1.2974055890604079" u="1"/>
        <n v="2.0906582137406735" u="1"/>
        <n v="2.1270379421905692" u="1"/>
        <n v="2.1634176706404649" u="1"/>
        <n v="2.2216252361602979" u="1"/>
        <n v="1.0978836844346314" u="1"/>
        <n v="1.1221368367345614" u="1"/>
        <n v="1.1463899890344922" u="1"/>
        <n v="1.185195032714381" u="1"/>
        <n v="0.86505342235529925" u="1"/>
        <n v="1.1086478118885688" u="1"/>
        <n v="1.1332474377927839" u="1"/>
        <n v="1.1578470636969991" u="1"/>
        <n v="1.1972064651437433" u="1"/>
        <n v="1.1560912499544644" u="1"/>
        <n v="1.1657925108744365" u="1"/>
        <n v="1.1900456631743668" u="1"/>
        <n v="1.2288507068542556" u="1"/>
        <n v="1.1706431413344225" u="1"/>
        <n v="1.2094481850143111" u="1"/>
        <n v="1.1089239483295203" u="1"/>
        <n v="1.1324841534208812" u="1"/>
        <n v="1.1560443585122422" u="1"/>
        <n v="1.1937406866584197" u="1"/>
        <n v="1.1748925225853308" u="1"/>
        <n v="1.1984527276766916" u="1"/>
        <n v="1.2220129327680529" u="1"/>
        <n v="1.194896293634353" u="1"/>
        <n v="1.2191494459342835" u="1"/>
        <n v="1.2434025982342136" u="1"/>
        <n v="1.2822076419141024" u="1"/>
        <n v="1.1320673426532633" u="1"/>
        <n v="1.1545881269317699" u="1"/>
        <n v="1.1771089112102771" u="1"/>
        <n v="1.2131421660558876" u="1"/>
        <n v="1.3161620551340052" u="1"/>
        <n v="1.1691655489177921" u="1"/>
        <n v="1.1791439887211921" u="1"/>
        <n v="1.2040900882296917" u="1"/>
        <n v="1.2440038474432915" u="1"/>
        <n v="1.13830907974277" u="1"/>
        <n v="1.0881824235146589" u="1"/>
        <n v="1.2325499001082134" u="1"/>
        <n v="1.6871232689297666" u="1"/>
        <n v="1.0853637432381593" u="1"/>
        <n v="1.1701804815670589" u="1"/>
        <n v="0.57516703196216223" u="1"/>
        <n v="1.3351019172065852" u="1"/>
        <n v="0.5840128211390595" u="1"/>
        <n v="0.57267861535595788" u="1"/>
        <n v="0.39871770247287525" u="1"/>
        <n v="0.51736159055585618" u="1"/>
        <n v="1.1878213176126053" u="1"/>
        <n v="1.1495595445442353" u="1"/>
        <n v="1.6506397542613973" u="1"/>
        <n v="2.1289119176160249" u="1"/>
        <n v="1.4537041575859622" u="1"/>
        <n v="1.3974368442501239" u="1"/>
        <n v="1.4987180082546334" u="1"/>
        <n v="0.53323171616467002" u="1"/>
        <n v="0.45450669959003409" u="1"/>
        <n v="1.363676456248621" u="1"/>
        <n v="1.6450130229278137" u="1"/>
        <n v="0.87811994453684705" u="1"/>
        <n v="0.89781350420439066" u="1"/>
        <n v="0.95197079329013523" u="1"/>
        <n v="1.0258216420434232" u="1"/>
        <n v="1.1735233395499995" u="1"/>
        <n v="0.94704740337324933" u="1"/>
        <n v="0.79171777531771137" u="1"/>
        <n v="0.86468969804390139" u="1"/>
        <n v="0.73865136974221368" u="1"/>
        <n v="0.83103137905538227" u="1"/>
        <n v="0.9045984533382353" u="1"/>
        <n v="0.71177407371276336" u="1"/>
        <n v="0.77092774062457892" u="1"/>
        <n v="0.80028317191824139" u="1"/>
        <n v="0.73811105552781597" u="1"/>
        <n v="0.74192786350453044" u="1"/>
        <n v="0.84791755829089199" u="1"/>
        <n v="0.93120429020112461" u="1"/>
        <n v="0.70606380931241008" u="1"/>
        <n v="0.70060627256008712" u="1"/>
        <n v="0.56769639374467484" u="1"/>
        <n v="0.53284433623005167" u="1"/>
        <n v="0.72319460251347023" u="1"/>
        <n v="0.76861596962590406" u="1"/>
        <n v="0.86900161146142785" u="1"/>
        <n v="0.76037641002874934" u="1"/>
        <n v="0.67751248731064295" u="1"/>
        <n v="1.1343336393389163" u="1"/>
        <n v="1.2215900731342177" u="1"/>
        <n v="9.9411704190248216" u="1"/>
        <n v="0.4936208098170532" u="1"/>
        <n v="0.41135067484754434" u="1"/>
        <n v="1.0211026804665813" u="1"/>
        <n v="0.99283043435694807" u="1"/>
        <n v="0.99754247537522012" u="1"/>
        <n v="1.0022545163934924" u="1"/>
        <n v="1.0116785984300372" u="1"/>
        <n v="1.0305267625031258" u="1"/>
        <n v="1.0446628855579421" u="1"/>
        <n v="1.0682230906493031" u="1"/>
        <n v="0.95513410621077055" u="1"/>
        <n v="0.96455818824731487" u="1"/>
        <n v="0.97869431130213147" u="1"/>
        <n v="0.91652328726734011" u="1"/>
        <n v="0.92650172707074008" u="1"/>
        <n v="0.94146938677583991" u="1"/>
        <n v="0.96641548628433949" u="1"/>
        <n v="0.83770737200562251" u="1"/>
        <n v="0.84740863292559476" u="1"/>
        <n v="0.86196052430555281" u="1"/>
        <n v="0.88621367660548322" u="1"/>
        <n v="0.8279089987174213" u="1"/>
        <n v="0.83733308075396562" u="1"/>
        <n v="0.85146920380878233" u="1"/>
        <n v="0.87502940890014347" u="1"/>
        <n v="0.8561812448270546" u="1"/>
        <n v="0.86560532686359892" u="1"/>
        <n v="0.87974144991841541" u="1"/>
        <n v="0.90330165500977633" u="1"/>
        <n v="0.95353324852043098" u="1"/>
        <n v="0.96254156223183385" u="1"/>
        <n v="0.97605403279893799" u="1"/>
        <n v="0.99857481707744467" u="1"/>
        <n v="1.0255997582116529" u="1"/>
        <n v="1.0346080719230559" u="1"/>
        <n v="1.0481205424901596" u="1"/>
        <n v="1.070641326768667" u="1"/>
        <n v="1.1389037059233862" u="1"/>
        <n v="1.2012972711371543" u="1"/>
        <n v="1.1680358051258213" u="1"/>
        <n v="1.1735793827943766" u="1"/>
        <n v="1.1791229604629323" u="1"/>
        <n v="1.1902101158000435" u="1"/>
        <n v="1.2123844264742658" u="1"/>
        <n v="1.2290151594799319" u="1"/>
        <n v="1.2567330478227094" u="1"/>
        <n v="1.1838651262197564" u="1"/>
        <n v="1.1932849250629858" u="1"/>
        <n v="1.2168344221710603" u="1"/>
        <n v="1.2780631146520549" u="1"/>
        <n v="1.2874829134952843" u="1"/>
        <n v="1.3110324106033588" u="1"/>
        <n v="1.0896671377874581" u="1"/>
        <n v="1.0990869366306879" u="1"/>
        <n v="1.1226364337387624" u="1"/>
        <n v="1.1126212943225469" u="1"/>
        <n v="1.0974046961911754" u="1"/>
        <n v="1.1075490949454228" u="1"/>
        <n v="1.132910091831042" u="1"/>
        <n v="0.9817272291044109" u="1"/>
        <n v="1.0918664155790978" u="1"/>
        <n v="1.1034600141553808" u="1"/>
        <n v="1.1324440105960878" u="1"/>
        <n v="0.95538311363171069" u="1"/>
        <n v="0.96552751238595813" u="1"/>
        <n v="0.99088850927157679" u="1"/>
        <n v="0.95308005456062561" u="1"/>
        <n v="0.96249985340385558" u="1"/>
        <n v="0.9860493505119301" u="1"/>
        <n v="1.0472780429929236" u="1"/>
        <n v="1.0566978418361539" u="1"/>
        <n v="1.0802473389442282" u="1"/>
        <n v="0.96720975282547028" u="1"/>
        <n v="0.97662955166870025" u="1"/>
        <n v="1.0001790487767748" u="1"/>
        <n v="1.0614077412577687" u="1"/>
        <n v="1.0708275401009983" u="1"/>
        <n v="1.0943770372090733" u="1"/>
        <n v="1.1132166348955328" u="1"/>
        <n v="1.1461859308468367" u="1"/>
        <n v="0.93301373263715337" u="1"/>
        <n v="0.9428682914269938" u="1"/>
        <n v="0.96750468840159476" u="1"/>
        <n v="0.97243196779651508" u="1"/>
        <n v="0.98228652658635551" u="1"/>
        <n v="1.0069229235609565" u="1"/>
        <n v="0.95272285021683412" u="1"/>
        <n v="0.96257740900667454" u="1"/>
        <n v="0.98721380598127562" u="1"/>
        <n v="1.0167774823507969" u="1"/>
        <n v="1.041413879325398" u="1"/>
        <n v="0.88524411514552914" u="1"/>
        <n v="0.90951642743577632" u="1"/>
        <n v="0.9823333643065183" u="1"/>
        <n v="1.1862207875445963" u="1"/>
        <n v="1.6037045589368508" u="1"/>
        <n v="0.98075778261592117" u="1"/>
        <n v="0.91115335766594685" u="1"/>
        <n v="1.0503622075658952" u="1"/>
        <n v="1.3075823489958329" u="1"/>
        <n v="1.2833100367055859" u="1"/>
        <n v="1.42894391044707" u="1"/>
        <n v="1.7396295077622357" u="1"/>
        <n v="1.666812570891494" u="1"/>
        <n v="1.6425402586012465" u="1"/>
        <n v="1.4046715981568223" u="1"/>
        <n v="1.526033159608059" u="1"/>
        <n v="1.7953331289506578" u="1"/>
        <n v="1.5954434983250914" u="1"/>
        <n v="1.6239991598430299" u="1"/>
        <n v="1.5840212337179165" u="1"/>
        <n v="0.73885310575049401" u="1"/>
        <n v="0.91100940706465505" u="1"/>
        <n v="0.84440354942913598" u="1"/>
        <n v="1.0238437082426319" u="1"/>
        <n v="0.64610603310869907" u="1"/>
        <n v="0.78030393636651108" u="1"/>
        <n v="1.0447020545492252" u="1"/>
        <n v="1.0180737416322121" u="1"/>
        <n v="0.85395072807645667" u="1"/>
        <n v="0.73577834799645769" u="1"/>
        <n v="0.71915801726819539" u="1"/>
        <n v="0.65583464639150979" u="1"/>
        <n v="0.69744851789649087" u="1"/>
        <n v="0.85215385597693072" u="1"/>
        <n v="0.90312711185257799" u="1"/>
        <n v="0.73267755467722839" u="1"/>
        <n v="0.80650902096109789" u="1"/>
        <n v="0.76316645331594435" u="1"/>
        <n v="1.2126756771571641" u="1"/>
        <n v="1.2362358822485251" u="1"/>
        <n v="1.2597960873398861" u="1"/>
        <n v="1.2974924154860639" u="1"/>
        <n v="2.0907922839567594" u="1"/>
        <n v="2.1271720124066555" u="1"/>
        <n v="2.1635517408565508" u="1"/>
        <n v="2.2217593063763839" u="1"/>
        <n v="1.0979730645786887" u="1"/>
        <n v="1.122226216878619" u="1"/>
        <n v="1.1464793691785493" u="1"/>
        <n v="1.1852844128584381" u="1"/>
        <n v="0.86514280249935671" u="1"/>
        <n v="1.1087384688918269" u="1"/>
        <n v="1.1333380947960423" u="1"/>
        <n v="1.157937720700257" u="1"/>
        <n v="1.1972971221470012" u="1"/>
        <n v="1.1561806300985218" u="1"/>
        <n v="1.165881891018494" u="1"/>
        <n v="1.1901350433184239" u="1"/>
        <n v="1.2289400869983127" u="1"/>
        <n v="1.1707325214784801" u="1"/>
        <n v="1.2095375651583686" u="1"/>
        <n v="1.1090107747551758" u="1"/>
        <n v="1.1325709798465371" u="1"/>
        <n v="1.1561311849378977" u="1"/>
        <n v="1.1938275130840752" u="1"/>
        <n v="1.1749793490109868" u="1"/>
        <n v="1.1985395541023474" u="1"/>
        <n v="1.2220997591937086" u="1"/>
        <n v="1.1949856737784101" u="1"/>
        <n v="1.2192388260783407" u="1"/>
        <n v="1.243491978378271" u="1"/>
        <n v="1.28229702205816" u="1"/>
        <n v="1.1321503385013163" u="1"/>
        <n v="1.1546711227798232" u="1"/>
        <n v="1.1771919070583301" u="1"/>
        <n v="1.2132251619039411" u="1"/>
        <n v="1.3162514352780625" u="1"/>
        <n v="1.1692574827802511" u="1"/>
        <n v="1.1792359225836508" u="1"/>
        <n v="1.2041820220921509" u="1"/>
        <n v="1.2440957813057507" u="1"/>
        <n v="1.1384112284788352" u="1"/>
        <n v="1.0882718036587165" u="1"/>
        <n v="1.2326520488442791" u="1"/>
        <n v="1.6872254176658321" u="1"/>
        <n v="1.085450569663815" u="1"/>
        <n v="1.1702673079927148" u="1"/>
        <n v="0.57524364351421142" u="1"/>
        <n v="1.3351887436322412" u="1"/>
        <n v="0.58403927880572615" u="1"/>
        <n v="0.57270507302262441" u="1"/>
        <n v="0.39873754572287523" u="1"/>
        <n v="0.51737230820499036" u="1"/>
        <n v="1.2038393744641505" u="1"/>
        <n v="1.1650545628047095" u="1"/>
        <n v="1.6729458118217728" u="1"/>
        <n v="2.157755957564786" u="1"/>
        <n v="1.4733181047511199" u="1"/>
        <n v="1.4162816170166477" u="1"/>
        <n v="1.5189472949386977" u="1"/>
        <n v="0.54032734999206522" u="1"/>
        <n v="0.46055843643691852" u="1"/>
        <n v="1.3820597243759647" u="1"/>
        <n v="1.6672421630483256" u="1"/>
        <n v="0.88989792751592445" u="1"/>
        <n v="0.90986069822298998" u="1"/>
        <n v="0.96475831766741926" u="1"/>
        <n v="1.0396187078189141" u="1"/>
        <n v="1.1893394881219037" u="1"/>
        <n v="0.95976762499065282" u="1"/>
        <n v="0.80517792806058175" u="1"/>
        <n v="0.87622523504458227" u="1"/>
        <n v="0.75116816135267794" u="1"/>
        <n v="0.8420936632560353" u="1"/>
        <n v="0.91666639973894759" u="1"/>
        <n v="0.72383835876378055" u="1"/>
        <n v="0.78118155129185085" u="1"/>
        <n v="0.8138928819138106" u="1"/>
        <n v="0.74791626197839478" u="1"/>
        <n v="0.75449067273120973" u="1"/>
        <n v="0.86227505454995401" u="1"/>
        <n v="0.94362717620185776" u="1"/>
        <n v="0.71802838952829506" u="1"/>
        <n v="0.70989878847730226" u="1"/>
        <n v="0.57515012534511467" u="1"/>
        <n v="0.5417564145703454" u="1"/>
        <n v="0.73545829723475242" u="1"/>
        <n v="0.77894639762760176" u="1"/>
        <n v="0.88372724865020924" u="1"/>
        <n v="0.77326134256893309" u="1"/>
        <n v="0.68897854335086606" u="1"/>
        <n v="1.1537760821897296" u="1"/>
        <n v="1.2425280885120165" u="1"/>
        <n v="10.076757286547107" u="1"/>
        <n v="0.50190398073574261" u="1"/>
        <n v="0.41825331727978554" u="1"/>
        <n v="1.0348449362104941" u="1"/>
        <n v="1.0061862083833211" u="1"/>
        <n v="1.0109626630211832" u="1"/>
        <n v="1.0157391176590456" u="1"/>
        <n v="1.0252920269347696" u="1"/>
        <n v="1.0443978454862186" u="1"/>
        <n v="1.0587272093998052" u="1"/>
        <n v="1.0826094825891162" u="1"/>
        <n v="0.96797457128042352" u="1"/>
        <n v="0.97752748055614769" u="1"/>
        <n v="0.99185684446973432" u="1"/>
        <n v="0.92882322334698519" u="1"/>
        <n v="0.93893806846245798" u="1"/>
        <n v="0.95411033613566731" u="1"/>
        <n v="0.97939744892434966" u="1"/>
        <n v="0.84893625367822068" u="1"/>
        <n v="0.85877013087381948" u="1"/>
        <n v="0.87352094666721747" u="1"/>
        <n v="0.89810563965621404" u="1"/>
        <n v="0.83901029605814381" u="1"/>
        <n v="0.84856320533386831" u="1"/>
        <n v="0.86289256924745494" u="1"/>
        <n v="0.88677484243676585" u="1"/>
        <n v="0.86766902388531708" u="1"/>
        <n v="0.87722193316104158" u="1"/>
        <n v="0.8915512970746281" u="1"/>
        <n v="0.91543357026393912" u="1"/>
        <n v="0.9663613690643662" u="1"/>
        <n v="0.97549282646027924" u="1"/>
        <n v="0.98919001255414885" u="1"/>
        <n v="1.0120186560439315" u="1"/>
        <n v="1.0394130282316705" u="1"/>
        <n v="1.0485444856275836" u="1"/>
        <n v="1.0622416717214531" u="1"/>
        <n v="1.0850703152112358" u="1"/>
        <n v="1.1542563021570491" u="1"/>
        <n v="1.2174646308358756" u="1"/>
        <n v="1.1837484804509659" u="1"/>
        <n v="1.1893678388484508" u="1"/>
        <n v="1.1949871972459358" u="1"/>
        <n v="1.2062259140409055" u="1"/>
        <n v="1.2287033476308453" u="1"/>
        <n v="1.2455614228233003" u="1"/>
        <n v="1.2736582148107247" u="1"/>
        <n v="1.1998324435206278" u="1"/>
        <n v="1.2093810110517675" u="1"/>
        <n v="1.2332524298796179" u="1"/>
        <n v="1.2953181188320289" u="1"/>
        <n v="1.3048666863631688" u="1"/>
        <n v="1.3287381051910188" u="1"/>
        <n v="1.1043467682092269" u="1"/>
        <n v="1.1138953357403669" u="1"/>
        <n v="1.1377667545682173" u="1"/>
        <n v="1.127598083254878" u="1"/>
        <n v="1.1121734741661129" u="1"/>
        <n v="1.1224565468919563" u="1"/>
        <n v="1.1481642287065641" u="1"/>
        <n v="0.99488144583862737" u="1"/>
        <n v="1.1065262354334959" u="1"/>
        <n v="1.1182783185487453" u="1"/>
        <n v="1.1476585263368686" u="1"/>
        <n v="0.96821045600430899" u="1"/>
        <n v="0.97849352873015216" u="1"/>
        <n v="1.00420121054476" u="1"/>
        <n v="0.96589253900769578" u="1"/>
        <n v="0.97544110653883587" u="1"/>
        <n v="0.99931252536668624" u="1"/>
        <n v="1.0613782143190966" u="1"/>
        <n v="1.0709267818502366" u="1"/>
        <n v="1.094798200678087" u="1"/>
        <n v="0.98021539030440596" u="1"/>
        <n v="0.98976395783554605" u="1"/>
        <n v="1.0136353766633963" u="1"/>
        <n v="1.0757010656158068" u="1"/>
        <n v="1.085249633146947" u="1"/>
        <n v="1.1091210519747972" u="1"/>
        <n v="1.1282181870370773" u="1"/>
        <n v="1.1616381733960675" u="1"/>
        <n v="0.94554193544245246" u="1"/>
        <n v="0.95553120609041453" u="1"/>
        <n v="0.98050438271031903" u="1"/>
        <n v="0.98549901803430007" u="1"/>
        <n v="0.99548828868226202" u="1"/>
        <n v="1.0204614653021669" u="1"/>
        <n v="0.96552047673837638" u="1"/>
        <n v="0.97550974738633822" u="1"/>
        <n v="1.0004829240062429" u="1"/>
        <n v="1.0304507359501287" u="1"/>
        <n v="1.0554239125700338" u="1"/>
        <n v="0.89712264844786782" u="1"/>
        <n v="0.92172676334432557" u="1"/>
        <n v="0.99553910803369938" u="1"/>
        <n v="1.2022136731639466" u="1"/>
        <n v="1.6254044493830229" u="1"/>
        <n v="0.99395181566288304" u="1"/>
        <n v="0.92339589794509924" u="1"/>
        <n v="1.0645077333806667" u="1"/>
        <n v="1.325234247646236" u="1"/>
        <n v="1.300630132749778" u="1"/>
        <n v="1.4482548221285261" u="1"/>
        <n v="1.7631874928031874" u="1"/>
        <n v="1.6893751481138131" u="1"/>
        <n v="1.6647710332173553" u="1"/>
        <n v="1.4236507072320677" u="1"/>
        <n v="1.5466712817143573" u="1"/>
        <n v="1.8196132726051262" u="1"/>
        <n v="1.6169911499284138" u="1"/>
        <n v="1.6459371674536589" u="1"/>
        <n v="1.6054127429183165" u="1"/>
        <n v="0.75136222775825579" u="1"/>
        <n v="0.92315622893203864" u="1"/>
        <n v="0.8586996888665781" u="1"/>
        <n v="1.0374891639767707" u="1"/>
        <n v="0.65702371255569403" u="1"/>
        <n v="0.79068591966712398" u="1"/>
        <n v="1.0624955328190029" u="1"/>
        <n v="1.0316403218996795" u="1"/>
        <n v="0.86530879527712712" u="1"/>
        <n v="0.74823378278530195" u="1"/>
        <n v="0.72868222986875741" u="1"/>
        <n v="0.66689421348850098" u="1"/>
        <n v="0.70667596155370205" u="1"/>
        <n v="0.86665247292571856" u="1"/>
        <n v="0.91517494500928931" u="1"/>
        <n v="0.7450900396909389" u="1"/>
        <n v="0.8172360844283979" u="1"/>
        <n v="0.77612808188315285" u="1"/>
        <n v="1.2290367365330266" u="1"/>
        <n v="1.2529190097223373" u="1"/>
        <n v="1.2768012829116484" u="1"/>
        <n v="1.3150129200145462" u="1"/>
        <n v="2.1190395506652013" u="1"/>
        <n v="2.1559165901486965" u="1"/>
        <n v="2.1927936296321917" u="1"/>
        <n v="2.2517968928057832" u="1"/>
        <n v="1.1127597793110418" u="1"/>
        <n v="1.1373444723000388" u="1"/>
        <n v="1.1619291652890351" u="1"/>
        <n v="1.2012646740714301" u="1"/>
        <n v="0.87674672661667441" u="1"/>
        <n v="1.1236691670091461" u="1"/>
        <n v="1.1486050698979853" u="1"/>
        <n v="1.1735409727868251" u="1"/>
        <n v="1.2134384174089681" u="1"/>
        <n v="1.1717630424846341" u="1"/>
        <n v="1.1815969196802327" u="1"/>
        <n v="1.2061816126692293" u="1"/>
        <n v="1.2455171214516239" u="1"/>
        <n v="1.1865138582780319" u="1"/>
        <n v="1.2258493670604265" u="1"/>
        <n v="1.1239547345000578" u="1"/>
        <n v="1.1478370076893689" u="1"/>
        <n v="1.1717192808786798" u="1"/>
        <n v="1.2099309179815774" u="1"/>
        <n v="1.1908250994301286" u="1"/>
        <n v="1.2147073726194395" u="1"/>
        <n v="1.2385896458087509" u="1"/>
        <n v="1.2110985512670287" u="1"/>
        <n v="1.2356832442560253" u="1"/>
        <n v="1.2602679372450218" u="1"/>
        <n v="1.2996034460274168" u="1"/>
        <n v="1.1474201553805947" u="1"/>
        <n v="1.1702487988703774" u="1"/>
        <n v="1.19307744236016" u="1"/>
        <n v="1.2296032719438121" u="1"/>
        <n v="1.334022016212012" u="1"/>
        <n v="1.1850122963246779" u="1"/>
        <n v="1.1951271414401505" u="1"/>
        <n v="1.2204142542288328" u="1"/>
        <n v="1.2608736346907246" u="1"/>
        <n v="1.1537189357225783" u="1"/>
        <n v="1.1029259021154432" u="1"/>
        <n v="1.2492480284798224" u="1"/>
        <n v="1.7100354170735879" u="1"/>
        <n v="1.1000724613107464" u="1"/>
        <n v="1.1860486447922665" u="1"/>
        <n v="0.58291644231831552" u="1"/>
        <n v="1.3532245571174437" u="1"/>
        <n v="0.59670234999638017" u="1"/>
        <n v="0.58510889116342413" u="1"/>
        <n v="0.40733610520970454" u="1"/>
        <n v="0.52423863249219183" u="1"/>
        <n v="1.2039554545916893" u="1"/>
        <n v="1.1651706429322484" u="1"/>
        <n v="1.6730823766777003" u="1"/>
        <n v="2.1578925224207137" u="1"/>
        <n v="1.4734546696070472" u="1"/>
        <n v="1.4164181818725758" u="1"/>
        <n v="1.5190838597946255" u="1"/>
        <n v="0.54042977363401112" u="1"/>
        <n v="0.46064378947187334" u="1"/>
        <n v="1.3821962892318922" u="1"/>
        <n v="1.6673787279042531" u="1"/>
        <n v="0.89001742176486132" u="1"/>
        <n v="0.90998019247192663" u="1"/>
        <n v="0.96487781191635602" u="1"/>
        <n v="1.0397382020678507" u="1"/>
        <n v="1.1894589823708404" u="1"/>
        <n v="0.95988711923958969" u="1"/>
        <n v="0.80534948945058193" u="1"/>
        <n v="0.87639679643458224" u="1"/>
        <n v="0.75134764096067785" u="1"/>
        <n v="0.84227314286403532" u="1"/>
        <n v="0.91684587934694761" u="1"/>
        <n v="0.72400992015378063" u="1"/>
        <n v="0.78135311268185093" u="1"/>
        <n v="0.81406444330381067" u="1"/>
        <n v="0.74808782336839486" u="1"/>
        <n v="0.75467543115120972" u="1"/>
        <n v="0.86248620702995393" u="1"/>
        <n v="0.94381193462185775" u="1"/>
        <n v="0.71819995091829503" u="1"/>
        <n v="0.71007034986730222" u="1"/>
        <n v="0.57533488376511466" u="1"/>
        <n v="0.54194117299034539" u="1"/>
        <n v="0.73562985862475239" u="1"/>
        <n v="0.77905276274213353" u="1"/>
        <n v="0.88393840113020927" u="1"/>
        <n v="0.77344610098893307" u="1"/>
        <n v="0.68915010474086591" u="1"/>
        <n v="1.1539476435797296" u="1"/>
        <n v="1.2427128469320166" u="1"/>
        <n v="10.076943425497538" u="1"/>
        <n v="0.50206234509574255" u="1"/>
        <n v="0.41838528757978544" u="1"/>
        <n v="1.0349593008681677" u="1"/>
        <n v="1.0063005730409944" u="1"/>
        <n v="1.0110770276788568" u="1"/>
        <n v="1.0158534823167189" u="1"/>
        <n v="1.0254063915924432" u="1"/>
        <n v="1.044512210143892" u="1"/>
        <n v="1.0588415740574786" u="1"/>
        <n v="1.0827238472467895" u="1"/>
        <n v="0.96808893593809686" u="1"/>
        <n v="0.97764184521382125" u="1"/>
        <n v="0.99197120912740777" u="1"/>
        <n v="0.92894431533746291" u="1"/>
        <n v="0.93905916045293591" u="1"/>
        <n v="0.95423142812614525" u="1"/>
        <n v="0.97951854091482737" u="1"/>
        <n v="0.84905398200229631" u="1"/>
        <n v="0.85888785919789512" u="1"/>
        <n v="0.87363867499129311" u="1"/>
        <n v="0.89822336798028968" u="1"/>
        <n v="0.83912466071581737" u="1"/>
        <n v="0.84867756999154187" u="1"/>
        <n v="0.86300693390512828" u="1"/>
        <n v="0.88688920709443941" u="1"/>
        <n v="0.86778338854299064" u="1"/>
        <n v="0.87733629781871492" u="1"/>
        <n v="0.89166566173230155" u="1"/>
        <n v="0.91554793492161257" u="1"/>
        <n v="0.96647068822243654" u="1"/>
        <n v="0.97560214561834946" u="1"/>
        <n v="0.98929933171221918" u="1"/>
        <n v="1.0121279752020016" u="1"/>
        <n v="1.0395223473897408" u="1"/>
        <n v="1.0486538047856537" u="1"/>
        <n v="1.0623509908795232" u="1"/>
        <n v="1.0851796343693061" u="1"/>
        <n v="1.1543706668147227" u="1"/>
        <n v="1.2175991774919619" u="1"/>
        <n v="1.1838830271070524" u="1"/>
        <n v="1.1895023855045372" u="1"/>
        <n v="1.1951217439020221" u="1"/>
        <n v="1.206360460696992" u="1"/>
        <n v="1.2288378942869318" u="1"/>
        <n v="1.2456959694793865" u="1"/>
        <n v="1.2737927614668112" u="1"/>
        <n v="1.1999467562001946" u="1"/>
        <n v="1.2094953237313351" u="1"/>
        <n v="1.2333667425591852" u="1"/>
        <n v="1.2954324315115957" u="1"/>
        <n v="1.3049809990427357" u="1"/>
        <n v="1.3288524178705858" u="1"/>
        <n v="1.104461080888794" u="1"/>
        <n v="1.1140096484199342" u="1"/>
        <n v="1.1378810672477846" u="1"/>
        <n v="1.1277211892174888" u="1"/>
        <n v="1.1122965801287237" u="1"/>
        <n v="1.1225796528545671" u="1"/>
        <n v="1.1482873346691751" u="1"/>
        <n v="0.99502213836732534" u="1"/>
        <n v="1.1066669279621941" u="1"/>
        <n v="1.1184190110774435" u="1"/>
        <n v="1.1477992188655666" u="1"/>
        <n v="0.96833356196691978" u="1"/>
        <n v="0.97861663469276305" u="1"/>
        <n v="1.0043243165073708" u="1"/>
        <n v="0.96600685168726297" u="1"/>
        <n v="0.97555541921840305" u="1"/>
        <n v="0.99942683804625343" u="1"/>
        <n v="1.0614925269986637" u="1"/>
        <n v="1.0710410945298041" u="1"/>
        <n v="1.0949125133576538" u="1"/>
        <n v="0.98032970298397326" u="1"/>
        <n v="0.98987827051511323" u="1"/>
        <n v="1.0137496893429634" u="1"/>
        <n v="1.0758153782953741" u="1"/>
        <n v="1.0853639458265145" u="1"/>
        <n v="1.1092353646543642" u="1"/>
        <n v="1.1283324997166446" u="1"/>
        <n v="1.1617524860756345" u="1"/>
        <n v="0.9456615240918459" u="1"/>
        <n v="0.95565079473980774" u="1"/>
        <n v="0.98062397135971258" u="1"/>
        <n v="0.98561860668369361" u="1"/>
        <n v="0.99560787733165557" u="1"/>
        <n v="1.0205810539515601" u="1"/>
        <n v="0.9656400653877697" u="1"/>
        <n v="0.97562933603573165" u="1"/>
        <n v="1.0006025126556364" u="1"/>
        <n v="1.0305703245995221" u="1"/>
        <n v="1.055543501219427" u="1"/>
        <n v="0.89724046977731953" u="1"/>
        <n v="0.9218445846737775" u="1"/>
        <n v="0.99565692936315109" u="1"/>
        <n v="1.202331494493398" u="1"/>
        <n v="1.6255222707124743" u="1"/>
        <n v="0.99406443899250585" u="1"/>
        <n v="0.92350852127472205" u="1"/>
        <n v="1.0646203567102897" u="1"/>
        <n v="1.3253520689756875" u="1"/>
        <n v="1.3007479540792297" u="1"/>
        <n v="1.4483726434579776" u="1"/>
        <n v="1.7633053141326385" u="1"/>
        <n v="1.6894929694432645" u="1"/>
        <n v="1.6648888545468068" u="1"/>
        <n v="1.4237685285615191" u="1"/>
        <n v="1.5467891030438086" u="1"/>
        <n v="1.8197518859338924" u="1"/>
        <n v="1.6171297632571802" u="1"/>
        <n v="1.6460757807824251" u="1"/>
        <n v="1.6055513562470831" u="1"/>
        <n v="0.75154698617825577" u="1"/>
        <n v="0.92334098735203862" u="1"/>
        <n v="0.85891084134657802" u="1"/>
        <n v="1.0377003164567709" u="1"/>
        <n v="0.6571952739456941" u="1"/>
        <n v="0.79085748105712406" u="1"/>
        <n v="1.0627066852990028" u="1"/>
        <n v="1.0318514743796796" u="1"/>
        <n v="0.86549883250912707" u="1"/>
        <n v="0.74841854120530205" u="1"/>
        <n v="0.72886698828875751" u="1"/>
        <n v="0.66707897190850096" u="1"/>
        <n v="0.70686071997370203" u="1"/>
        <n v="0.86683195253371859" u="1"/>
        <n v="0.91535442461728922" u="1"/>
        <n v="0.74526951929893892" u="1"/>
        <n v="0.81741556403639781" u="1"/>
        <n v="0.77629964327315293" u="1"/>
        <n v="1.2291511011906997" u="1"/>
        <n v="1.2530333743800106" u="1"/>
        <n v="1.2769156475693217" u="1"/>
        <n v="1.3151272846722195" u="1"/>
        <n v="2.1192161431513141" u="1"/>
        <n v="2.1560931826348102" u="1"/>
        <n v="2.1929702221183045" u="1"/>
        <n v="2.2519734852918964" u="1"/>
        <n v="1.1128775076351176" u="1"/>
        <n v="1.1374622006241142" u="1"/>
        <n v="1.1620468936131112" u="1"/>
        <n v="1.2013824023955055" u="1"/>
        <n v="0.87686445494074994" u="1"/>
        <n v="1.1237885771664229" u="1"/>
        <n v="1.1487244800552623" u="1"/>
        <n v="1.1736603829441017" u="1"/>
        <n v="1.2135578275662446" u="1"/>
        <n v="1.1718807708087096" u="1"/>
        <n v="1.1817146480043086" u="1"/>
        <n v="1.2062993409933049" u="1"/>
        <n v="1.2456348497756995" u="1"/>
        <n v="1.1866315866021075" u="1"/>
        <n v="1.2259670953845019" u="1"/>
        <n v="1.1240690991577311" u="1"/>
        <n v="1.1479513723470427" u="1"/>
        <n v="1.1718336455363534" u="1"/>
        <n v="1.2100452826392509" u="1"/>
        <n v="1.1909394640878019" u="1"/>
        <n v="1.2148217372771131" u="1"/>
        <n v="1.2387040104664242" u="1"/>
        <n v="1.2112162795911043" u="1"/>
        <n v="1.2358009725801007" u="1"/>
        <n v="1.2603856655690973" u="1"/>
        <n v="1.299721174351492" u="1"/>
        <n v="1.1475294745386648" u="1"/>
        <n v="1.1703581180284475" u="1"/>
        <n v="1.1931867615182301" u="1"/>
        <n v="1.2297125911018822" u="1"/>
        <n v="1.3341397445360874" u="1"/>
        <n v="1.1851333883151554" u="1"/>
        <n v="1.1952482334306285" u="1"/>
        <n v="1.2205353462193105" u="1"/>
        <n v="1.260994726681202" u="1"/>
        <n v="1.1538534823786648" u="1"/>
        <n v="1.1030436304395188" u="1"/>
        <n v="1.2493825751359089" u="1"/>
        <n v="1.7101699637296741" u="1"/>
        <n v="1.1001868259684202" u="1"/>
        <n v="1.18616300944994" u="1"/>
        <n v="0.58301735231038021" u="1"/>
        <n v="1.3533389217751168" u="1"/>
        <n v="0.59700894766304691" u="1"/>
        <n v="0.58541548883009098" u="1"/>
        <n v="0.40756605345970459" u="1"/>
        <n v="1.2190773967896202" u="1"/>
        <n v="1.174734310372628" u="1"/>
        <n v="1.6529458456237371" u="1"/>
        <n v="2.0854428171780288" u="1"/>
        <n v="1.4847060430663177" u="1"/>
        <n v="1.4224382379129734" u="1"/>
        <n v="1.5166030250293561" u="1"/>
        <n v="0.62782850101956522" u="1"/>
        <n v="0.49043526897463763" u="1"/>
        <n v="1.3553163832173867" u="1"/>
        <n v="1.4571494474646232" u="1"/>
        <n v="1.6587776973888804" u="1"/>
        <n v="0.90311672593427406" u="1"/>
        <n v="0.9833836224824517" u="1"/>
        <n v="1.0099200299383952" u="1"/>
        <n v="1.035672245956589" u="1"/>
        <n v="1.2308205931907736" u="1"/>
        <n v="0.89381531823861804" u="1"/>
        <n v="1.0055015126043183" u="1"/>
        <n v="1.1682277659789044" u="1"/>
        <n v="0.8033039060871241" u="1"/>
        <n v="0.87455225530210645" u="1"/>
        <n v="0.76754767950539449" u="1"/>
        <n v="0.83887087407906458" u="1"/>
        <n v="0.89197075222305511" u="1"/>
        <n v="0.74554391473079329" u="1"/>
        <n v="0.82196261258841841" u="1"/>
        <n v="0.74200241688543978" u="1"/>
        <n v="0.78861744921348975" u="1"/>
        <n v="0.78856879003670333" u="1"/>
        <n v="0.84759570623034242" u="1"/>
        <n v="0.77272503592294772" u="1"/>
        <n v="0.82710555902305516" u="1"/>
        <n v="0.74287338338841846" u="1"/>
        <n v="0.85005101234681912" u="1"/>
        <n v="0.75840807308919156" u="1"/>
        <n v="0.76444584382829128" u="1"/>
        <n v="0.75613310294969194" u="1"/>
        <n v="0.86415211765679079" u="1"/>
        <n v="0.93031653984609575" u="1"/>
        <n v="0.72560402851981975" u="1"/>
        <n v="0.70302823148402749" u="1"/>
        <n v="0.67242934482017735" u="1"/>
        <n v="0.64671369680745106" u="1"/>
        <n v="0.79565178725938746" u="1"/>
        <n v="0.74700573709599982" u="1"/>
        <n v="0.76629756390018411" u="1"/>
        <n v="0.94867982663181627" u="1"/>
        <n v="0.83342586805677976" u="1"/>
        <n v="0.75357612462762602" u="1"/>
        <n v="1.0898204363209367" u="1"/>
        <n v="1.1966675073310677" u="1"/>
        <n v="8.8817624103783874" u="1"/>
        <n v="0.56853284558650141" u="1"/>
        <n v="0.49367806012750626" u="1"/>
        <n v="1.0454768598749555" u="1"/>
        <n v="1.0228418780904494" u="1"/>
        <n v="0.99749960251497716" u="1"/>
        <n v="1.0028236704294458" u="1"/>
        <n v="1.0140194195349883" u="1"/>
        <n v="1.0314823982566186" u="1"/>
        <n v="1.0452641488935992" u="1"/>
        <n v="1.0691464220829103" u="1"/>
        <n v="0.96163048337009638" u="1"/>
        <n v="0.97118339264582088" u="1"/>
        <n v="0.98660798311261966" u="1"/>
        <n v="1.0099426430253244" u="1"/>
        <n v="0.9687494559659755" u="1"/>
        <n v="0.97994520507151817" u="1"/>
        <n v="0.97675094413371011" u="1"/>
        <n v="1.0006332173230212" u="1"/>
        <n v="0.9665590028595511" u="1"/>
        <n v="0.96406442004994186" u="1"/>
        <n v="0.97948901051674064" u="1"/>
        <n v="1.0088474164721122" u="1"/>
        <n v="0.96269376135508933" u="1"/>
        <n v="1.0215139755428204" u="1"/>
        <n v="0.96594749289679782" u="1"/>
        <n v="0.97963808923970419" u="1"/>
        <n v="0.87791990656218999" u="1"/>
        <n v="0.91086628528513336" u="1"/>
        <n v="0.92110734468295208" u="1"/>
        <n v="0.95978502640813423" u="1"/>
        <n v="0.88907037563824276" u="1"/>
        <n v="0.89478999197772491" u="1"/>
        <n v="0.92390491435967537" u="1"/>
        <n v="0.98009637086874479" u="1"/>
        <n v="0.95496680627462938" u="1"/>
        <n v="0.96068642261411108" u="1"/>
        <n v="0.94653989614418166" u="1"/>
        <n v="0.98137443486561426" u="1"/>
        <n v="0.99536857649742805" u="1"/>
        <n v="1.0008358568219329" u="1"/>
        <n v="1.0155799506504903" u="1"/>
        <n v="1.0331740554668327" u="1"/>
        <n v="1.08360039781771" u="1"/>
        <n v="1.0733640621218929" u="1"/>
        <n v="1.0881081559504509" u="1"/>
        <n v="1.104655353032105" u="1"/>
        <n v="1.2377921577578164" u="1"/>
        <n v="1.1904632014195113" u="1"/>
        <n v="1.2761672557507155" u="1"/>
        <n v="1.2351598203144496" u="1"/>
        <n v="1.2245668348329457" u="1"/>
        <n v="1.2295419423167766" u="1"/>
        <n v="1.2446438181666262" u="1"/>
        <n v="1.2749606801850957" u="1"/>
        <n v="1.2898860026365877" u="1"/>
        <n v="1.3147615400557413" u="1"/>
        <n v="1.0160551163772331" u="1"/>
        <n v="1.0156588318290707" u="1"/>
        <n v="1.0371993231835137" u="1"/>
        <n v="1.0451106509692603" u="1"/>
        <n v="1.2088174418662399" u="1"/>
        <n v="1.2216501957337309" u="1"/>
        <n v="1.2493531652873235" u="1"/>
        <n v="1.3070399391245999" u="1"/>
        <n v="1.3182305998239154" u="1"/>
        <n v="1.3437441118199407" u="1"/>
        <n v="1.1863755019011772" u="1"/>
        <n v="1.1975661626004928" u="1"/>
        <n v="1.2214375814283429" u="1"/>
        <n v="1.1116896733866641" u="1"/>
        <n v="1.0840174624391625" u="1"/>
        <n v="1.1314255500108599" u="1"/>
        <n v="1.1045739363245708" u="1"/>
        <n v="1.1157645970238863" u="1"/>
        <n v="1.141278109019912" u="1"/>
        <n v="1.1036744828013338" u="1"/>
        <n v="1.1183128101760873" u="1"/>
        <n v="1.1303642909291962" u="1"/>
        <n v="1.156071972743804" u="1"/>
        <n v="1.128923258339682" u="1"/>
        <n v="1.0991224157808341" u="1"/>
        <n v="1.149587809977163" u="1"/>
        <n v="1.0362554715226184" u="1"/>
        <n v="1.1384687516387362" u="1"/>
        <n v="1.1542629102448789" u="1"/>
        <n v="1.1681484953179115" u="1"/>
        <n v="1.1769063255481802" u="1"/>
        <n v="0.99616015768389421" u="1"/>
        <n v="1.009980046464269" u="1"/>
        <n v="1.0297930348546576" u="1"/>
        <n v="1.0429922640074403" u="1"/>
        <n v="1.1452055441235582" u="1"/>
        <n v="1.160999702729701" u="1"/>
        <n v="1.1418371478811473" u="1"/>
        <n v="0.98965637586688637" u="1"/>
        <n v="1.0024891297343772" u="1"/>
        <n v="1.0115817100486493" u="1"/>
        <n v="0.98473009636236042" u="1"/>
        <n v="0.99592075706167582" u="1"/>
        <n v="1.0214342690577014" u="1"/>
        <n v="1.0665316619389664" u="1"/>
        <n v="1.0777223226382819" u="1"/>
        <n v="1.1015937414661323" u="1"/>
        <n v="1.0045265915529884" u="1"/>
        <n v="1.0031278712962928" u="1"/>
        <n v="1.0269992901241429" u="1"/>
        <n v="1.0846860639614193" u="1"/>
        <n v="1.0975188178289104" u="1"/>
        <n v="1.1109903132583163" u="1"/>
        <n v="1.1306348127099886" u="1"/>
        <n v="1.1418254734093038" u="1"/>
        <n v="1.1673389854053293" u="1"/>
        <n v="0.98013722991263497" u="1"/>
        <n v="0.99184438264422659" u="1"/>
        <n v="1.0168175592641313" u="1"/>
        <n v="1.0258205861165814" u="1"/>
        <n v="1.0226394274567163" u="1"/>
        <n v="1.0476126040766212" u="1"/>
        <n v="1.0018336532921885" u="1"/>
        <n v="1.0152586881074095" u="1"/>
        <n v="1.0299245722255368" u="1"/>
        <n v="1.0504757408826704" u="1"/>
        <n v="1.0621828936142619" u="1"/>
        <n v="1.0888739523177962" u="1"/>
        <n v="0.90187010823828118" u="1"/>
        <n v="0.92647422313473904" u="1"/>
        <n v="0.97715580742056141" u="1"/>
        <n v="0.90074177846249814" u="1"/>
        <n v="0.9236533986952814" u="1"/>
        <n v="0.99182409450574027" u="1"/>
        <n v="1.170854580129304" u="1"/>
        <n v="1.5534254844201927" u="1"/>
        <n v="0.99040069979056911" u="1"/>
        <n v="0.93063028728247565" u="1"/>
        <n v="1.051788938080116" u="1"/>
        <n v="1.2887976706205702" u="1"/>
        <n v="1.2698352046030272" u="1"/>
        <n v="1.4078690908876195" u="1"/>
        <n v="1.3000809683783998" u="1"/>
        <n v="1.2811185023608571" u="1"/>
        <n v="1.3994066175692474" u="1"/>
        <n v="1.6810535598583103" u="1"/>
        <n v="1.6230378320298984" u="1"/>
        <n v="1.602382871348681" u="1"/>
        <n v="1.3917274493095337" u="1"/>
        <n v="1.5029005611461019" u="1"/>
        <n v="1.3079792768088809" u="1"/>
        <n v="1.289016810791338" u="1"/>
        <n v="1.2803351973021979" u="1"/>
        <n v="1.2596802366209803" u="1"/>
        <n v="1.7415693713299321" u="1"/>
        <n v="1.5628412909639184" u="1"/>
        <n v="1.5897961382966046" u="1"/>
        <n v="1.5572363945314958" u="1"/>
        <n v="0.83317810164058614" u="1"/>
        <n v="0.98260873275725258" u="1"/>
        <n v="0.88371743583226492" u="1"/>
        <n v="0.9966870156248695" u="1"/>
        <n v="0.90571741109895632" u="1"/>
        <n v="1.0259813277852052" u="1"/>
        <n v="0.90637666603686595" u="1"/>
        <n v="1.0611105778032484" u="1"/>
        <n v="0.87751634015344226" u="1"/>
        <n v="1.071469103003972" u="1"/>
        <n v="0.91595363727063872" u="1"/>
        <n v="1.1427537014514819" u="1"/>
        <n v="0.66743315165354133" u="1"/>
        <n v="0.78369581407854139" u="1"/>
        <n v="1.0438123028077715" u="1"/>
        <n v="1.0084214009894013" u="1"/>
        <n v="0.86033168172699459" u="1"/>
        <n v="0.74865447233492255" u="1"/>
        <n v="0.75401142265870535" u="1"/>
        <n v="0.66233040459076142" u="1"/>
        <n v="0.77101784239203885" u="1"/>
        <n v="1.035981669906578" u="1"/>
        <n v="1.0347011887147108" u="1"/>
        <n v="0.677903322168256" u="1"/>
        <n v="0.73486983133203876" u="1"/>
        <n v="0.85299725921576142" u="1"/>
        <n v="0.76901923053967447" u="1"/>
        <n v="1.0592556792834376" u="1"/>
        <n v="0.84886302462059149" u="1"/>
        <n v="0.91085196759358844" u="1"/>
        <n v="0.74312504195392481" u="1"/>
        <n v="0.76290794992425526" u="1"/>
        <n v="0.80034088152175176" u="1"/>
        <n v="0.81453409747434835" u="1"/>
        <n v="0.70969696310740848" u="1"/>
        <n v="1.1457392417758148" u="1"/>
        <n v="1.1923246802867684" u="1"/>
        <n v="1.214807899288032" u="1"/>
        <n v="1.3086688321042195" u="1"/>
        <n v="1.1705109673829965" u="1"/>
        <n v="1.1916551741892769" u="1"/>
        <n v="1.2094518505081007" u="1"/>
        <n v="1.2968430691974613" u="1"/>
        <n v="1.2207239246948511" u="1"/>
        <n v="2.1791603318721577" u="1"/>
        <n v="1.192714198070816" u="1"/>
        <n v="1.226544928960865" u="1"/>
        <n v="2.0500529798763929" u="1"/>
        <n v="2.0843932813873742" u="1"/>
        <n v="2.1195791622225268" u="1"/>
        <n v="2.1760456874236058" u="1"/>
        <n v="1.1011556246347962" u="1"/>
        <n v="1.1240491589754507" u="1"/>
        <n v="1.1475064128655523" u="1"/>
        <n v="1.185150762999605" u="1"/>
        <n v="0.89220111031390525" u="1"/>
        <n v="1.1022830637336909" u="1"/>
        <n v="1.1257403176237928" u="1"/>
        <n v="1.1503250106127894" u="1"/>
        <n v="1.1688028960656294" u="1"/>
        <n v="0.88261787797329894" u="1"/>
        <n v="1.0932635509425321" u="1"/>
        <n v="1.1178482439315289" u="1"/>
        <n v="1.1277762286348922" u="1"/>
        <n v="1.1637294201206025" u="1"/>
        <n v="0.87810812157771956" u="1"/>
        <n v="1.1010355576631743" u="1"/>
        <n v="1.1191101883215961" u="1"/>
        <n v="1.1423307731528314" u="1"/>
        <n v="1.1793693543456343" u="1"/>
        <n v="1.1027508757207785" u="1"/>
        <n v="1.1225408244368049" u="1"/>
        <n v="1.1457614092680402" u="1"/>
        <n v="1.1827999904608428" u="1"/>
        <n v="1.1471933381710973" u="1"/>
        <n v="1.1671741672567497" u="1"/>
        <n v="1.1900677015974039" u="1"/>
        <n v="1.2265846126325615" u="1"/>
        <n v="1.1641049246545203" u="1"/>
        <n v="1.1761936800479085" u="1"/>
        <n v="1.1990872143885631" u="1"/>
        <n v="1.2356041254237204" u="1"/>
        <n v="1.1426519041072158" u="1"/>
        <n v="1.166672877546765" u="1"/>
        <n v="1.1884389727885243" u="1"/>
        <n v="1.2091717364391539" u="1"/>
        <n v="1.1274314762721351" u="1"/>
        <n v="1.1497612910633419" u="1"/>
        <n v="1.1720911058545489" u="1"/>
        <n v="1.208044297340259" u="1"/>
        <n v="1.1319412326677145" u="1"/>
        <n v="1.1553984865578164" u="1"/>
        <n v="1.179983179546813" u="1"/>
        <n v="1.2012796627468896" u="1"/>
        <n v="1.1088488341640337" u="1"/>
        <n v="1.1316358808001326" u="1"/>
        <n v="1.1555181539894435" u="1"/>
        <n v="1.2090629628373113" u="1"/>
        <n v="1.1932428239454991" u="1"/>
        <n v="1.2171250971348098" u="1"/>
        <n v="1.2453882765369697" u="1"/>
        <n v="1.2803142339802307" u="1"/>
        <n v="1.2293715327114969" u="1"/>
        <n v="1.2359172001181755" u="1"/>
        <n v="1.2588107344588297" u="1"/>
        <n v="1.2964550845928822" u="1"/>
        <n v="1.1371683227628533" u="1"/>
        <n v="1.158426604650604" u="1"/>
        <n v="1.1812552481403866" u="1"/>
        <n v="1.2099292697138779" u="1"/>
        <n v="1.3128346291951598" u="1"/>
        <n v="1.3156532269423971" u="1"/>
        <n v="1.1765555493057005" u="1"/>
        <n v="1.1837712653097294" u="1"/>
        <n v="1.2073189006315455" u="1"/>
        <n v="1.2460388036265706" u="1"/>
        <n v="1.1610730739009465" u="1"/>
        <n v="1.0997775406809089" u="1"/>
        <n v="1.2501596575216483" u="1"/>
        <n v="1.6233289218584419" u="1"/>
        <n v="1.0772999751022374" u="1"/>
        <n v="1.0995394084617303" u="1"/>
        <n v="1.1234216816510416" u="1"/>
        <n v="1.1430144673493325" u="1"/>
        <n v="0.60727638517647697" u="1"/>
        <n v="1.3107379929511158" u="1"/>
        <n v="0.62492543343678686" u="1"/>
        <n v="0.59404600802544905" u="1"/>
        <n v="0.41373461257283872" u="1"/>
        <n v="0.4123539397118241" u="1"/>
        <n v="1.2427492255698807" u="1"/>
        <n v="1.1975334348318942" u="1"/>
        <n v="1.685099962664619" u="1"/>
        <n v="2.1261087904380012" u="1"/>
        <n v="1.5135490779404261" u="1"/>
        <n v="1.4500557969123289" u="1"/>
        <n v="1.5460738158003822" u="1"/>
        <n v="0.63990182620986436" u="1"/>
        <n v="0.49826163726171607" u="1"/>
        <n v="1.3790687898283294" u="1"/>
        <n v="1.4814981488022008" u="1"/>
        <n v="1.6874992267217783" u="1"/>
        <n v="0.91833466427026" u="1"/>
        <n v="0.99894939940897454" u="1"/>
        <n v="1.0264423629888944" u="1"/>
        <n v="1.0534989737216012" u="1"/>
        <n v="1.2512561103848117" u="1"/>
        <n v="0.90938109516514065" u="1"/>
        <n v="1.0219368860071829" u="1"/>
        <n v="1.1886632831729427" u="1"/>
        <n v="0.81261224529570897" u="1"/>
        <n v="0.89037475579582326" u="1"/>
        <n v="0.77656026892704444" u="1"/>
        <n v="0.85495129522742808" u="1"/>
        <n v="0.90827679450450993" u="1"/>
        <n v="0.75412345399404068" u="1"/>
        <n v="0.83693675951797342" u="1"/>
        <n v="0.74975687032991423" u="1"/>
        <n v="0.80372778024443425" u="1"/>
        <n v="0.79682396155712221" u="1"/>
        <n v="0.86386677242661269" u="1"/>
        <n v="0.7818395194995158" u="1"/>
        <n v="0.84213500693632803" u="1"/>
        <n v="0.75062685735888268" u="1"/>
        <n v="0.86532718772591011" u="1"/>
        <n v="0.77198528534613875" u="1"/>
        <n v="0.7790804600146114" u="1"/>
        <n v="0.7640222592739554" u="1"/>
        <n v="0.87316829631309179" u="1"/>
        <n v="0.94818405581901022" u="1"/>
        <n v="0.73318215366308903" u="1"/>
        <n v="0.71571472224645871" u="1"/>
        <n v="0.68522145248001975" u="1"/>
        <n v="0.65496677911237511" u="1"/>
        <n v="0.80544118976134071" u="1"/>
        <n v="0.75368966006190885" u="1"/>
        <n v="0.78112452010668643" u="1"/>
        <n v="0.96018193908303517" u="1"/>
        <n v="0.84355577335273857" u="1"/>
        <n v="0.7628081598985359" u="1"/>
        <n v="1.1020605047239243" u="1"/>
        <n v="1.2105140141843449" u="1"/>
        <n v="9.0563304180255599" u="1"/>
        <n v="0.57304731513195584" u="1"/>
        <n v="0.49744011808205163" u="1"/>
        <n v="1.0657368398427396" u="1"/>
        <n v="1.0426563850881474" u="1"/>
        <n v="1.016815355023857" u="1"/>
        <n v="1.0222442044826348" u="1"/>
        <n v="1.0336602941059594" u="1"/>
        <n v="1.0514669570006869" u="1"/>
        <n v="1.0655199425539437" u="1"/>
        <n v="1.089872236318987" u="1"/>
        <n v="0.98024030542177687" u="1"/>
        <n v="0.98998122292779445" u="1"/>
        <n v="1.0057093805983583" u="1"/>
        <n v="1.0295032836576328" u="1"/>
        <n v="0.98749938459677489" u="1"/>
        <n v="0.99891547422009941" u="1"/>
        <n v="0.99565834789451502" u="1"/>
        <n v="1.0200106416595587" u="1"/>
        <n v="0.98526582177369848" u="1"/>
        <n v="0.98272214375279632" u="1"/>
        <n v="0.99845030142336033" u="1"/>
        <n v="1.0283865022460945" u="1"/>
        <n v="0.98130593490188534" u="1"/>
        <n v="1.0412837738566585" u="1"/>
        <n v="0.98462370225628126" u="1"/>
        <n v="0.9985837395323941" u="1"/>
        <n v="0.89487295603893768" u="1"/>
        <n v="0.92846774355332684" u="1"/>
        <n v="0.93891035447834359" u="1"/>
        <n v="0.97834924122318057" u="1"/>
        <n v="0.9062521617847572" u="1"/>
        <n v="0.91208434435039087" u="1"/>
        <n v="0.94177226966518168" u="1"/>
        <n v="0.99906961507060033" u="1"/>
        <n v="0.97344548229510575" u="1"/>
        <n v="0.97927766486073964" u="1"/>
        <n v="0.96485272441977388" u="1"/>
        <n v="1.0003728323001986" u="1"/>
        <n v="1.0146563198022038" u="1"/>
        <n v="1.0202312001958247" u="1"/>
        <n v="1.0352654685573934" u="1"/>
        <n v="1.0532058382041276" u="1"/>
        <n v="1.1046246077949056" u="1"/>
        <n v="1.0941868135377957" u="1"/>
        <n v="1.1092210818993644" u="1"/>
        <n v="1.1260939399027166" u="1"/>
        <n v="1.2576001090218834" u="1"/>
        <n v="1.2102711526835783" u="1"/>
        <n v="1.2970228841206923" u="1"/>
        <n v="1.2554279661951315" u="1"/>
        <n v="1.2449328944618434" u="1"/>
        <n v="1.2500059156938901" u="1"/>
        <n v="1.2653036190401712" u="1"/>
        <n v="1.296012136051504" u="1"/>
        <n v="1.311231199747644" u="1"/>
        <n v="1.3365963059078769" u="1"/>
        <n v="1.0326172268879448" u="1"/>
        <n v="1.0323873957117495" u="1"/>
        <n v="1.0541775671241429" u="1"/>
        <n v="1.0625050283398065" u="1"/>
        <n v="1.2322922272773804" u="1"/>
        <n v="1.2453775391117454" u="1"/>
        <n v="1.2736257233354769" u="1"/>
        <n v="1.3324478150060353" u="1"/>
        <n v="1.3438587160795825" u="1"/>
        <n v="1.3698743526222232" u="1"/>
        <n v="1.2094086135462012" u="1"/>
        <n v="1.2208195146197485" u="1"/>
        <n v="1.2451607404015712" u="1"/>
        <n v="1.1332529133892704" u="1"/>
        <n v="1.1050360931234591" u="1"/>
        <n v="1.1533772064770065" u="1"/>
        <n v="1.1259971334257262" u="1"/>
        <n v="1.1374080344992734" u="1"/>
        <n v="1.1634236710419144" u="1"/>
        <n v="1.1250556991888008" u="1"/>
        <n v="1.1399821195355211" u="1"/>
        <n v="1.1522707822301106" u="1"/>
        <n v="1.1784844099951506" u="1"/>
        <n v="1.1508013890669606" u="1"/>
        <n v="1.1204140441653172" u="1"/>
        <n v="1.1718726341703822" u="1"/>
        <n v="1.0562612749141596" u="1"/>
        <n v="1.1604861870213714" u="1"/>
        <n v="1.1765911862021285" u="1"/>
        <n v="1.1907500497289616" u="1"/>
        <n v="1.199680240453324" u="1"/>
        <n v="1.0154254136437" u="1"/>
        <n v="1.0295172879268626" u="1"/>
        <n v="1.0497202103966585" u="1"/>
        <n v="1.0631306523944384" u="1"/>
        <n v="1.1673555645016502" u="1"/>
        <n v="1.1834605636824076" u="1"/>
        <n v="1.1639208757615109" u="1"/>
        <n v="1.0088179114628777" u="1"/>
        <n v="1.0219032232972429" u="1"/>
        <n v="1.0311747522317039" u="1"/>
        <n v="1.0037946791804238" u="1"/>
        <n v="1.0152055802539708" u="1"/>
        <n v="1.0412212167966119" u="1"/>
        <n v="1.087206159300899" u="1"/>
        <n v="1.0986170603744461" u="1"/>
        <n v="1.122958286156269" u="1"/>
        <n v="1.0239807838522441" u="1"/>
        <n v="1.02255453575952" u="1"/>
        <n v="1.046895761541343" u="1"/>
        <n v="1.1057178532119014" u="1"/>
        <n v="1.1188031650462664" u="1"/>
        <n v="1.1325397893429088" u="1"/>
        <n v="1.1525709068886398" u="1"/>
        <n v="1.1639818079621869" u="1"/>
        <n v="1.1899974445048276" u="1"/>
        <n v="0.99909685447822461" u="1"/>
        <n v="1.0110344125243969" u="1"/>
        <n v="1.0364990794961502" u="1"/>
        <n v="1.0456792924912666" u="1"/>
        <n v="1.0424355263060225" u="1"/>
        <n v="1.0679001932777756" u="1"/>
        <n v="1.021220279313098" u="1"/>
        <n v="1.0349095286167418" u="1"/>
        <n v="1.0498640480436678" u="1"/>
        <n v="1.0708196787068944" u="1"/>
        <n v="1.0827572367530667" u="1"/>
        <n v="1.1099735949822911" u="1"/>
        <n v="0.91929425837924883" u="1"/>
        <n v="0.94438260022334064" u="1"/>
        <n v="0.9960616350967274" u="1"/>
        <n v="0.91814372224954688" u="1"/>
        <n v="0.94150625989908587" u="1"/>
        <n v="1.011018604782852" u="1"/>
        <n v="1.1935725410955269" u="1"/>
        <n v="1.5836727201446383" u="1"/>
        <n v="1.0095815486271191" u="1"/>
        <n v="0.94863481075518286" u="1"/>
        <n v="1.0721779522732606" u="1"/>
        <n v="1.3138368377323273" u="1"/>
        <n v="1.2945011765367453" u="1"/>
        <n v="1.4352516704988298" u="1"/>
        <n v="1.3253421990293464" u="1"/>
        <n v="1.306006537833764" u="1"/>
        <n v="1.4266226495260657" u="1"/>
        <n v="1.7138126093042354" u="1"/>
        <n v="1.6546550895877861" u="1"/>
        <n v="1.633593624197651" u="1"/>
        <n v="1.4187923496275023" u="1"/>
        <n v="1.5321534294860912" u="1"/>
        <n v="1.3333959519372596" u="1"/>
        <n v="1.314060290741677" u="1"/>
        <n v="1.3052078167595635" u="1"/>
        <n v="1.2841463513694282" u="1"/>
        <n v="1.7754620081082984" u="1"/>
        <n v="1.5932164286094648" u="1"/>
        <n v="1.6207017670206871" u="1"/>
        <n v="1.5875012237224317" u="1"/>
        <n v="0.83999578666710117" u="1"/>
        <n v="0.9980279902239193" u="1"/>
        <n v="0.89053512085878006" u="1"/>
        <n v="1.0121062730915362" u="1"/>
        <n v="0.91253509612547146" u="1"/>
        <n v="1.041400585251872" u="1"/>
        <n v="0.91319435106338109" u="1"/>
        <n v="1.0765298352699149" u="1"/>
        <n v="0.88530798018374535" u="1"/>
        <n v="1.0887907363918505" u="1"/>
        <n v="0.9237452773009418" u="1"/>
        <n v="1.1600753348393607" u="1"/>
        <n v="0.67338347331831405" u="1"/>
        <n v="0.79687477358535941" u="1"/>
        <n v="1.0535100522017111" u="1"/>
        <n v="1.0256429093287951" u="1"/>
        <n v="0.87474968870881264" u="1"/>
        <n v="0.7564632125718096" u="1"/>
        <n v="0.76840912518345661" u="1"/>
        <n v="0.66922816222658299" u="1"/>
        <n v="0.78011386988800224" u="1"/>
        <n v="1.0468454943418084" u="1"/>
        <n v="1.0545599575343401" u="1"/>
        <n v="0.68495129068544602" u="1"/>
        <n v="0.7488908133618658" u="1"/>
        <n v="0.86858798352771938" u="1"/>
        <n v="0.7780759238949525" u="1"/>
        <n v="1.0715457358539719" u="1"/>
        <n v="0.8577561821359917" u="1"/>
        <n v="0.92834902922451212" u="1"/>
        <n v="0.75088122195417362" u="1"/>
        <n v="0.77187642723951233" u="1"/>
        <n v="0.81488949699524627" u="1"/>
        <n v="0.82428904882841403" u="1"/>
        <n v="0.71831357759435088" u="1"/>
        <n v="1.1674763414442688" u="1"/>
        <n v="1.2147514774127151" u="1"/>
        <n v="1.2376652279506106" u="1"/>
        <n v="1.3341086222741028" u="1"/>
        <n v="1.1925144320256684" u="1"/>
        <n v="1.2140747722618663" u="1"/>
        <n v="1.2322515867438213" u="1"/>
        <n v="1.3208845431896292" u="1"/>
        <n v="1.2432673183393166" u="1"/>
        <n v="2.2217320304097159" u="1"/>
        <n v="1.2153339579726052" u="1"/>
        <n v="1.2498305023505223" u="1"/>
        <n v="2.0899119364730745" u="1"/>
        <n v="2.1249280801938433" u="1"/>
        <n v="2.1608064448573443" u="1"/>
        <n v="2.2183842725074916" u="1"/>
        <n v="1.1225021160548962" u="1"/>
        <n v="1.1458462118687422" u="1"/>
        <n v="1.1697651216444094" u="1"/>
        <n v="1.2081503400778408" u="1"/>
        <n v="0.90943522430893942" u="1"/>
        <n v="1.1236517439785383" u="1"/>
        <n v="1.1475706537542054" u="1"/>
        <n v="1.172639191453515" u="1"/>
        <n v="1.1914807351850289" u="1"/>
        <n v="0.89966338695798065" u="1"/>
        <n v="1.1144547205894006" u="1"/>
        <n v="1.13952325828871" u="1"/>
        <n v="1.1496466329806709" u="1"/>
        <n v="1.1863074095286392" u="1"/>
        <n v="0.89506487526341183" u="1"/>
        <n v="1.1223750424295824" u="1"/>
        <n v="1.1408053950178594" u="1"/>
        <n v="1.1644829779147603" u="1"/>
        <n v="1.2022505054318327" u="1"/>
        <n v="1.1241241191991238" u="1"/>
        <n v="1.1443035485569424" u="1"/>
        <n v="1.1679811314538431" u="1"/>
        <n v="1.205748658970915" u="1"/>
        <n v="1.1694458854113532" u="1"/>
        <n v="1.189819951803857" u="1"/>
        <n v="1.2131640476177028" u="1"/>
        <n v="1.2503996381274922" u="1"/>
        <n v="1.1866903042659864" u="1"/>
        <n v="1.1990169751929944" u="1"/>
        <n v="1.2223610710068404" u="1"/>
        <n v="1.2595966615166299" u="1"/>
        <n v="1.1648150726088384" u="1"/>
        <n v="1.1893087963463269" u="1"/>
        <n v="1.2115032642365307" u="1"/>
        <n v="1.2326440638153293" u="1"/>
        <n v="1.1492950956396688" u="1"/>
        <n v="1.1720643774916937" u="1"/>
        <n v="1.1948336593437188" u="1"/>
        <n v="1.2314944358916871" u="1"/>
        <n v="1.1538936073342374" u="1"/>
        <n v="1.177812517109905" u="1"/>
        <n v="1.2028810548092139" u="1"/>
        <n v="1.2245966683498337" u="1"/>
        <n v="1.1303560208614507" u="1"/>
        <n v="1.1535915332149562" u="1"/>
        <n v="1.1779438269799993" u="1"/>
        <n v="1.2325424367656028" u="1"/>
        <n v="1.2164109459881824" u="1"/>
        <n v="1.240763239753226" u="1"/>
        <n v="1.2695826591644221" u="1"/>
        <n v="1.3051959849538772" u="1"/>
        <n v="1.2532414068286521" u="1"/>
        <n v="1.2599158977496858" u="1"/>
        <n v="1.2832599935635323" u="1"/>
        <n v="1.3216452119969639" u="1"/>
        <n v="1.1592467886194593" u="1"/>
        <n v="1.1809234490180309" u="1"/>
        <n v="1.2042013768816753" u="1"/>
        <n v="1.233439724138141" u="1"/>
        <n v="1.3383471179977215" u="1"/>
        <n v="1.3412211878068274" u="1"/>
        <n v="1.1993766790059954" u="1"/>
        <n v="1.20673440557006" u="1"/>
        <n v="1.2307454755500156" u="1"/>
        <n v="1.2702274145101171" u="1"/>
        <n v="1.1835523479955108" u="1"/>
        <n v="1.121096910402489" u="1"/>
        <n v="1.2743922206348719" u="1"/>
        <n v="1.6549057285903044" u="1"/>
        <n v="1.0981862572156407" u="1"/>
        <n v="1.1208633788633766" u="1"/>
        <n v="1.1452156726284199" u="1"/>
        <n v="1.1651940586563412" u="1"/>
        <n v="0.61894940900258566" u="1"/>
        <n v="1.3362185057174134" u="1"/>
        <n v="0.63751902920920467" u="1"/>
        <n v="0.60601357406915091" u="1"/>
        <n v="0.42216127041428225" u="1"/>
        <n v="0.42075083415466563" u="1"/>
        <n v="1.2428149933475228" u="1"/>
        <n v="1.1975992026095366" u="1"/>
        <n v="1.6851773365206688" u="1"/>
        <n v="2.1261861642940509" u="1"/>
        <n v="1.5136264517964759" u="1"/>
        <n v="1.4501331707683787" u="1"/>
        <n v="1.5461511896564319" u="1"/>
        <n v="0.63995985660190158" u="1"/>
        <n v="0.49830999592174707" u="1"/>
        <n v="1.3791461636843794" u="1"/>
        <n v="1.4815755226582505" u="1"/>
        <n v="1.6875766005778279" u="1"/>
        <n v="0.9184023663943035" u="1"/>
        <n v="0.99901710153301815" u="1"/>
        <n v="1.026510065112938" u="1"/>
        <n v="1.0535666758456448" u="1"/>
        <n v="1.2513238125088553" u="1"/>
        <n v="0.90944879728918426" u="1"/>
        <n v="1.0220045881312265" u="1"/>
        <n v="1.1887309852969863" u="1"/>
        <n v="0.81316727977570902" u="1"/>
        <n v="0.8909297902758232" u="1"/>
        <n v="0.7771409203830445" u="1"/>
        <n v="0.85553194668342802" u="1"/>
        <n v="0.90885744596050988" u="1"/>
        <n v="0.75470410545004085" u="1"/>
        <n v="0.83751741097397348" u="1"/>
        <n v="0.75031190480991417" u="1"/>
        <n v="0.80428281472443408" u="1"/>
        <n v="0.79737899603712226" u="1"/>
        <n v="0.86442180690661263" u="1"/>
        <n v="0.78242017095551575" u="1"/>
        <n v="0.84271565839232809" u="1"/>
        <n v="0.75120750881488263" u="1"/>
        <n v="0.86590783918191006" u="1"/>
        <n v="0.7725403198261388" u="1"/>
        <n v="0.77963549449461156" u="1"/>
        <n v="0.76461998871395542" u="1"/>
        <n v="0.87385141567309188" u="1"/>
        <n v="0.94878178525901025" u="1"/>
        <n v="0.73373718814308908" u="1"/>
        <n v="0.71626975672645865" u="1"/>
        <n v="0.68581918192001978" u="1"/>
        <n v="0.65556450855237525" u="1"/>
        <n v="0.80599622424134076" u="1"/>
        <n v="0.7542446945419089" u="1"/>
        <n v="0.78146863194929972" u="1"/>
        <n v="0.96086505844303538" u="1"/>
        <n v="0.8441535027927386" u="1"/>
        <n v="0.76336319437853595" u="1"/>
        <n v="1.1026155392039243" u="1"/>
        <n v="1.211111743624345" u="1"/>
        <n v="9.0569326137501331" u="1"/>
        <n v="0.5735596546519558" u="1"/>
        <n v="0.49786706768205158" u="1"/>
        <n v="1.0658016356827813" u="1"/>
        <n v="1.0427211809281891" u="1"/>
        <n v="1.0168801508638987" u="1"/>
        <n v="1.0223090003226767" u="1"/>
        <n v="1.0337250899460011" u="1"/>
        <n v="1.0515317528407286" u="1"/>
        <n v="1.0655847383939856" u="1"/>
        <n v="1.0899370321590287" u="1"/>
        <n v="0.98030510126181858" u="1"/>
        <n v="0.99004601876783604" u="1"/>
        <n v="1.0057741764383998" u="1"/>
        <n v="1.0295680794976745" u="1"/>
        <n v="0.98756418043681649" u="1"/>
        <n v="0.99898027006014101" u="1"/>
        <n v="0.99572314373455673" u="1"/>
        <n v="1.0200754374996002" u="1"/>
        <n v="0.98533061761374019" u="1"/>
        <n v="0.98278693959283803" u="1"/>
        <n v="0.99851509726340226" u="1"/>
        <n v="1.0284512980861362" u="1"/>
        <n v="0.98137454226192933" u="1"/>
        <n v="1.0413523812167025" u="1"/>
        <n v="0.98469230961632559" u="1"/>
        <n v="0.99865234689243831" u="1"/>
        <n v="0.89493965763898076" u="1"/>
        <n v="0.92853444515336969" u="1"/>
        <n v="0.93897705607838644" u="1"/>
        <n v="0.97841594282322331" u="1"/>
        <n v="0.9063169576247988" u="1"/>
        <n v="0.91214914019043258" u="1"/>
        <n v="0.9418370655052235" u="1"/>
        <n v="0.99913441091064181" u="1"/>
        <n v="0.97351027813514768" u="1"/>
        <n v="0.97934246070078124" u="1"/>
        <n v="0.96491752025981581" u="1"/>
        <n v="1.0004376281402405" u="1"/>
        <n v="1.0147182570022439" u="1"/>
        <n v="1.0202931373958646" u="1"/>
        <n v="1.0353274057574331" u="1"/>
        <n v="1.0532677754041671" u="1"/>
        <n v="1.1046865449949455" u="1"/>
        <n v="1.0942487507378353" u="1"/>
        <n v="1.1092830190994039" u="1"/>
        <n v="1.1261558771027564" u="1"/>
        <n v="1.2576649048619253" u="1"/>
        <n v="1.2103359485236203" u="1"/>
        <n v="1.2970991145207413" u="1"/>
        <n v="1.2555041965951805" u="1"/>
        <n v="1.2450091248618924" u="1"/>
        <n v="1.2500821460939393" u="1"/>
        <n v="1.2653798494402202" u="1"/>
        <n v="1.2960883664515535" u="1"/>
        <n v="1.3113074301476932" u="1"/>
        <n v="1.3366725363079259" u="1"/>
        <n v="1.0326820227279865" u="1"/>
        <n v="1.0324521915517912" u="1"/>
        <n v="1.0542423629641844" u="1"/>
        <n v="1.0625698241798485" u="1"/>
        <n v="1.2323569936680703" u="1"/>
        <n v="1.2454423055024348" u="1"/>
        <n v="1.2736904897261663" u="1"/>
        <n v="1.3325125813967249" u="1"/>
        <n v="1.3439234824702719" u="1"/>
        <n v="1.3699391190129129" u="1"/>
        <n v="1.2094733799368913" u="1"/>
        <n v="1.2208842810104381" u="1"/>
        <n v="1.2452255067922611" u="1"/>
        <n v="1.1333176797799605" u="1"/>
        <n v="1.1051008595141489" u="1"/>
        <n v="1.1534419728676961" u="1"/>
        <n v="1.1260618998164158" u="1"/>
        <n v="1.1374728008899631" u="1"/>
        <n v="1.163488437432604" u="1"/>
        <n v="1.1251254476095438" u="1"/>
        <n v="1.1400518679562639" u="1"/>
        <n v="1.1523405306508532" u="1"/>
        <n v="1.1785541584158936" u="1"/>
        <n v="1.1508711374877034" u="1"/>
        <n v="1.12048379258606" u="1"/>
        <n v="1.171942382591125" u="1"/>
        <n v="1.0563409873950085" u="1"/>
        <n v="1.1605658995022203" u="1"/>
        <n v="1.1766708986829775" u="1"/>
        <n v="1.1908297622098103" u="1"/>
        <n v="1.1997599529341727" u="1"/>
        <n v="1.0154951620644428" u="1"/>
        <n v="1.0295870363476054" u="1"/>
        <n v="1.0497899588174011" u="1"/>
        <n v="1.0632103648752873" u="1"/>
        <n v="1.1674352769824994" u="1"/>
        <n v="1.1835402761632565" u="1"/>
        <n v="1.1640005882423599" u="1"/>
        <n v="1.0088826778535676" u="1"/>
        <n v="1.0219679896879326" u="1"/>
        <n v="1.0312395186223935" u="1"/>
        <n v="1.0038594455711136" u="1"/>
        <n v="1.0152703466446604" u="1"/>
        <n v="1.0412859831873016" u="1"/>
        <n v="1.0872709256915885" u="1"/>
        <n v="1.0986818267651357" u="1"/>
        <n v="1.1230230525469587" u="1"/>
        <n v="1.0240455502429338" u="1"/>
        <n v="1.0226193021502097" u="1"/>
        <n v="1.0469605279320326" u="1"/>
        <n v="1.1057826196025913" u="1"/>
        <n v="1.1188679314369563" u="1"/>
        <n v="1.1326045557335984" u="1"/>
        <n v="1.1526356732793295" u="1"/>
        <n v="1.1640465743528765" u="1"/>
        <n v="1.1900622108955174" u="1"/>
        <n v="0.99916461008694601" u="1"/>
        <n v="1.0111021681331185" u="1"/>
        <n v="1.0365668351048718" u="1"/>
        <n v="1.0457470480999882" u="1"/>
        <n v="1.0425032819147442" u="1"/>
        <n v="1.0679679488864975" u="1"/>
        <n v="1.0212880349218196" u="1"/>
        <n v="1.0349772842254632" u="1"/>
        <n v="1.0499318036523897" u="1"/>
        <n v="1.0708874343156158" u="1"/>
        <n v="1.0828249923617881" u="1"/>
        <n v="1.1100413505910127" u="1"/>
        <n v="0.91936101267355574" u="1"/>
        <n v="0.94444935451764755" u="1"/>
        <n v="0.99612838939103432" u="1"/>
        <n v="0.91821047654385379" u="1"/>
        <n v="0.9415730141933929" u="1"/>
        <n v="1.0110853590771589" u="1"/>
        <n v="1.1936392953898338" u="1"/>
        <n v="1.583739474438945" u="1"/>
        <n v="1.0096453578790303" u="1"/>
        <n v="0.94869862000709393" u="1"/>
        <n v="1.0722417615251718" u="1"/>
        <n v="1.3139035920266344" u="1"/>
        <n v="1.294567930831052" u="1"/>
        <n v="1.4353184247931368" u="1"/>
        <n v="1.325408953323653" u="1"/>
        <n v="1.3060732921280709" u="1"/>
        <n v="1.4266894038203726" u="1"/>
        <n v="1.7138793635985419" u="1"/>
        <n v="1.654721843882093" u="1"/>
        <n v="1.6336603784919579" u="1"/>
        <n v="1.418859103921809" u="1"/>
        <n v="1.5322201837803981" u="1"/>
        <n v="1.3334627062315665" u="1"/>
        <n v="1.3141270450359837" u="1"/>
        <n v="1.3052745710538705" u="1"/>
        <n v="1.2842131056637351" u="1"/>
        <n v="1.7755405425721891" u="1"/>
        <n v="1.5932949630733551" u="1"/>
        <n v="1.6207803014845772" u="1"/>
        <n v="1.587579758186322" u="1"/>
        <n v="0.8405935161071012" u="1"/>
        <n v="0.99862571966391944" u="1"/>
        <n v="0.89113285029878031" u="1"/>
        <n v="1.0127040025315361" u="1"/>
        <n v="0.91313282556547137" u="1"/>
        <n v="1.0419983146918719" u="1"/>
        <n v="0.91379208050338112" u="1"/>
        <n v="1.0771275647099152" u="1"/>
        <n v="0.885991099543745" u="1"/>
        <n v="1.0894738557518506" u="1"/>
        <n v="0.92442839666094179" u="1"/>
        <n v="1.1607584541993607" u="1"/>
        <n v="0.6739385077983141" u="1"/>
        <n v="0.79742980806535957" u="1"/>
        <n v="1.054193171561711" u="1"/>
        <n v="1.0263260286887952" u="1"/>
        <n v="0.87536449613281264" u="1"/>
        <n v="0.75706094201180962" u="1"/>
        <n v="0.76900685462345675" u="1"/>
        <n v="0.66978319670658304" u="1"/>
        <n v="0.78071159932800216" u="1"/>
        <n v="1.0475286137018085" u="1"/>
        <n v="1.0552430768943402" u="1"/>
        <n v="0.68554902012544605" u="1"/>
        <n v="0.74948854280186583" u="1"/>
        <n v="0.86914301800771931" u="1"/>
        <n v="0.77867365333495253" u="1"/>
        <n v="1.072228855213972" u="1"/>
        <n v="0.85833683359199164" u="1"/>
        <n v="0.92892968068051218" u="1"/>
        <n v="0.75146187341017368" u="1"/>
        <n v="0.77245707869551239" u="1"/>
        <n v="0.81547014845124621" u="1"/>
        <n v="0.82484408330841408" u="1"/>
        <n v="0.71886861207435082" u="1"/>
        <n v="1.1675411372843107" u="1"/>
        <n v="1.2148162732527565" u="1"/>
        <n v="1.2377300237906521" u="1"/>
        <n v="1.3341734181141447" u="1"/>
        <n v="1.1925792278657101" u="1"/>
        <n v="1.214139568101908" u="1"/>
        <n v="1.232316382583863" u="1"/>
        <n v="1.3209493390296707" u="1"/>
        <n v="1.2433321141793581" u="1"/>
        <n v="2.2217968262497569" u="1"/>
        <n v="1.2153987538126469" u="1"/>
        <n v="1.2498952981905638" u="1"/>
        <n v="2.0900119888731385" u="1"/>
        <n v="2.1250281325939078" u="1"/>
        <n v="2.1609064972574084" u="1"/>
        <n v="2.2184843249075556" u="1"/>
        <n v="1.1225688176549391" u="1"/>
        <n v="1.1459129134687851" u="1"/>
        <n v="1.1698318232444522" u="1"/>
        <n v="1.2082170416778841" u="1"/>
        <n v="0.90950192590898227" u="1"/>
        <n v="1.1237184455785814" u="1"/>
        <n v="1.1476373553542483" u="1"/>
        <n v="1.1727058930535579" u="1"/>
        <n v="1.191547436785072" u="1"/>
        <n v="0.8997300885580235" u="1"/>
        <n v="1.1145214221894437" u="1"/>
        <n v="1.1395899598887529" u="1"/>
        <n v="1.1497133345807138" u="1"/>
        <n v="1.1863741111286823" u="1"/>
        <n v="0.89513157686345479" u="1"/>
        <n v="1.1224426969096259" u="1"/>
        <n v="1.1408730494979031" u="1"/>
        <n v="1.1645506323948036" u="1"/>
        <n v="1.202318159911876" u="1"/>
        <n v="1.1241917736791673" u="1"/>
        <n v="1.1443712030369857" u="1"/>
        <n v="1.1680487859338864" u="1"/>
        <n v="1.2058163134509585" u="1"/>
        <n v="1.1695125870113958" u="1"/>
        <n v="1.1898866534038999" u="1"/>
        <n v="1.2132307492177459" u="1"/>
        <n v="1.2504663397275348" u="1"/>
        <n v="1.1867570058660291" u="1"/>
        <n v="1.1990836767930375" u="1"/>
        <n v="1.2224277726068835" u="1"/>
        <n v="1.2596633631166727" u="1"/>
        <n v="1.1648817742088813" u="1"/>
        <n v="1.1893754979463698" u="1"/>
        <n v="1.2115699658365735" u="1"/>
        <n v="1.2327107654153722" u="1"/>
        <n v="1.1493617972397117" u="1"/>
        <n v="1.1721310790917365" u="1"/>
        <n v="1.1949003609437616" u="1"/>
        <n v="1.2315611374917299" u="1"/>
        <n v="1.1539603089342805" u="1"/>
        <n v="1.1778792187099478" u="1"/>
        <n v="1.202947756409257" u="1"/>
        <n v="1.2246633699498766" u="1"/>
        <n v="1.1304208167014924" u="1"/>
        <n v="1.1536563290549977" u="1"/>
        <n v="1.178008622820041" u="1"/>
        <n v="1.2326072326056445" u="1"/>
        <n v="1.2164757418282239" u="1"/>
        <n v="1.2408280355932675" u="1"/>
        <n v="1.2696474550044636" u="1"/>
        <n v="1.3052607807939187" u="1"/>
        <n v="1.253308108428695" u="1"/>
        <n v="1.2599825993497291" u="1"/>
        <n v="1.2833266951635751" u="1"/>
        <n v="1.3217119135970066" u="1"/>
        <n v="1.1593087258194994" u="1"/>
        <n v="1.1809853862180706" u="1"/>
        <n v="1.2042633140817147" u="1"/>
        <n v="1.2335016613381808" u="1"/>
        <n v="1.3384138195977646" u="1"/>
        <n v="1.34128788940687" u="1"/>
        <n v="1.1994452863660394" u="1"/>
        <n v="1.2068030129301039" u="1"/>
        <n v="1.23081408291006" u="1"/>
        <n v="1.2702960218701611" u="1"/>
        <n v="1.1836285783955598" u="1"/>
        <n v="1.1211636120025317" u="1"/>
        <n v="1.2744684510349207" u="1"/>
        <n v="1.6549819589903534" u="1"/>
        <n v="1.0982510530556826" u="1"/>
        <n v="1.1209281747034183" u="1"/>
        <n v="1.1452804684684617" u="1"/>
        <n v="1.1652588544963829" u="1"/>
        <n v="0.61900658180262236" u="1"/>
        <n v="1.3362833015574551" u="1"/>
        <n v="0.63851093232031575" u="1"/>
        <n v="0.60700547718026199" u="1"/>
        <n v="0.42290519774761559" u="1"/>
        <n v="0.42149476148799891" u="1"/>
        <n v="0.502821192438762" u="1"/>
        <n v="1.3863640781116033" u="1"/>
        <n v="1.4927875716953536" u="1"/>
        <n v="1.6976407886193614" u="1"/>
        <n v="0.92471804151812442" u="1"/>
        <n v="1.0088276444404836" u="1"/>
        <n v="1.0350884682692489" u="1"/>
        <n v="1.0598823509694657" u="1"/>
        <n v="1.2611343554163208" u="1"/>
        <n v="1.0305829912875373" u="1"/>
        <n v="1.1950466604208072" u="1"/>
        <n v="0.58078761034563087" u="1"/>
        <n v="0.50500145170712019" u="1"/>
        <n v="0.62098877636207817" u="1"/>
        <n v="0.54250135134323163" u="1"/>
        <n v="0.75342937807366206" u="1"/>
        <n v="0.83850429028498585" u="1"/>
        <n v="0.82591597243562942" u="1"/>
        <n v="0.49664881729192939" u="1"/>
        <n v="1.3764882778766709" u="1"/>
        <n v="1.4774468551493634" u="1"/>
        <n v="1.6838706314715643" u="1"/>
        <n v="0.91607671631255883" u="1"/>
        <n v="0.99540451746274172" u="1"/>
        <n v="1.0177028046918484" u="1"/>
        <n v="1.0512410257639" u="1"/>
        <n v="1.247711228438579" u="1"/>
        <n v="1.0131973277101369" u="1"/>
        <n v="1.1864053352152417" u="1"/>
        <n v="0.57089814828833807" u="1"/>
        <n v="0.49054235037652194" u="1"/>
        <n v="0.57660576035499056" u="1"/>
        <n v="0.50379735875622234" u="1"/>
        <n v="0.69946311230360947" u="1"/>
        <n v="0.77838288590751936" u="1"/>
        <n v="0.7383129253925822" u="1"/>
        <n v="0.82592584195570895" u="1"/>
        <n v="0.90368835245582313" u="1"/>
        <n v="0.79048833927904438" u="1"/>
        <n v="0.86887936557942802" u="1"/>
        <n v="0.92220486485650977" u="1"/>
        <n v="0.76805152434604063" u="1"/>
        <n v="0.85086482986997336" u="1"/>
        <n v="0.76307046698991399" u="1"/>
        <n v="0.81704137690443412" u="1"/>
        <n v="0.81013755821712219" u="1"/>
        <n v="0.87718036908661245" u="1"/>
        <n v="0.79576758985151563" u="1"/>
        <n v="0.85606307728832798" u="1"/>
        <n v="0.76455492771088263" u="1"/>
        <n v="0.87925525807791005" u="1"/>
        <n v="0.78529888200613862" u="1"/>
        <n v="0.79239405667461149" u="1"/>
        <n v="0.77835997875395535" u="1"/>
        <n v="0.88955426143309191" u="1"/>
        <n v="0.96252177529901017" u="1"/>
        <n v="0.74649575032308901" u="1"/>
        <n v="0.72902831890645858" u="1"/>
        <n v="0.69955917196001982" u="1"/>
        <n v="0.66930449859237517" u="1"/>
        <n v="0.81875478642134081" u="1"/>
        <n v="0.76700325672190883" u="1"/>
        <n v="0.7893787213204253" u="1"/>
        <n v="0.97656790420303508" u="1"/>
        <n v="0.85789349283273852" u="1"/>
        <n v="0.77612175655853599" u="1"/>
        <n v="1.1153741013839242" u="1"/>
        <n v="1.2248517336643447" u="1"/>
        <n v="9.0707752701496052" u="1"/>
        <n v="0.58267528260833801" u="1"/>
        <n v="0.500356628976522" u="1"/>
        <n v="0.85433350614710113" u="1"/>
        <n v="1.0123657097039191" u="1"/>
        <n v="0.9048728403387799" u="1"/>
        <n v="1.0264439925715361" u="1"/>
        <n v="0.92687281560547141" u="1"/>
        <n v="1.0557383047318718" u="1"/>
        <n v="0.92753207054338094" u="1"/>
        <n v="1.0908675547499149" u="1"/>
        <n v="0.90169394530374525" u="1"/>
        <n v="1.1051767015118505" u="1"/>
        <n v="0.9401312424209417" u="1"/>
        <n v="1.1764612999593607" u="1"/>
        <n v="0.68669706997831403" u="1"/>
        <n v="0.8101883702453595" u="1"/>
        <n v="1.0698960173217109" u="1"/>
        <n v="1.0420288744487951" u="1"/>
        <n v="0.88949705731681272" u="1"/>
        <n v="0.77080093205180955" u="1"/>
        <n v="0.78274684466345656" u="1"/>
        <n v="0.68254175888658286" u="1"/>
        <n v="0.7944515893680022" u="1"/>
        <n v="1.0632314594618084" u="1"/>
        <n v="1.0709459226543401" u="1"/>
        <n v="0.69928901016544609" u="1"/>
        <n v="0.76322853284186576" u="1"/>
        <n v="0.88190158018771925" u="1"/>
        <n v="0.79241364337495246" u="1"/>
        <n v="1.0879317009739717" u="1"/>
        <n v="0.87168425248799164" u="1"/>
        <n v="0.94227709957651218" u="1"/>
        <n v="0.76480929230617356" u="1"/>
        <n v="0.78580449759151227" u="1"/>
        <n v="0.82881756734724621" u="1"/>
        <n v="0.83760264548841401" u="1"/>
        <n v="0.73162717425435075" u="1"/>
        <n v="0.64699240765364907" u="1"/>
        <n v="0.61548695251359542" u="1"/>
        <n v="0.42926630424761553" u="1"/>
        <n v="0.42785586798799896" u="1"/>
        <n v="1.2426735926255918" u="1"/>
        <n v="1.1974578018876056" u="1"/>
        <n v="1.6850109827301623" u="1"/>
        <n v="2.1260198105035446" u="1"/>
        <n v="1.5134600980059689" u="1"/>
        <n v="1.4499668169778719" u="1"/>
        <n v="1.5459848358659256" u="1"/>
        <n v="0.63983509125902149" u="1"/>
        <n v="0.49654484617286276" u="1"/>
        <n v="1.3763219240861637" u="1"/>
        <n v="1.4772805013588564" u="1"/>
        <n v="1.6837042776810573" u="1"/>
        <n v="0.91593115674586523" u="1"/>
        <n v="0.99525895789604812" u="1"/>
        <n v="1.0175572451251547" u="1"/>
        <n v="1.0510954661972065" u="1"/>
        <n v="1.2475656688718855" u="1"/>
        <n v="0.90930323772249066" u="1"/>
        <n v="1.0130517681434434" u="1"/>
        <n v="1.1862597756485478" u="1"/>
        <n v="0.82569149875570913" u="1"/>
        <n v="0.90345400925582309" u="1"/>
        <n v="0.79024318023904438" u="1"/>
        <n v="0.86863420653942813" u="1"/>
        <n v="0.92195970581650988" u="1"/>
        <n v="0.76780636530604085" u="1"/>
        <n v="0.85061967082997336" u="1"/>
        <n v="0.76283612378991406" u="1"/>
        <n v="0.81680703370443419" u="1"/>
        <n v="0.80990321501712237" u="1"/>
        <n v="0.87694602588661263" u="1"/>
        <n v="0.79552243081151575" u="1"/>
        <n v="0.85581791824832809" u="1"/>
        <n v="0.76430976867088263" u="1"/>
        <n v="0.87901009903791005" u="1"/>
        <n v="0.78506453880613858" u="1"/>
        <n v="0.79215971347461156" u="1"/>
        <n v="0.77810760915395549" u="1"/>
        <n v="0.88926583903309198" u="1"/>
        <n v="0.96226940569901009" u="1"/>
        <n v="0.74626140712308919" u="1"/>
        <n v="0.72879397570645854" u="1"/>
        <n v="0.69930680236001974" u="1"/>
        <n v="0.66905212899237509" u="1"/>
        <n v="0.81852044322134077" u="1"/>
        <n v="0.76676891352190879" u="1"/>
        <n v="0.78923343256222833" u="1"/>
        <n v="0.97627948180303514" u="1"/>
        <n v="0.85764112323273867" u="1"/>
        <n v="0.77588741335853595" u="1"/>
        <n v="1.1151397581839244" u="1"/>
        <n v="1.2245993640643451" u="1"/>
        <n v="9.0705210148227593" u="1"/>
        <n v="0.58245896580833822" u="1"/>
        <n v="0.50017636497652196" u="1"/>
        <n v="1.0656623246266916" u="1"/>
        <n v="1.0425818698720994" u="1"/>
        <n v="1.0167408398078093" u="1"/>
        <n v="1.022169689266587" u="1"/>
        <n v="1.0335857788899117" u="1"/>
        <n v="1.051392441784639" u="1"/>
        <n v="1.0654454273378959" u="1"/>
        <n v="1.089797721102939" u="1"/>
        <n v="0.98016579020572903" u="1"/>
        <n v="0.98990670771174649" u="1"/>
        <n v="1.0056348653823104" u="1"/>
        <n v="1.029428768441585" u="1"/>
        <n v="0.98742486938072693" u="1"/>
        <n v="0.99884095900405145" u="1"/>
        <n v="0.99558383267846717" u="1"/>
        <n v="1.0199361264435107" u="1"/>
        <n v="0.98519130655765075" u="1"/>
        <n v="0.98264762853674847" u="1"/>
        <n v="0.99837578620731271" u="1"/>
        <n v="1.0283119870300468" u="1"/>
        <n v="0.9812270364378346" u="1"/>
        <n v="1.0412048753926078" u="1"/>
        <n v="0.98454480379223086" u="1"/>
        <n v="0.99850484106834358" u="1"/>
        <n v="0.89479624919888856" u="1"/>
        <n v="0.9283910367132775" u="1"/>
        <n v="0.93883364763829424" u="1"/>
        <n v="0.97827253438313111" u="1"/>
        <n v="0.90617764656870925" u="1"/>
        <n v="0.91200982913434303" u="1"/>
        <n v="0.94169775444913395" u="1"/>
        <n v="0.99899509985455226" u="1"/>
        <n v="0.97337096707905812" u="1"/>
        <n v="0.97920314964469179" u="1"/>
        <n v="0.96477820920372626" u="1"/>
        <n v="1.0002983170841511" u="1"/>
        <n v="1.0145850920221582" u="1"/>
        <n v="1.0201599724157788" u="1"/>
        <n v="1.0351942407773476" u="1"/>
        <n v="1.0531346104240817" u="1"/>
        <n v="1.1045533800148601" u="1"/>
        <n v="1.0941155857577498" u="1"/>
        <n v="1.1091498541193183" u="1"/>
        <n v="1.1260227121226709" u="1"/>
        <n v="1.2575255938058354" u="1"/>
        <n v="1.2101966374675306" u="1"/>
        <n v="1.2969352191606363" u="1"/>
        <n v="1.2553403012350752" u="1"/>
        <n v="1.2448452295017871" u="1"/>
        <n v="1.2499182507338338" u="1"/>
        <n v="1.2652159540801149" u="1"/>
        <n v="1.2959244710914479" u="1"/>
        <n v="1.3111435347875877" u="1"/>
        <n v="1.3365086409478204" u="1"/>
        <n v="1.032542711671897" u="1"/>
        <n v="1.0323128804957016" u="1"/>
        <n v="1.0541030519080949" u="1"/>
        <n v="1.0624305131237588" u="1"/>
        <n v="1.2322177459280874" u="1"/>
        <n v="1.2453030577624524" u="1"/>
        <n v="1.2735512419861836" u="1"/>
        <n v="1.332373333656742" u="1"/>
        <n v="1.3437842347302891" u="1"/>
        <n v="1.36979987127293" u="1"/>
        <n v="1.2093341321969082" u="1"/>
        <n v="1.2207450332704555" u="1"/>
        <n v="1.245086259052278" u="1"/>
        <n v="1.1331784320399774" u="1"/>
        <n v="1.1049616117741659" u="1"/>
        <n v="1.1533027251277133" u="1"/>
        <n v="1.1259226520764329" u="1"/>
        <n v="1.1373335531499802" u="1"/>
        <n v="1.1633491896926211" u="1"/>
        <n v="1.1249754885049468" u="1"/>
        <n v="1.1399019088516669" u="1"/>
        <n v="1.1521905715462566" u="1"/>
        <n v="1.1784041993112966" u="1"/>
        <n v="1.1507211783831062" u="1"/>
        <n v="1.120333833481463" u="1"/>
        <n v="1.1717924234865282" u="1"/>
        <n v="1.0561696055611833" u="1"/>
        <n v="1.1603945176683954" u="1"/>
        <n v="1.1764995168491525" u="1"/>
        <n v="1.1906583803759854" u="1"/>
        <n v="1.1995885711003478" u="1"/>
        <n v="1.015345202959846" u="1"/>
        <n v="1.0294370772430084" u="1"/>
        <n v="1.0496399997128043" u="1"/>
        <n v="1.0630389830414624" u="1"/>
        <n v="1.1672638951486745" u="1"/>
        <n v="1.1833688943294314" u="1"/>
        <n v="1.1638292064085349" u="1"/>
        <n v="1.0087434301135847" u="1"/>
        <n v="1.0218287419479497" u="1"/>
        <n v="1.0311002708824109" u="1"/>
        <n v="1.0037201978311308" u="1"/>
        <n v="1.0151310989046776" u="1"/>
        <n v="1.0411467354473189" u="1"/>
        <n v="1.0871316779516058" u="1"/>
        <n v="1.0985425790251531" u="1"/>
        <n v="1.1228838048069758" u="1"/>
        <n v="1.0239063025029509" u="1"/>
        <n v="1.022480054410227" u="1"/>
        <n v="1.0468212801920498" u="1"/>
        <n v="1.1056433718626084" u="1"/>
        <n v="1.1187286836969734" u="1"/>
        <n v="1.1324653079936158" u="1"/>
        <n v="1.1524964255393466" u="1"/>
        <n v="1.1639073266128936" u="1"/>
        <n v="1.1899229631555346" u="1"/>
        <n v="0.99901893552819476" u="1"/>
        <n v="1.0109564935743671" u="1"/>
        <n v="1.0364211605461204" u="1"/>
        <n v="1.0456013735412368" u="1"/>
        <n v="1.042357607355993" u="1"/>
        <n v="1.0678222743277461" u="1"/>
        <n v="1.0211423603630683" u="1"/>
        <n v="1.0348316096667121" u="1"/>
        <n v="1.0497861290936386" u="1"/>
        <n v="1.0707417597568645" u="1"/>
        <n v="1.0826793178030369" u="1"/>
        <n v="1.1098956760322614" u="1"/>
        <n v="0.91921749094079586" u="1"/>
        <n v="0.94430583278488778" u="1"/>
        <n v="0.99598486765827454" u="1"/>
        <n v="0.91806695481109402" u="1"/>
        <n v="0.94142949246063301" u="1"/>
        <n v="1.010941837344399" u="1"/>
        <n v="1.1934957736570742" u="1"/>
        <n v="1.5835959527061849" u="1"/>
        <n v="1.0095081679874216" u="1"/>
        <n v="0.94856143011548522" u="1"/>
        <n v="1.0721045716335631" u="1"/>
        <n v="1.3137600702938743" u="1"/>
        <n v="1.2944244090982922" u="1"/>
        <n v="1.4351749030603769" u="1"/>
        <n v="1.3252654315908934" u="1"/>
        <n v="1.305929770395311" u="1"/>
        <n v="1.4265458820876127" u="1"/>
        <n v="1.7137358418657824" u="1"/>
        <n v="1.6545783221493331" u="1"/>
        <n v="1.633516856759198" u="1"/>
        <n v="1.4187155821890491" u="1"/>
        <n v="1.5320766620476383" u="1"/>
        <n v="1.3333191844988066" u="1"/>
        <n v="1.313983523303224" u="1"/>
        <n v="1.3051310493211106" u="1"/>
        <n v="1.2840695839309753" u="1"/>
        <n v="1.7753716934748243" u="1"/>
        <n v="1.5931261139759907" u="1"/>
        <n v="1.620611452387213" u="1"/>
        <n v="1.5874109090889577" u="1"/>
        <n v="0.85408113654710127" u="1"/>
        <n v="1.0121133401039193" u="1"/>
        <n v="0.90462047073878016" u="1"/>
        <n v="1.0261916229715362" u="1"/>
        <n v="0.92662044600547155" u="1"/>
        <n v="1.0554859351318719" u="1"/>
        <n v="0.92727970094338086" u="1"/>
        <n v="1.0906151851499151" u="1"/>
        <n v="0.90140552290374532" u="1"/>
        <n v="1.1048882791118506" u="1"/>
        <n v="0.93984282002094166" u="1"/>
        <n v="1.1761728775593607" u="1"/>
        <n v="0.6864627267783141" u="1"/>
        <n v="0.80995402704535957" u="1"/>
        <n v="1.0696075949217112" u="1"/>
        <n v="1.0417404520487952" u="1"/>
        <n v="0.88923747715681267" u="1"/>
        <n v="0.77054856245180958" u="1"/>
        <n v="0.78249447506345671" u="1"/>
        <n v="0.68230741568658293" u="1"/>
        <n v="0.79419921976800212" u="1"/>
        <n v="1.0629430370618085" u="1"/>
        <n v="1.0706575002543401" u="1"/>
        <n v="0.69903664056544601" u="1"/>
        <n v="0.7629761632418659" u="1"/>
        <n v="0.88166723698771932" u="1"/>
        <n v="0.7921612737749526" u="1"/>
        <n v="1.0876432785739718" u="1"/>
        <n v="0.87143909344799175" u="1"/>
        <n v="0.94203194053651229" u="1"/>
        <n v="0.76456413326617345" u="1"/>
        <n v="0.7855593385515125" u="1"/>
        <n v="0.82857240830724632" u="1"/>
        <n v="0.83736830228841408" u="1"/>
        <n v="0.73139283105435082" u="1"/>
        <n v="1.1674018262282211" u="1"/>
        <n v="1.2146769621966671" u="1"/>
        <n v="1.2375907127345627" u="1"/>
        <n v="1.334034107058055" u="1"/>
        <n v="1.1924399168096207" u="1"/>
        <n v="1.2140002570458184" u="1"/>
        <n v="1.2321770715277733" u="1"/>
        <n v="1.320810027973581" u="1"/>
        <n v="1.2431928031232684" u="1"/>
        <n v="2.2216575151936682" u="1"/>
        <n v="1.2152594427565575" u="1"/>
        <n v="1.2497559871344741" u="1"/>
        <n v="2.0897968762130006" u="1"/>
        <n v="2.1248130199337694" u="1"/>
        <n v="2.1606913845972699" u="1"/>
        <n v="2.2182692122474177" u="1"/>
        <n v="1.1224254092148469" u="1"/>
        <n v="1.1457695050286929" u="1"/>
        <n v="1.16968841480436" u="1"/>
        <n v="1.2080736332377917" u="1"/>
        <n v="0.90935851746889007" u="1"/>
        <n v="1.1235750371384889" u="1"/>
        <n v="1.1474939469141558" u="1"/>
        <n v="1.1725624846134657" u="1"/>
        <n v="1.1914040283449798" u="1"/>
        <n v="0.8995866801179313" u="1"/>
        <n v="1.1143780137493515" u="1"/>
        <n v="1.1394465514486609" u="1"/>
        <n v="1.1495699261406216" u="1"/>
        <n v="1.1862307026885899" u="1"/>
        <n v="0.89498816842336248" u="1"/>
        <n v="1.1222972397775324" u="1"/>
        <n v="1.1407275923658096" u="1"/>
        <n v="1.1644051752627103" u="1"/>
        <n v="1.2021727027797824" u="1"/>
        <n v="1.1240463165470738" u="1"/>
        <n v="1.1442257459048923" u="1"/>
        <n v="1.1679033288017928" u="1"/>
        <n v="1.2056708563188652" u="1"/>
        <n v="1.1693691785713041" u="1"/>
        <n v="1.1897432449638079" u="1"/>
        <n v="1.2130873407776535" u="1"/>
        <n v="1.2503229312874433" u="1"/>
        <n v="1.1866135974259369" u="1"/>
        <n v="1.1989402683529451" u="1"/>
        <n v="1.2222843641667913" u="1"/>
        <n v="1.2595199546765807" u="1"/>
        <n v="1.1647383657687891" u="1"/>
        <n v="1.1892320895062776" u="1"/>
        <n v="1.2114265573964815" u="1"/>
        <n v="1.23256735697528" u="1"/>
        <n v="1.1492183887996195" u="1"/>
        <n v="1.1719876706516443" u="1"/>
        <n v="1.1947569525036694" u="1"/>
        <n v="1.2314177290516377" u="1"/>
        <n v="1.1538169004941881" u="1"/>
        <n v="1.1777358102698554" u="1"/>
        <n v="1.2028043479691646" u="1"/>
        <n v="1.2245199615097846" u="1"/>
        <n v="1.1302815056454028" u="1"/>
        <n v="1.153517017998908" u="1"/>
        <n v="1.1778693117639516" u="1"/>
        <n v="1.2324679215495551" u="1"/>
        <n v="1.2163364307721347" u="1"/>
        <n v="1.240688724537178" u="1"/>
        <n v="1.2695081439483742" u="1"/>
        <n v="1.3051214697378288" u="1"/>
        <n v="1.253164699988603" u="1"/>
        <n v="1.2598391909096367" u="1"/>
        <n v="1.2831832867234827" u="1"/>
        <n v="1.3215685051569146" u="1"/>
        <n v="1.1591755608394136" u="1"/>
        <n v="1.1808522212379848" u="1"/>
        <n v="1.2041301491016294" u="1"/>
        <n v="1.2333684963580951" u="1"/>
        <n v="1.338270411157672" u="1"/>
        <n v="1.3411444809667779" u="1"/>
        <n v="1.1992977805419449" u="1"/>
        <n v="1.206655507106009" u="1"/>
        <n v="1.2306665770859651" u="1"/>
        <n v="1.2701485160460664" u="1"/>
        <n v="1.1834646830354545" u="1"/>
        <n v="1.1210202035624397" u="1"/>
        <n v="1.2743045556748156" u="1"/>
        <n v="1.6548180636302479" u="1"/>
        <n v="1.0981117419995929" u="1"/>
        <n v="1.1207888636473289" u="1"/>
        <n v="1.1451411574123722" u="1"/>
        <n v="1.1651195434402932" u="1"/>
        <n v="0.61888366028254338" u="1"/>
        <n v="1.3361439905013657" u="1"/>
        <n v="0.64669196765364889" u="1"/>
        <n v="0.61518651251359535" u="1"/>
        <n v="0.42904097424761556" u="1"/>
        <n v="0.42763053798799899" u="1"/>
        <n v="1.2002459906630096" u="1"/>
        <n v="1.1565337692538451" u="1"/>
        <n v="1.6276792969787544" u="1"/>
        <n v="2.0540231739383334" u="1"/>
        <n v="1.4618330266026383" u="1"/>
        <n v="1.4004510997802722" u="1"/>
        <n v="1.4932762131400139" u="1"/>
        <n v="0.61903413838605226" u="1"/>
        <n v="0.48306091234849868" u="1"/>
        <n v="1.3353992550826976" u="1"/>
        <n v="1.4353304850163908" u="1"/>
        <n v="1.6342203808525977" u="1"/>
        <n v="0.88971239653182421" u="1"/>
        <n v="0.96844091173425761" u="1"/>
        <n v="0.9890911626070531" u="1"/>
        <n v="1.0203820613750443" u="1"/>
        <n v="1.2123576194416019" u="1"/>
        <n v="0.88248519156070016" u="1"/>
        <n v="0.98473550711227931" u="1"/>
        <n v="1.1510517262182642" u="1"/>
        <n v="0.80216422163112633" u="1"/>
        <n v="0.87498968092641083" u="1"/>
        <n v="0.76775039164358194" u="1"/>
        <n v="0.84092948748213259" u="1"/>
        <n v="0.8928586313690835" u="1"/>
        <n v="0.74605967240456306" u="1"/>
        <n v="0.82386976149374691" u="1"/>
        <n v="0.74155878524220031" u="1"/>
        <n v="0.79077366851998732" u="1"/>
        <n v="0.78725196300211842" u="1"/>
        <n v="0.84891284730433414" u="1"/>
        <n v="0.77285409028805696" u="1"/>
        <n v="0.82891626930066253" u="1"/>
        <n v="0.74303511768848385" u="1"/>
        <n v="0.85143145797767017" u="1"/>
        <n v="0.76051840400846671" u="1"/>
        <n v="0.76694595033914714" u="1"/>
        <n v="0.75646066122020972" u="1"/>
        <n v="0.86452646996595395" u="1"/>
        <n v="0.93148572747851122" u="1"/>
        <n v="0.72546789338484008" u="1"/>
        <n v="0.70602739879162335" u="1"/>
        <n v="0.6752972920472432" u="1"/>
        <n v="0.64790359587930202" u="1"/>
        <n v="0.79311164727032346" u="1"/>
        <n v="0.74842898888494735" u="1"/>
        <n v="0.76293213761369705" u="1"/>
        <n v="0.94676730213650129" u="1"/>
        <n v="0.83170501901202365" u="1"/>
        <n v="0.7523816064124792" u="1"/>
        <n v="1.0832325249496231" u="1"/>
        <n v="1.1909123389822689" u="1"/>
        <n v="8.7715941322829032" u="1"/>
        <n v="0.57007177468393622" u="1"/>
        <n v="0.48985370570618703" u="1"/>
        <n v="1.0307567056795779" u="1"/>
        <n v="1.0084437496969381" u="1"/>
        <n v="0.98346201634283881" u="1"/>
        <n v="0.98871033923327001" u="1"/>
        <n v="0.99974680744707023" u="1"/>
        <n v="1.0169613419782282" u="1"/>
        <n v="1.0305470209177692" u="1"/>
        <n v="1.0540895232052341" u="1"/>
        <n v="0.94810320385359603" u="1"/>
        <n v="0.95752020476858202" u="1"/>
        <n v="0.97272535100693724" u="1"/>
        <n v="0.99572803086146444" u="1"/>
        <n v="0.95512089548179058" u="1"/>
        <n v="0.96615736369559069" u="1"/>
        <n v="0.96300854721405249" u="1"/>
        <n v="0.98655104950151762" u="1"/>
        <n v="0.95296160575003852" u="1"/>
        <n v="0.95050251314038747" u="1"/>
        <n v="0.96570765937874248" u="1"/>
        <n v="0.99464838599558836" u="1"/>
        <n v="0.94916039872964963" u="1"/>
        <n v="1.0071437831456538" u="1"/>
        <n v="0.95236783973228212" u="1"/>
        <n v="0.96586366122149847" u="1"/>
        <n v="0.86558809173931062" u="1"/>
        <n v="0.89806574536550487" u="1"/>
        <n v="0.90816110615415524" u="1"/>
        <n v="0.94628852406245145" u="1"/>
        <n v="0.87657540209390239" u="1"/>
        <n v="0.88221364597832219" u="1"/>
        <n v="0.91091435304012858" u="1"/>
        <n v="0.96630637887093818" u="1"/>
        <n v="0.94153433027864775" u="1"/>
        <n v="0.94717257416306744" u="1"/>
        <n v="0.93322730902276829" u="1"/>
        <n v="0.96756625996899426" u="1"/>
        <n v="0.9813545251994461" u="1"/>
        <n v="0.98674402303014142" u="1"/>
        <n v="1.0012783539932752" u="1"/>
        <n v="1.018622149100268" u="1"/>
        <n v="1.0683310805212249" u="1"/>
        <n v="1.0582403762309027" u="1"/>
        <n v="1.0727747071940366" u="1"/>
        <n v="1.089086488826295" u="1"/>
        <n v="1.2233987684068981" u="1"/>
        <n v="1.1760698120685931" u="1"/>
        <n v="1.2610033664173159" u="1"/>
        <n v="1.220420613357764" u="1"/>
        <n v="1.209756847480141" u="1"/>
        <n v="1.2146611745678528" u="1"/>
        <n v="1.2296214896254642" u="1"/>
        <n v="1.2596552300594579" u="1"/>
        <n v="1.2743682113225931" u="1"/>
        <n v="1.2988898467611518" u="1"/>
        <n v="1.0040080971576593" u="1"/>
        <n v="1.0034914859360946" u="1"/>
        <n v="1.0248514872804342" u="1"/>
        <n v="1.0324619983826751" u="1"/>
        <n v="1.1901546551116318" u="1"/>
        <n v="1.2028048385713492" u="1"/>
        <n v="1.2301136805276895" u="1"/>
        <n v="1.2869797499447497" u="1"/>
        <n v="1.29801120214461" u="1"/>
        <n v="1.3231617357544727" u="1"/>
        <n v="1.1680319945602431" u="1"/>
        <n v="1.1790634467601029" u="1"/>
        <n v="1.2025952491101084" u="1"/>
        <n v="1.0944087144517518" u="1"/>
        <n v="1.0687489247615036" u="1"/>
        <n v="1.113863810576279" u="1"/>
        <n v="1.0873942123257017" u="1"/>
        <n v="1.0984256645255617" u="1"/>
        <n v="1.1235761981354251" u="1"/>
        <n v="1.0881381079629393" u="1"/>
        <n v="1.1008249281527915" u="1"/>
        <n v="1.1127049535987945" u="1"/>
        <n v="1.138046894591108" u="1"/>
        <n v="1.1112844224472564" u="1"/>
        <n v="1.0836508027808356" u="1"/>
        <n v="1.1322360644275165" u="1"/>
        <n v="1.0203737139151094" u="1"/>
        <n v="1.1211328151056961" u="1"/>
        <n v="1.1367022716715023" u="1"/>
        <n v="1.1503903078041338" u="1"/>
        <n v="1.1583594463142024" u="1"/>
        <n v="0.98099121321748395" u="1"/>
        <n v="0.99461448771256455" u="1"/>
        <n v="1.0135645155249271" u="1"/>
        <n v="1.0283428524251781" u="1"/>
        <n v="1.1291019536157645" u="1"/>
        <n v="1.1446714101815711" u="1"/>
        <n v="1.1257814792365695" u="1"/>
        <n v="0.97573030468015487" u="1"/>
        <n v="0.98838048813987234" u="1"/>
        <n v="0.99572497789130099" u="1"/>
        <n v="0.96925537964072395" u="1"/>
        <n v="0.98028683184058374" u="1"/>
        <n v="1.0054373654504472" u="1"/>
        <n v="1.0498931618752649" u="1"/>
        <n v="1.0609246140751249" u="1"/>
        <n v="1.0844564164251302" u="1"/>
        <n v="0.98877023191691971" u="1"/>
        <n v="0.98739141112453721" u="1"/>
        <n v="1.0109232134745427" u="1"/>
        <n v="1.0677892828916034" u="1"/>
        <n v="1.0804394663513208" u="1"/>
        <n v="1.0942588811421801" u="1"/>
        <n v="1.1136239001088035" u="1"/>
        <n v="1.1246553523086633" u="1"/>
        <n v="1.1498058859185265" u="1"/>
        <n v="0.96466023768047815" u="1"/>
        <n v="0.97620083382802381" u="1"/>
        <n v="1.0008187193634142" u="1"/>
        <n v="1.0096936609817344" u="1"/>
        <n v="1.0054287990843107" u="1"/>
        <n v="1.0300466846197009" u="1"/>
        <n v="0.98491902675325338" u="1"/>
        <n v="0.99815306483418875" u="1"/>
        <n v="1.0126102987692416" u="1"/>
        <n v="1.032869087842017" u="1"/>
        <n v="1.0444096839895627" u="1"/>
        <n v="1.0707210114583428" u="1"/>
        <n v="0.88919768113520692" u="1"/>
        <n v="0.91345175555431057" u="1"/>
        <n v="0.96341229760670455" u="1"/>
        <n v="0.88808540400325964" u="1"/>
        <n v="0.91067106272444265" u="1"/>
        <n v="0.97787190032201787" u="1"/>
        <n v="1.1543553357097838" u="1"/>
        <n v="1.5314834389682701" u="1"/>
        <n v="0.97646176805832807" u="1"/>
        <n v="0.91754170370598165" u="1"/>
        <n v="1.0369766415336872" u="1"/>
        <n v="1.2706204607115403" u="1"/>
        <n v="1.2519277719521724" u="1"/>
        <n v="1.3879978628452445" u="1"/>
        <n v="1.2817432320310125" u="1"/>
        <n v="1.2630505432716443" u="1"/>
        <n v="1.3796557843556403" u="1"/>
        <n v="1.6572957615277268" u="1"/>
        <n v="1.6001054181176761" u="1"/>
        <n v="1.5797443136603875" u="1"/>
        <n v="1.3720858669157441" u="1"/>
        <n v="1.4816773291258181" u="1"/>
        <n v="1.2895291719546429" u="1"/>
        <n v="1.2708364831952748" u="1"/>
        <n v="1.2622783822219366" u="1"/>
        <n v="1.2419172777646479" u="1"/>
        <n v="1.7169785723374988" u="1"/>
        <n v="1.5407932399155255" u="1"/>
        <n v="1.5673646031169177" u="1"/>
        <n v="1.535268083828609" u="1"/>
        <n v="0.83537418402497221" u="1"/>
        <n v="0.98554773014602459" u="1"/>
        <n v="0.88591351821665121" u="1"/>
        <n v="0.99962601301364151" u="1"/>
        <n v="0.90791349348334227" u="1"/>
        <n v="1.0289203251739771" u="1"/>
        <n v="0.9085727484212518" u="1"/>
        <n v="1.0640495751920203" u="1"/>
        <n v="0.88002614859274053" u="1"/>
        <n v="1.0750450938994107" u="1"/>
        <n v="0.91846344570993699" u="1"/>
        <n v="1.1463296923469208" u="1"/>
        <n v="0.67013572069906768" u="1"/>
        <n v="0.78724819320959405" u="1"/>
        <n v="1.0429980732470701" u="1"/>
        <n v="1.0120697707971207" u="1"/>
        <n v="0.86439690680657355" u="1"/>
        <n v="0.74912226711828112" u="1"/>
        <n v="0.75768888696109882" u="1"/>
        <n v="0.66338075302900557" u="1"/>
        <n v="0.77159681975583572" u="1"/>
        <n v="1.0331339380599909" u="1"/>
        <n v="1.0364431220427597" u="1"/>
        <n v="0.67969781632880755" u="1"/>
        <n v="0.7388196212918885" u="1"/>
        <n v="0.8538388761474266" u="1"/>
        <n v="0.76962664197028485" u="1"/>
        <n v="1.0565675093194233" u="1"/>
        <n v="0.84703728040362358" u="1"/>
        <n v="0.91188651260645714" u="1"/>
        <n v="0.74328205724572882" u="1"/>
        <n v="0.76320059281624664" u="1"/>
        <n v="0.80255564080427333" u="1"/>
        <n v="0.81334897400435335" u="1"/>
        <n v="0.71047210862394961" u="1"/>
        <n v="1.116835195532371" u="1"/>
        <n v="1.1626427528007539" u="1"/>
        <n v="1.1848000464575081" u="1"/>
        <n v="1.2776982358781084" u="1"/>
        <n v="1.1411424109109891" u="1"/>
        <n v="1.1619858010337645" u="1"/>
        <n v="1.1795444323215909" u="1"/>
        <n v="1.2654499978772051" u="1"/>
        <n v="1.190413793435215" u="1"/>
        <n v="2.1358053332241842" u="1"/>
        <n v="1.1631206381468486" u="1"/>
        <n v="1.1964700623432887" u="1"/>
        <n v="2.0018136832580589" u="1"/>
        <n v="2.0356654284611224" u="1"/>
        <n v="2.0703507230091649" u="1"/>
        <n v="2.1260139041550277" u="1"/>
        <n v="1.0727739971987575" u="1"/>
        <n v="1.0953418273341335" u="1"/>
        <n v="1.1184653570328282" u="1"/>
        <n v="1.1555741444634033" u="1"/>
        <n v="0.87966611812010709" u="1"/>
        <n v="1.0738853963253947" u="1"/>
        <n v="1.0970089260240894" u="1"/>
        <n v="1.121243854849421" u="1"/>
        <n v="1.1394588571271649" u="1"/>
        <n v="0.87021922554369158" u="1"/>
        <n v="1.0649942033122974" u="1"/>
        <n v="1.0892291321376293" u="1"/>
        <n v="1.0990158723166781" u="1"/>
        <n v="1.1344575610572976" u="1"/>
        <n v="0.86577362903714283" u="1"/>
        <n v="1.076826577445706" u="1"/>
        <n v="1.0946440619978648" u="1"/>
        <n v="1.1175342897066034" u="1"/>
        <n v="1.1540459264148837" u="1"/>
        <n v="1.0785174918312326" u="1"/>
        <n v="1.098025890768918" u="1"/>
        <n v="1.1209161184776564" u="1"/>
        <n v="1.1574277551859367" u="1"/>
        <n v="1.1181567364232265" u="1"/>
        <n v="1.1507271586983372" u="1"/>
        <n v="1.173294988833713" u="1"/>
        <n v="1.2092923771376511" u="1"/>
        <n v="1.1348277233227837" u="1"/>
        <n v="1.1596183517114345" u="1"/>
        <n v="1.1821861818468102" u="1"/>
        <n v="1.2181835701507484" u="1"/>
        <n v="1.1136799129236463" u="1"/>
        <n v="1.1373591421856597" u="1"/>
        <n v="1.1588155731943988" u="1"/>
        <n v="1.1792533737254167" u="1"/>
        <n v="1.098676024714045" u="1"/>
        <n v="1.1206881552861025" u="1"/>
        <n v="1.1427002858581603" u="1"/>
        <n v="1.1781419745987793" u="1"/>
        <n v="1.1031216212205937" u="1"/>
        <n v="1.1262451509192883" u="1"/>
        <n v="1.1504800797446202" u="1"/>
        <n v="1.1714735798389566" u="1"/>
        <n v="1.0848897366759334" u="1"/>
        <n v="1.1073525940975224" u="1"/>
        <n v="1.1308950963849875" u="1"/>
        <n v="1.1836781281671971" u="1"/>
        <n v="1.1639143829102983" u="1"/>
        <n v="1.1874568851977634" u="1"/>
        <n v="1.2153179669487328" u="1"/>
        <n v="1.2497470360110488" u="1"/>
        <n v="1.1905832169524737" u="1"/>
        <n v="1.197035759751611" u="1"/>
        <n v="1.219603589886987" u="1"/>
        <n v="1.2567123773175621" u="1"/>
        <n v="1.1012130707362939" u="1"/>
        <n v="1.1221689130048573" u="1"/>
        <n v="1.1446727754855226" u="1"/>
        <n v="1.1729388543940782" u="1"/>
        <n v="1.2943153226555713" u="1"/>
        <n v="1.2970938204721645" u="1"/>
        <n v="1.1467379115763199" u="1"/>
        <n v="1.1670926533899255" u="1"/>
        <n v="1.1903052786720267" u="1"/>
        <n v="1.2284743171720467" u="1"/>
        <n v="1.1447354751586305" u="1"/>
        <n v="1.0842893777236466" u="1"/>
        <n v="1.2325546321562788" u="1"/>
        <n v="1.6004148517266965" u="1"/>
        <n v="1.0537897203273356" u="1"/>
        <n v="1.0757127553159866" u="1"/>
        <n v="1.099255257603452" u="1"/>
        <n v="1.1185692985435025" u="1"/>
        <n v="0.5987723806918116" u="1"/>
        <n v="1.2922439930378065" u="1"/>
        <n v="0.63267083695800963" u="1"/>
        <n v="0.6020868033324549" u="1"/>
        <n v="0.42082186525577336" u="1"/>
        <n v="0.41944045932130819" u="1"/>
        <n v="1.3853257811512265" u="1"/>
        <n v="0.90713501851092038" u="1"/>
        <n v="1.2178068461965692" u="1"/>
        <n v="1.1734463136471944" u="1"/>
        <n v="1.6515371391184099" u="1"/>
        <n v="2.0842042702179682" u="1"/>
        <n v="1.4832311450956583" u="1"/>
        <n v="1.4209388415941024" u="1"/>
        <n v="1.5151406764551159" u="1"/>
        <n v="0.62800312253332347" u="1"/>
        <n v="0.48887493392011305" u="1"/>
        <n v="1.4029708751907921" u="1"/>
        <n v="0.98000435463780133" u="1"/>
        <n v="0.91869846141446398" u="1"/>
        <n v="0.80785710711654979" u="1"/>
        <n v="0.88654740064256687" u="1"/>
        <n v="0.7733092201198265" u="1"/>
        <n v="0.85287524725318553" u="1"/>
        <n v="0.9048075970371503" u="1"/>
        <n v="0.75129679828898122" u="1"/>
        <n v="0.83483850621849431" u="1"/>
        <n v="0.74602762104474096" u="1"/>
        <n v="0.80199877157489818" u="1"/>
        <n v="0.79200935903405278" u="1"/>
        <n v="0.86100023271583648" u="1"/>
        <n v="0.77848861349179022" u="1"/>
        <n v="0.83991688358497629" u="1"/>
        <n v="0.74750338902719005" u="1"/>
        <n v="0.86257425952774236" u="1"/>
        <n v="0.77041628129119522" u="1"/>
        <n v="0.77781765622858734" u="1"/>
        <n v="0.76100712532450188" u="1"/>
        <n v="0.8697224289422878" u="1"/>
        <n v="0.94475907719669361" u="1"/>
        <n v="0.7622471091757258" u="1"/>
        <n v="0.71530354517177064" u="1"/>
        <n v="0.68477102208633489" u="1"/>
        <n v="0.65319625878514453" u="1"/>
        <n v="0.79926150175093902" u="1"/>
        <n v="0.75228088566469542" u="1"/>
        <n v="0.77393551354424395" u="1"/>
        <n v="0.95395273184301521" u="1"/>
        <n v="0.83804097065710015" u="1"/>
        <n v="0.75818076416721603" u="1"/>
        <n v="1.0905601854909655" u="1"/>
        <n v="1.1984340690305215" u="1"/>
        <n v="8.9004065411079942" u="1"/>
        <n v="0.57267343104549229" u="1"/>
        <n v="0.49202175267415038" u="1"/>
        <n v="0.96192799498066428" u="1"/>
        <n v="0.97148466270744227" u="1"/>
        <n v="0.98691532175153129" u="1"/>
        <n v="1.0102591623415147" u="1"/>
        <n v="0.96904976843116042" u="1"/>
        <n v="0.98024992233882213" u="1"/>
        <n v="0.97705440466622895" u="1"/>
        <n v="1.0009460739831737" u="1"/>
        <n v="0.96685845352331568" u="1"/>
        <n v="0.96436288925694624" u="1"/>
        <n v="0.97979354830103516" u="1"/>
        <n v="1.0091635048875924" u="1"/>
        <n v="0.96298693672612479" u="1"/>
        <n v="1.0218302928583245" u="1"/>
        <n v="0.96624194840044886" u="1"/>
        <n v="0.9799379311062697" u="1"/>
        <n v="0.87818210619748371" u="1"/>
        <n v="0.91114144718650147" u="1"/>
        <n v="0.92138653577787477" u="1"/>
        <n v="0.96007943466564361" u="1"/>
        <n v="0.88933933954617206" u="1"/>
        <n v="0.89506120618422125" u="1"/>
        <n v="0.92418758340234142" u="1"/>
        <n v="0.98040114760999908" u="1"/>
        <n v="0.95526169615986989" u="1"/>
        <n v="0.96098356279791897" u="1"/>
        <n v="0.94683147058610118" u="1"/>
        <n v="0.98167971444227031" u="1"/>
        <n v="0.99568292779032197" u="1"/>
        <n v="1.0011523591355158" u="1"/>
        <n v="1.0159022538100131" u="1"/>
        <n v="1.0335032807670219" u="1"/>
        <n v="1.0839494626174748" u="1"/>
        <n v="1.0737090995865746" u="1"/>
      </sharedItems>
    </cacheField>
  </cacheFields>
  <extLst>
    <ext xmlns:x14="http://schemas.microsoft.com/office/spreadsheetml/2009/9/main" uri="{725AE2AE-9491-48be-B2B4-4EB974FC3084}">
      <x14:pivotCacheDefinition pivotCacheId="3729703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0">
  <r>
    <x v="0"/>
    <x v="0"/>
    <n v="17095"/>
    <s v="BR"/>
  </r>
  <r>
    <x v="1"/>
    <x v="0"/>
    <n v="0"/>
    <s v="EU"/>
  </r>
  <r>
    <x v="2"/>
    <x v="0"/>
    <n v="0"/>
    <s v="CN"/>
  </r>
  <r>
    <x v="3"/>
    <x v="0"/>
    <n v="24762"/>
    <s v="EU"/>
  </r>
  <r>
    <x v="4"/>
    <x v="0"/>
    <n v="0"/>
    <s v="CN"/>
  </r>
  <r>
    <x v="5"/>
    <x v="0"/>
    <n v="147551"/>
    <s v="EU"/>
  </r>
  <r>
    <x v="6"/>
    <x v="0"/>
    <n v="0"/>
    <s v="EU"/>
  </r>
  <r>
    <x v="7"/>
    <x v="0"/>
    <n v="69830"/>
    <s v="EU"/>
  </r>
  <r>
    <x v="8"/>
    <x v="0"/>
    <n v="69038"/>
    <s v="EU"/>
  </r>
  <r>
    <x v="9"/>
    <x v="0"/>
    <n v="628254"/>
    <s v="CN"/>
  </r>
  <r>
    <x v="10"/>
    <x v="0"/>
    <n v="45704"/>
    <s v="BR"/>
  </r>
  <r>
    <x v="0"/>
    <x v="1"/>
    <n v="20240"/>
    <s v="BR"/>
  </r>
  <r>
    <x v="1"/>
    <x v="1"/>
    <n v="11073"/>
    <s v="EU"/>
  </r>
  <r>
    <x v="2"/>
    <x v="1"/>
    <n v="0"/>
    <s v="CN"/>
  </r>
  <r>
    <x v="3"/>
    <x v="1"/>
    <n v="0"/>
    <s v="EU"/>
  </r>
  <r>
    <x v="4"/>
    <x v="1"/>
    <n v="0"/>
    <s v="CN"/>
  </r>
  <r>
    <x v="5"/>
    <x v="1"/>
    <n v="0"/>
    <s v="EU"/>
  </r>
  <r>
    <x v="6"/>
    <x v="1"/>
    <n v="22354"/>
    <s v="EU"/>
  </r>
  <r>
    <x v="7"/>
    <x v="1"/>
    <n v="62066"/>
    <s v="EU"/>
  </r>
  <r>
    <x v="8"/>
    <x v="1"/>
    <n v="0"/>
    <s v="EU"/>
  </r>
  <r>
    <x v="9"/>
    <x v="1"/>
    <n v="534037"/>
    <s v="CN"/>
  </r>
  <r>
    <x v="10"/>
    <x v="1"/>
    <n v="45193"/>
    <s v="BR"/>
  </r>
  <r>
    <x v="0"/>
    <x v="2"/>
    <n v="113255"/>
    <s v="BR"/>
  </r>
  <r>
    <x v="1"/>
    <x v="2"/>
    <n v="11128"/>
    <s v="EU"/>
  </r>
  <r>
    <x v="2"/>
    <x v="2"/>
    <n v="240"/>
    <s v="CN"/>
  </r>
  <r>
    <x v="3"/>
    <x v="2"/>
    <n v="49085"/>
    <s v="EU"/>
  </r>
  <r>
    <x v="4"/>
    <x v="2"/>
    <n v="20154"/>
    <s v="CN"/>
  </r>
  <r>
    <x v="5"/>
    <x v="2"/>
    <n v="49830"/>
    <s v="EU"/>
  </r>
  <r>
    <x v="6"/>
    <x v="2"/>
    <n v="21592"/>
    <s v="EU"/>
  </r>
  <r>
    <x v="7"/>
    <x v="2"/>
    <n v="95428"/>
    <s v="EU"/>
  </r>
  <r>
    <x v="8"/>
    <x v="2"/>
    <n v="68332"/>
    <s v="EU"/>
  </r>
  <r>
    <x v="9"/>
    <x v="2"/>
    <n v="618882"/>
    <s v="CN"/>
  </r>
  <r>
    <x v="10"/>
    <x v="2"/>
    <n v="0"/>
    <s v="BR"/>
  </r>
  <r>
    <x v="0"/>
    <x v="3"/>
    <n v="49344"/>
    <s v="BR"/>
  </r>
  <r>
    <x v="1"/>
    <x v="3"/>
    <n v="0"/>
    <s v="EU"/>
  </r>
  <r>
    <x v="2"/>
    <x v="3"/>
    <n v="256"/>
    <s v="CN"/>
  </r>
  <r>
    <x v="3"/>
    <x v="3"/>
    <n v="120172"/>
    <s v="EU"/>
  </r>
  <r>
    <x v="4"/>
    <x v="3"/>
    <n v="0"/>
    <s v="CN"/>
  </r>
  <r>
    <x v="5"/>
    <x v="3"/>
    <n v="98604"/>
    <s v="EU"/>
  </r>
  <r>
    <x v="6"/>
    <x v="3"/>
    <n v="0"/>
    <s v="EU"/>
  </r>
  <r>
    <x v="7"/>
    <x v="3"/>
    <n v="71065"/>
    <s v="EU"/>
  </r>
  <r>
    <x v="8"/>
    <x v="3"/>
    <n v="44808"/>
    <s v="EU"/>
  </r>
  <r>
    <x v="9"/>
    <x v="3"/>
    <n v="306991"/>
    <s v="CN"/>
  </r>
  <r>
    <x v="10"/>
    <x v="3"/>
    <n v="0"/>
    <s v="BR"/>
  </r>
  <r>
    <x v="0"/>
    <x v="4"/>
    <n v="98444"/>
    <s v="BR"/>
  </r>
  <r>
    <x v="1"/>
    <x v="4"/>
    <n v="25139"/>
    <s v="EU"/>
  </r>
  <r>
    <x v="2"/>
    <x v="4"/>
    <n v="0"/>
    <s v="CN"/>
  </r>
  <r>
    <x v="3"/>
    <x v="4"/>
    <n v="148019"/>
    <s v="EU"/>
  </r>
  <r>
    <x v="4"/>
    <x v="4"/>
    <n v="0"/>
    <s v="CN"/>
  </r>
  <r>
    <x v="5"/>
    <x v="4"/>
    <n v="98282"/>
    <s v="EU"/>
  </r>
  <r>
    <x v="6"/>
    <x v="4"/>
    <n v="67803"/>
    <s v="EU"/>
  </r>
  <r>
    <x v="7"/>
    <x v="4"/>
    <n v="95377"/>
    <s v="EU"/>
  </r>
  <r>
    <x v="8"/>
    <x v="4"/>
    <n v="46147"/>
    <s v="EU"/>
  </r>
  <r>
    <x v="9"/>
    <x v="4"/>
    <n v="350278"/>
    <s v="CN"/>
  </r>
  <r>
    <x v="10"/>
    <x v="4"/>
    <n v="15903"/>
    <s v="BR"/>
  </r>
  <r>
    <x v="0"/>
    <x v="5"/>
    <n v="171997"/>
    <s v="BR"/>
  </r>
  <r>
    <x v="1"/>
    <x v="5"/>
    <n v="0"/>
    <s v="EU"/>
  </r>
  <r>
    <x v="2"/>
    <x v="5"/>
    <n v="26408"/>
    <s v="CN"/>
  </r>
  <r>
    <x v="3"/>
    <x v="5"/>
    <n v="285600"/>
    <s v="EU"/>
  </r>
  <r>
    <x v="4"/>
    <x v="5"/>
    <n v="0"/>
    <s v="CN"/>
  </r>
  <r>
    <x v="5"/>
    <x v="5"/>
    <n v="24136"/>
    <s v="EU"/>
  </r>
  <r>
    <x v="6"/>
    <x v="5"/>
    <n v="44339"/>
    <s v="EU"/>
  </r>
  <r>
    <x v="7"/>
    <x v="5"/>
    <n v="143373"/>
    <s v="EU"/>
  </r>
  <r>
    <x v="8"/>
    <x v="5"/>
    <n v="19294"/>
    <s v="EU"/>
  </r>
  <r>
    <x v="9"/>
    <x v="5"/>
    <n v="775338"/>
    <s v="CN"/>
  </r>
  <r>
    <x v="10"/>
    <x v="5"/>
    <n v="28259"/>
    <s v="BR"/>
  </r>
  <r>
    <x v="0"/>
    <x v="6"/>
    <n v="104107"/>
    <s v="BR"/>
  </r>
  <r>
    <x v="1"/>
    <x v="6"/>
    <n v="0"/>
    <s v="EU"/>
  </r>
  <r>
    <x v="2"/>
    <x v="6"/>
    <n v="0"/>
    <s v="CN"/>
  </r>
  <r>
    <x v="3"/>
    <x v="6"/>
    <n v="49304"/>
    <s v="EU"/>
  </r>
  <r>
    <x v="4"/>
    <x v="6"/>
    <n v="0"/>
    <s v="CN"/>
  </r>
  <r>
    <x v="5"/>
    <x v="6"/>
    <n v="96860"/>
    <s v="EU"/>
  </r>
  <r>
    <x v="6"/>
    <x v="6"/>
    <n v="67023"/>
    <s v="EU"/>
  </r>
  <r>
    <x v="7"/>
    <x v="6"/>
    <n v="23180"/>
    <s v="EU"/>
  </r>
  <r>
    <x v="8"/>
    <x v="6"/>
    <n v="23336"/>
    <s v="EU"/>
  </r>
  <r>
    <x v="9"/>
    <x v="6"/>
    <n v="150327"/>
    <s v="CN"/>
  </r>
  <r>
    <x v="10"/>
    <x v="6"/>
    <n v="39751"/>
    <s v="BR"/>
  </r>
  <r>
    <x v="0"/>
    <x v="7"/>
    <n v="27675"/>
    <s v="BR"/>
  </r>
  <r>
    <x v="1"/>
    <x v="7"/>
    <n v="0"/>
    <s v="EU"/>
  </r>
  <r>
    <x v="2"/>
    <x v="7"/>
    <n v="0"/>
    <s v="CN"/>
  </r>
  <r>
    <x v="3"/>
    <x v="7"/>
    <n v="0"/>
    <s v="EU"/>
  </r>
  <r>
    <x v="4"/>
    <x v="7"/>
    <n v="0"/>
    <s v="CN"/>
  </r>
  <r>
    <x v="5"/>
    <x v="7"/>
    <n v="98488"/>
    <s v="EU"/>
  </r>
  <r>
    <x v="6"/>
    <x v="7"/>
    <n v="107195"/>
    <s v="EU"/>
  </r>
  <r>
    <x v="7"/>
    <x v="7"/>
    <n v="47782"/>
    <s v="EU"/>
  </r>
  <r>
    <x v="8"/>
    <x v="7"/>
    <n v="0"/>
    <s v="EU"/>
  </r>
  <r>
    <x v="9"/>
    <x v="7"/>
    <n v="679076"/>
    <s v="CN"/>
  </r>
  <r>
    <x v="10"/>
    <x v="7"/>
    <n v="73370"/>
    <s v="BR"/>
  </r>
  <r>
    <x v="0"/>
    <x v="8"/>
    <n v="115951"/>
    <s v="BR"/>
  </r>
  <r>
    <x v="1"/>
    <x v="8"/>
    <n v="0"/>
    <s v="EU"/>
  </r>
  <r>
    <x v="2"/>
    <x v="8"/>
    <n v="0"/>
    <s v="CN"/>
  </r>
  <r>
    <x v="3"/>
    <x v="8"/>
    <n v="48591"/>
    <s v="EU"/>
  </r>
  <r>
    <x v="4"/>
    <x v="8"/>
    <n v="0"/>
    <s v="CN"/>
  </r>
  <r>
    <x v="5"/>
    <x v="8"/>
    <n v="24955"/>
    <s v="EU"/>
  </r>
  <r>
    <x v="6"/>
    <x v="8"/>
    <n v="91335"/>
    <s v="EU"/>
  </r>
  <r>
    <x v="7"/>
    <x v="8"/>
    <n v="47032"/>
    <s v="EU"/>
  </r>
  <r>
    <x v="8"/>
    <x v="8"/>
    <n v="87109"/>
    <s v="EU"/>
  </r>
  <r>
    <x v="9"/>
    <x v="8"/>
    <n v="699823"/>
    <s v="CN"/>
  </r>
  <r>
    <x v="10"/>
    <x v="8"/>
    <n v="0"/>
    <s v="BR"/>
  </r>
  <r>
    <x v="0"/>
    <x v="9"/>
    <n v="76835"/>
    <s v="BR"/>
  </r>
  <r>
    <x v="1"/>
    <x v="9"/>
    <n v="0"/>
    <s v="EU"/>
  </r>
  <r>
    <x v="2"/>
    <x v="9"/>
    <n v="202939"/>
    <s v="CN"/>
  </r>
  <r>
    <x v="3"/>
    <x v="9"/>
    <n v="0"/>
    <s v="EU"/>
  </r>
  <r>
    <x v="4"/>
    <x v="9"/>
    <n v="0"/>
    <s v="CN"/>
  </r>
  <r>
    <x v="5"/>
    <x v="9"/>
    <n v="99843"/>
    <s v="EU"/>
  </r>
  <r>
    <x v="6"/>
    <x v="9"/>
    <n v="178034"/>
    <s v="EU"/>
  </r>
  <r>
    <x v="7"/>
    <x v="9"/>
    <n v="96105"/>
    <s v="EU"/>
  </r>
  <r>
    <x v="8"/>
    <x v="9"/>
    <n v="22746"/>
    <s v="EU"/>
  </r>
  <r>
    <x v="9"/>
    <x v="9"/>
    <n v="349784"/>
    <s v="CN"/>
  </r>
  <r>
    <x v="10"/>
    <x v="9"/>
    <n v="24288"/>
    <s v="BR"/>
  </r>
  <r>
    <x v="0"/>
    <x v="10"/>
    <n v="24912"/>
    <s v="BR"/>
  </r>
  <r>
    <x v="1"/>
    <x v="10"/>
    <n v="49058"/>
    <s v="EU"/>
  </r>
  <r>
    <x v="2"/>
    <x v="10"/>
    <n v="147064"/>
    <s v="CN"/>
  </r>
  <r>
    <x v="3"/>
    <x v="10"/>
    <n v="0"/>
    <s v="EU"/>
  </r>
  <r>
    <x v="4"/>
    <x v="10"/>
    <n v="0"/>
    <s v="CN"/>
  </r>
  <r>
    <x v="5"/>
    <x v="10"/>
    <n v="299877"/>
    <s v="EU"/>
  </r>
  <r>
    <x v="6"/>
    <x v="10"/>
    <n v="42978"/>
    <s v="EU"/>
  </r>
  <r>
    <x v="7"/>
    <x v="10"/>
    <n v="72619"/>
    <s v="EU"/>
  </r>
  <r>
    <x v="8"/>
    <x v="10"/>
    <n v="39605"/>
    <s v="EU"/>
  </r>
  <r>
    <x v="9"/>
    <x v="10"/>
    <n v="96988"/>
    <s v="CN"/>
  </r>
  <r>
    <x v="10"/>
    <x v="10"/>
    <n v="0"/>
    <s v="BR"/>
  </r>
  <r>
    <x v="0"/>
    <x v="11"/>
    <n v="70152"/>
    <s v="BR"/>
  </r>
  <r>
    <x v="1"/>
    <x v="11"/>
    <n v="0"/>
    <s v="EU"/>
  </r>
  <r>
    <x v="2"/>
    <x v="11"/>
    <n v="142375"/>
    <s v="CN"/>
  </r>
  <r>
    <x v="3"/>
    <x v="11"/>
    <n v="0"/>
    <s v="EU"/>
  </r>
  <r>
    <x v="4"/>
    <x v="11"/>
    <n v="0"/>
    <s v="CN"/>
  </r>
  <r>
    <x v="5"/>
    <x v="11"/>
    <n v="226533"/>
    <s v="EU"/>
  </r>
  <r>
    <x v="6"/>
    <x v="11"/>
    <n v="532458"/>
    <s v="EU"/>
  </r>
  <r>
    <x v="7"/>
    <x v="11"/>
    <n v="24226"/>
    <s v="EU"/>
  </r>
  <r>
    <x v="8"/>
    <x v="11"/>
    <n v="22480"/>
    <s v="EU"/>
  </r>
  <r>
    <x v="9"/>
    <x v="11"/>
    <n v="345492"/>
    <s v="CN"/>
  </r>
  <r>
    <x v="10"/>
    <x v="11"/>
    <n v="26255"/>
    <s v="BR"/>
  </r>
  <r>
    <x v="0"/>
    <x v="12"/>
    <n v="105869"/>
    <s v="BR"/>
  </r>
  <r>
    <x v="1"/>
    <x v="12"/>
    <n v="0"/>
    <s v="EU"/>
  </r>
  <r>
    <x v="2"/>
    <x v="12"/>
    <n v="224517"/>
    <s v="CN"/>
  </r>
  <r>
    <x v="3"/>
    <x v="12"/>
    <n v="0"/>
    <s v="EU"/>
  </r>
  <r>
    <x v="4"/>
    <x v="12"/>
    <n v="0"/>
    <s v="CN"/>
  </r>
  <r>
    <x v="5"/>
    <x v="12"/>
    <n v="75767"/>
    <s v="EU"/>
  </r>
  <r>
    <x v="6"/>
    <x v="12"/>
    <n v="353284"/>
    <s v="EU"/>
  </r>
  <r>
    <x v="7"/>
    <x v="12"/>
    <n v="24301"/>
    <s v="EU"/>
  </r>
  <r>
    <x v="8"/>
    <x v="12"/>
    <n v="44036"/>
    <s v="EU"/>
  </r>
  <r>
    <x v="9"/>
    <x v="12"/>
    <n v="228877"/>
    <s v="CN"/>
  </r>
  <r>
    <x v="10"/>
    <x v="12"/>
    <n v="0"/>
    <s v="BR"/>
  </r>
  <r>
    <x v="0"/>
    <x v="13"/>
    <n v="106874"/>
    <s v="BR"/>
  </r>
  <r>
    <x v="1"/>
    <x v="13"/>
    <n v="0"/>
    <s v="EU"/>
  </r>
  <r>
    <x v="2"/>
    <x v="13"/>
    <n v="0"/>
    <s v="CN"/>
  </r>
  <r>
    <x v="3"/>
    <x v="13"/>
    <n v="0"/>
    <s v="EU"/>
  </r>
  <r>
    <x v="4"/>
    <x v="13"/>
    <n v="0"/>
    <s v="CN"/>
  </r>
  <r>
    <x v="5"/>
    <x v="13"/>
    <n v="75996"/>
    <s v="EU"/>
  </r>
  <r>
    <x v="6"/>
    <x v="13"/>
    <n v="156730"/>
    <s v="EU"/>
  </r>
  <r>
    <x v="7"/>
    <x v="13"/>
    <n v="46617"/>
    <s v="EU"/>
  </r>
  <r>
    <x v="8"/>
    <x v="13"/>
    <n v="42846"/>
    <s v="EU"/>
  </r>
  <r>
    <x v="9"/>
    <x v="13"/>
    <n v="226609"/>
    <s v="CN"/>
  </r>
  <r>
    <x v="10"/>
    <x v="13"/>
    <n v="24067"/>
    <s v="BR"/>
  </r>
  <r>
    <x v="0"/>
    <x v="14"/>
    <n v="43751"/>
    <s v="BR"/>
  </r>
  <r>
    <x v="1"/>
    <x v="14"/>
    <n v="27920"/>
    <s v="EU"/>
  </r>
  <r>
    <x v="2"/>
    <x v="14"/>
    <n v="50237"/>
    <s v="CN"/>
  </r>
  <r>
    <x v="3"/>
    <x v="14"/>
    <n v="0"/>
    <s v="EU"/>
  </r>
  <r>
    <x v="4"/>
    <x v="14"/>
    <n v="0"/>
    <s v="CN"/>
  </r>
  <r>
    <x v="5"/>
    <x v="14"/>
    <n v="0"/>
    <s v="EU"/>
  </r>
  <r>
    <x v="6"/>
    <x v="14"/>
    <n v="151200"/>
    <s v="EU"/>
  </r>
  <r>
    <x v="7"/>
    <x v="14"/>
    <n v="24327"/>
    <s v="EU"/>
  </r>
  <r>
    <x v="8"/>
    <x v="14"/>
    <n v="206576"/>
    <s v="EU"/>
  </r>
  <r>
    <x v="9"/>
    <x v="14"/>
    <n v="430736"/>
    <s v="CN"/>
  </r>
  <r>
    <x v="10"/>
    <x v="14"/>
    <n v="0"/>
    <s v="BR"/>
  </r>
  <r>
    <x v="0"/>
    <x v="15"/>
    <n v="102176"/>
    <s v="BR"/>
  </r>
  <r>
    <x v="1"/>
    <x v="15"/>
    <n v="0"/>
    <s v="EU"/>
  </r>
  <r>
    <x v="2"/>
    <x v="15"/>
    <n v="203837"/>
    <s v="CN"/>
  </r>
  <r>
    <x v="5"/>
    <x v="15"/>
    <n v="99338"/>
    <s v="EU"/>
  </r>
  <r>
    <x v="6"/>
    <x v="15"/>
    <n v="0"/>
    <s v="EU"/>
  </r>
  <r>
    <x v="7"/>
    <x v="15"/>
    <n v="48186"/>
    <s v="EU"/>
  </r>
  <r>
    <x v="8"/>
    <x v="15"/>
    <n v="23255"/>
    <s v="EU"/>
  </r>
  <r>
    <x v="9"/>
    <x v="15"/>
    <n v="272303"/>
    <s v="CN"/>
  </r>
  <r>
    <x v="10"/>
    <x v="15"/>
    <n v="16541"/>
    <s v="BR"/>
  </r>
  <r>
    <x v="0"/>
    <x v="16"/>
    <n v="125794"/>
    <s v="BR"/>
  </r>
  <r>
    <x v="1"/>
    <x v="16"/>
    <n v="0"/>
    <s v="EU"/>
  </r>
  <r>
    <x v="2"/>
    <x v="16"/>
    <n v="0"/>
    <s v="CN"/>
  </r>
  <r>
    <x v="5"/>
    <x v="16"/>
    <n v="75986"/>
    <s v="EU"/>
  </r>
  <r>
    <x v="6"/>
    <x v="16"/>
    <n v="154443"/>
    <s v="EU"/>
  </r>
  <r>
    <x v="7"/>
    <x v="16"/>
    <n v="48281"/>
    <s v="EU"/>
  </r>
  <r>
    <x v="8"/>
    <x v="16"/>
    <n v="65699"/>
    <s v="EU"/>
  </r>
  <r>
    <x v="9"/>
    <x v="16"/>
    <n v="312092"/>
    <s v="CN"/>
  </r>
  <r>
    <x v="10"/>
    <x v="16"/>
    <n v="21933"/>
    <s v="BR"/>
  </r>
  <r>
    <x v="0"/>
    <x v="17"/>
    <n v="106055"/>
    <s v="BR"/>
  </r>
  <r>
    <x v="1"/>
    <x v="17"/>
    <n v="0"/>
    <s v="EU"/>
  </r>
  <r>
    <x v="2"/>
    <x v="17"/>
    <n v="92420"/>
    <s v="CN"/>
  </r>
  <r>
    <x v="5"/>
    <x v="17"/>
    <n v="50331"/>
    <s v="EU"/>
  </r>
  <r>
    <x v="6"/>
    <x v="17"/>
    <n v="368870"/>
    <s v="EU"/>
  </r>
  <r>
    <x v="7"/>
    <x v="17"/>
    <n v="71945"/>
    <s v="EU"/>
  </r>
  <r>
    <x v="8"/>
    <x v="17"/>
    <n v="42109"/>
    <s v="EU"/>
  </r>
  <r>
    <x v="9"/>
    <x v="17"/>
    <n v="46929"/>
    <s v="CN"/>
  </r>
  <r>
    <x v="10"/>
    <x v="17"/>
    <n v="3483"/>
    <s v="BR"/>
  </r>
  <r>
    <x v="0"/>
    <x v="18"/>
    <n v="289344"/>
    <s v="BR"/>
  </r>
  <r>
    <x v="1"/>
    <x v="18"/>
    <n v="0"/>
    <s v="EU"/>
  </r>
  <r>
    <x v="2"/>
    <x v="18"/>
    <n v="76797"/>
    <s v="CN"/>
  </r>
  <r>
    <x v="5"/>
    <x v="18"/>
    <n v="75027"/>
    <s v="EU"/>
  </r>
  <r>
    <x v="6"/>
    <x v="18"/>
    <n v="153503"/>
    <s v="EU"/>
  </r>
  <r>
    <x v="7"/>
    <x v="18"/>
    <n v="20857"/>
    <s v="EU"/>
  </r>
  <r>
    <x v="8"/>
    <x v="18"/>
    <n v="132635"/>
    <s v="EU"/>
  </r>
  <r>
    <x v="9"/>
    <x v="18"/>
    <n v="123336"/>
    <s v="CN"/>
  </r>
  <r>
    <x v="10"/>
    <x v="18"/>
    <n v="0"/>
    <s v="BR"/>
  </r>
  <r>
    <x v="0"/>
    <x v="19"/>
    <n v="224112"/>
    <s v="BR"/>
  </r>
  <r>
    <x v="1"/>
    <x v="19"/>
    <n v="0"/>
    <s v="EU"/>
  </r>
  <r>
    <x v="2"/>
    <x v="19"/>
    <n v="154093"/>
    <s v="CN"/>
  </r>
  <r>
    <x v="5"/>
    <x v="19"/>
    <n v="74359"/>
    <s v="EU"/>
  </r>
  <r>
    <x v="6"/>
    <x v="19"/>
    <n v="134095"/>
    <s v="EU"/>
  </r>
  <r>
    <x v="7"/>
    <x v="19"/>
    <n v="139983"/>
    <s v="EU"/>
  </r>
  <r>
    <x v="8"/>
    <x v="19"/>
    <n v="39500"/>
    <s v="EU"/>
  </r>
  <r>
    <x v="9"/>
    <x v="19"/>
    <n v="277295"/>
    <s v="CN"/>
  </r>
  <r>
    <x v="10"/>
    <x v="19"/>
    <n v="15548"/>
    <s v="BR"/>
  </r>
  <r>
    <x v="0"/>
    <x v="20"/>
    <n v="100394"/>
    <s v="BR"/>
  </r>
  <r>
    <x v="1"/>
    <x v="20"/>
    <n v="24973"/>
    <s v="EU"/>
  </r>
  <r>
    <x v="2"/>
    <x v="20"/>
    <n v="434247"/>
    <s v="CN"/>
  </r>
  <r>
    <x v="5"/>
    <x v="20"/>
    <n v="73778"/>
    <s v="EU"/>
  </r>
  <r>
    <x v="6"/>
    <x v="20"/>
    <n v="328414"/>
    <s v="EU"/>
  </r>
  <r>
    <x v="7"/>
    <x v="20"/>
    <n v="47903"/>
    <s v="EU"/>
  </r>
  <r>
    <x v="8"/>
    <x v="20"/>
    <n v="68827"/>
    <s v="EU"/>
  </r>
  <r>
    <x v="9"/>
    <x v="20"/>
    <n v="430479"/>
    <s v="CN"/>
  </r>
  <r>
    <x v="10"/>
    <x v="20"/>
    <n v="4824"/>
    <s v="BR"/>
  </r>
  <r>
    <x v="11"/>
    <x v="20"/>
    <n v="18240"/>
    <s v="JP"/>
  </r>
  <r>
    <x v="0"/>
    <x v="21"/>
    <n v="504897"/>
    <s v="BR"/>
  </r>
  <r>
    <x v="1"/>
    <x v="21"/>
    <n v="0"/>
    <s v="EU"/>
  </r>
  <r>
    <x v="2"/>
    <x v="21"/>
    <n v="128413"/>
    <s v="CN"/>
  </r>
  <r>
    <x v="5"/>
    <x v="21"/>
    <n v="74959"/>
    <s v="EU"/>
  </r>
  <r>
    <x v="6"/>
    <x v="21"/>
    <n v="131868"/>
    <s v="EU"/>
  </r>
  <r>
    <x v="7"/>
    <x v="21"/>
    <n v="72087"/>
    <s v="EU"/>
  </r>
  <r>
    <x v="8"/>
    <x v="21"/>
    <n v="22330"/>
    <s v="EU"/>
  </r>
  <r>
    <x v="9"/>
    <x v="21"/>
    <n v="356490"/>
    <s v="CN"/>
  </r>
  <r>
    <x v="10"/>
    <x v="21"/>
    <n v="9394"/>
    <s v="BR"/>
  </r>
  <r>
    <x v="11"/>
    <x v="21"/>
    <n v="0"/>
    <s v="JP"/>
  </r>
  <r>
    <x v="0"/>
    <x v="22"/>
    <n v="286195"/>
    <s v="BR"/>
  </r>
  <r>
    <x v="1"/>
    <x v="22"/>
    <n v="25111"/>
    <s v="EU"/>
  </r>
  <r>
    <x v="2"/>
    <x v="22"/>
    <n v="178686"/>
    <s v="CN"/>
  </r>
  <r>
    <x v="5"/>
    <x v="22"/>
    <n v="99936"/>
    <s v="EU"/>
  </r>
  <r>
    <x v="6"/>
    <x v="22"/>
    <n v="219031"/>
    <s v="EU"/>
  </r>
  <r>
    <x v="7"/>
    <x v="22"/>
    <n v="0"/>
    <s v="EU"/>
  </r>
  <r>
    <x v="8"/>
    <x v="22"/>
    <n v="23301"/>
    <s v="EU"/>
  </r>
  <r>
    <x v="9"/>
    <x v="22"/>
    <n v="335005"/>
    <s v="CN"/>
  </r>
  <r>
    <x v="10"/>
    <x v="22"/>
    <n v="56785"/>
    <s v="BR"/>
  </r>
  <r>
    <x v="11"/>
    <x v="22"/>
    <n v="0"/>
    <s v="JP"/>
  </r>
  <r>
    <x v="0"/>
    <x v="23"/>
    <n v="282117"/>
    <s v="BR"/>
  </r>
  <r>
    <x v="1"/>
    <x v="23"/>
    <n v="0"/>
    <s v="EU"/>
  </r>
  <r>
    <x v="2"/>
    <x v="23"/>
    <n v="176195"/>
    <s v="CN"/>
  </r>
  <r>
    <x v="5"/>
    <x v="23"/>
    <n v="49082"/>
    <s v="EU"/>
  </r>
  <r>
    <x v="6"/>
    <x v="23"/>
    <n v="106167"/>
    <s v="EU"/>
  </r>
  <r>
    <x v="7"/>
    <x v="23"/>
    <n v="73176"/>
    <s v="EU"/>
  </r>
  <r>
    <x v="8"/>
    <x v="23"/>
    <n v="64665"/>
    <s v="EU"/>
  </r>
  <r>
    <x v="9"/>
    <x v="23"/>
    <n v="53063"/>
    <s v="CN"/>
  </r>
  <r>
    <x v="10"/>
    <x v="23"/>
    <n v="99086"/>
    <s v="BR"/>
  </r>
  <r>
    <x v="11"/>
    <x v="23"/>
    <n v="18240"/>
    <s v="JP"/>
  </r>
  <r>
    <x v="0"/>
    <x v="24"/>
    <n v="283931"/>
    <s v="BR"/>
  </r>
  <r>
    <x v="1"/>
    <x v="24"/>
    <n v="0"/>
    <s v="EU"/>
  </r>
  <r>
    <x v="2"/>
    <x v="24"/>
    <n v="153364"/>
    <s v="CN"/>
  </r>
  <r>
    <x v="5"/>
    <x v="24"/>
    <n v="49717"/>
    <s v="EU"/>
  </r>
  <r>
    <x v="6"/>
    <x v="24"/>
    <n v="237825"/>
    <s v="EU"/>
  </r>
  <r>
    <x v="7"/>
    <x v="24"/>
    <n v="36033"/>
    <s v="EU"/>
  </r>
  <r>
    <x v="8"/>
    <x v="24"/>
    <n v="64966"/>
    <s v="EU"/>
  </r>
  <r>
    <x v="9"/>
    <x v="24"/>
    <n v="75793"/>
    <s v="CN"/>
  </r>
  <r>
    <x v="10"/>
    <x v="24"/>
    <n v="80913"/>
    <s v="BR"/>
  </r>
  <r>
    <x v="11"/>
    <x v="24"/>
    <n v="0"/>
    <s v="JP"/>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s v="CAIEIRAS INDUSTRIA E COMERCIO DE PAPEIS ESPECIAIS LTDA"/>
    <x v="0"/>
    <n v="17095"/>
  </r>
  <r>
    <s v="CARTIERE DI GUARCINO S.P.A."/>
    <x v="0"/>
    <n v="0"/>
  </r>
  <r>
    <s v="HANGZHOU HUAWANG NEW MATERIAL TECHNOLOGY CO"/>
    <x v="0"/>
    <n v="0"/>
  </r>
  <r>
    <s v="GEBR HOFFSUMMER SPEZIALPAPIER GmbH &amp; Co."/>
    <x v="0"/>
    <n v="24762"/>
  </r>
  <r>
    <s v="KINGDECOR (ZHEJIANG) CO., LTD"/>
    <x v="0"/>
    <n v="0"/>
  </r>
  <r>
    <s v="PAPIERFABRIK AUGUST KOEHLER AG"/>
    <x v="0"/>
    <n v="147551"/>
  </r>
  <r>
    <s v="MALTA-DECOR SP. Z O. O."/>
    <x v="0"/>
    <n v="0"/>
  </r>
  <r>
    <s v="MUNKSJÖ PAPER S/A"/>
    <x v="0"/>
    <n v="69830"/>
  </r>
  <r>
    <s v="TECHNOCELL DEKOR GMBH"/>
    <x v="0"/>
    <n v="69038"/>
  </r>
  <r>
    <s v="SUNSHINE OJI (SHOUGUANG) SPECIALTY PAPER CO.,LTD."/>
    <x v="0"/>
    <n v="628254"/>
  </r>
  <r>
    <s v="VERDE FORTE PAPEIS SA"/>
    <x v="0"/>
    <n v="45704"/>
  </r>
  <r>
    <s v="CAIEIRAS INDUSTRIA E COMERCIO DE PAPEIS ESPECIAIS LTDA"/>
    <x v="1"/>
    <n v="20240"/>
  </r>
  <r>
    <s v="CARTIERE DI GUARCINO S.P.A."/>
    <x v="1"/>
    <n v="11073"/>
  </r>
  <r>
    <s v="HANGZHOU HUAWANG NEW MATERIAL TECHNOLOGY CO"/>
    <x v="1"/>
    <n v="0"/>
  </r>
  <r>
    <s v="GEBR HOFFSUMMER SPEZIALPAPIER GmbH &amp; Co."/>
    <x v="1"/>
    <n v="0"/>
  </r>
  <r>
    <s v="KINGDECOR (ZHEJIANG) CO., LTD"/>
    <x v="1"/>
    <n v="0"/>
  </r>
  <r>
    <s v="PAPIERFABRIK AUGUST KOEHLER AG"/>
    <x v="1"/>
    <n v="0"/>
  </r>
  <r>
    <s v="MALTA-DECOR SP. Z O. O."/>
    <x v="1"/>
    <n v="22354"/>
  </r>
  <r>
    <s v="MUNKSJÖ PAPER S/A"/>
    <x v="1"/>
    <n v="62066"/>
  </r>
  <r>
    <s v="TECHNOCELL DEKOR GMBH"/>
    <x v="1"/>
    <n v="0"/>
  </r>
  <r>
    <s v="SUNSHINE OJI (SHOUGUANG) SPECIALTY PAPER CO.,LTD."/>
    <x v="1"/>
    <n v="534037"/>
  </r>
  <r>
    <s v="VERDE FORTE PAPEIS SA"/>
    <x v="1"/>
    <n v="45193"/>
  </r>
  <r>
    <s v="CAIEIRAS INDUSTRIA E COMERCIO DE PAPEIS ESPECIAIS LTDA"/>
    <x v="2"/>
    <n v="113255"/>
  </r>
  <r>
    <s v="CARTIERE DI GUARCINO S.P.A."/>
    <x v="2"/>
    <n v="11128"/>
  </r>
  <r>
    <s v="HANGZHOU HUAWANG NEW MATERIAL TECHNOLOGY CO"/>
    <x v="2"/>
    <n v="240"/>
  </r>
  <r>
    <s v="GEBR HOFFSUMMER SPEZIALPAPIER GmbH &amp; Co."/>
    <x v="2"/>
    <n v="49085"/>
  </r>
  <r>
    <s v="KINGDECOR (ZHEJIANG) CO., LTD"/>
    <x v="2"/>
    <n v="20154"/>
  </r>
  <r>
    <s v="PAPIERFABRIK AUGUST KOEHLER AG"/>
    <x v="2"/>
    <n v="49830"/>
  </r>
  <r>
    <s v="MALTA-DECOR SP. Z O. O."/>
    <x v="2"/>
    <n v="21592"/>
  </r>
  <r>
    <s v="MUNKSJÖ PAPER S/A"/>
    <x v="2"/>
    <n v="95428"/>
  </r>
  <r>
    <s v="TECHNOCELL DEKOR GMBH"/>
    <x v="2"/>
    <n v="68332"/>
  </r>
  <r>
    <s v="SUNSHINE OJI (SHOUGUANG) SPECIALTY PAPER CO.,LTD."/>
    <x v="2"/>
    <n v="618882"/>
  </r>
  <r>
    <s v="VERDE FORTE PAPEIS SA"/>
    <x v="2"/>
    <n v="0"/>
  </r>
  <r>
    <s v="CAIEIRAS INDUSTRIA E COMERCIO DE PAPEIS ESPECIAIS LTDA"/>
    <x v="3"/>
    <n v="49344"/>
  </r>
  <r>
    <s v="CARTIERE DI GUARCINO S.P.A."/>
    <x v="3"/>
    <n v="0"/>
  </r>
  <r>
    <s v="HANGZHOU HUAWANG NEW MATERIAL TECHNOLOGY CO"/>
    <x v="3"/>
    <n v="256"/>
  </r>
  <r>
    <s v="GEBR HOFFSUMMER SPEZIALPAPIER GmbH &amp; Co."/>
    <x v="3"/>
    <n v="120172"/>
  </r>
  <r>
    <s v="KINGDECOR (ZHEJIANG) CO., LTD"/>
    <x v="3"/>
    <n v="0"/>
  </r>
  <r>
    <s v="PAPIERFABRIK AUGUST KOEHLER AG"/>
    <x v="3"/>
    <n v="98604"/>
  </r>
  <r>
    <s v="MALTA-DECOR SP. Z O. O."/>
    <x v="3"/>
    <n v="0"/>
  </r>
  <r>
    <s v="MUNKSJÖ PAPER S/A"/>
    <x v="3"/>
    <n v="71065"/>
  </r>
  <r>
    <s v="TECHNOCELL DEKOR GMBH"/>
    <x v="3"/>
    <n v="44808"/>
  </r>
  <r>
    <s v="SUNSHINE OJI (SHOUGUANG) SPECIALTY PAPER CO.,LTD."/>
    <x v="3"/>
    <n v="306991"/>
  </r>
  <r>
    <s v="VERDE FORTE PAPEIS SA"/>
    <x v="3"/>
    <n v="0"/>
  </r>
  <r>
    <s v="CAIEIRAS INDUSTRIA E COMERCIO DE PAPEIS ESPECIAIS LTDA"/>
    <x v="4"/>
    <n v="98444"/>
  </r>
  <r>
    <s v="CARTIERE DI GUARCINO S.P.A."/>
    <x v="4"/>
    <n v="25139"/>
  </r>
  <r>
    <s v="HANGZHOU HUAWANG NEW MATERIAL TECHNOLOGY CO"/>
    <x v="4"/>
    <n v="0"/>
  </r>
  <r>
    <s v="GEBR HOFFSUMMER SPEZIALPAPIER GmbH &amp; Co."/>
    <x v="4"/>
    <n v="148019"/>
  </r>
  <r>
    <s v="KINGDECOR (ZHEJIANG) CO., LTD"/>
    <x v="4"/>
    <n v="0"/>
  </r>
  <r>
    <s v="PAPIERFABRIK AUGUST KOEHLER AG"/>
    <x v="4"/>
    <n v="98282"/>
  </r>
  <r>
    <s v="MALTA-DECOR SP. Z O. O."/>
    <x v="4"/>
    <n v="67803"/>
  </r>
  <r>
    <s v="MUNKSJÖ PAPER S/A"/>
    <x v="4"/>
    <n v="95377"/>
  </r>
  <r>
    <s v="TECHNOCELL DEKOR GMBH"/>
    <x v="4"/>
    <n v="46147"/>
  </r>
  <r>
    <s v="SUNSHINE OJI (SHOUGUANG) SPECIALTY PAPER CO.,LTD."/>
    <x v="4"/>
    <n v="350278"/>
  </r>
  <r>
    <s v="VERDE FORTE PAPEIS SA"/>
    <x v="4"/>
    <n v="15903"/>
  </r>
  <r>
    <s v="CAIEIRAS INDUSTRIA E COMERCIO DE PAPEIS ESPECIAIS LTDA"/>
    <x v="5"/>
    <n v="171997"/>
  </r>
  <r>
    <s v="CARTIERE DI GUARCINO S.P.A."/>
    <x v="5"/>
    <n v="0"/>
  </r>
  <r>
    <s v="HANGZHOU HUAWANG NEW MATERIAL TECHNOLOGY CO"/>
    <x v="5"/>
    <n v="26408"/>
  </r>
  <r>
    <s v="GEBR HOFFSUMMER SPEZIALPAPIER GmbH &amp; Co."/>
    <x v="5"/>
    <n v="285600"/>
  </r>
  <r>
    <s v="KINGDECOR (ZHEJIANG) CO., LTD"/>
    <x v="5"/>
    <n v="0"/>
  </r>
  <r>
    <s v="PAPIERFABRIK AUGUST KOEHLER AG"/>
    <x v="5"/>
    <n v="24136"/>
  </r>
  <r>
    <s v="MALTA-DECOR SP. Z O. O."/>
    <x v="5"/>
    <n v="44339"/>
  </r>
  <r>
    <s v="MUNKSJÖ PAPER S/A"/>
    <x v="5"/>
    <n v="143373"/>
  </r>
  <r>
    <s v="TECHNOCELL DEKOR GMBH"/>
    <x v="5"/>
    <n v="19294"/>
  </r>
  <r>
    <s v="SUNSHINE OJI (SHOUGUANG) SPECIALTY PAPER CO.,LTD."/>
    <x v="5"/>
    <n v="775338"/>
  </r>
  <r>
    <s v="VERDE FORTE PAPEIS SA"/>
    <x v="5"/>
    <n v="28259"/>
  </r>
  <r>
    <s v="CAIEIRAS INDUSTRIA E COMERCIO DE PAPEIS ESPECIAIS LTDA"/>
    <x v="6"/>
    <n v="104107"/>
  </r>
  <r>
    <s v="CARTIERE DI GUARCINO S.P.A."/>
    <x v="6"/>
    <n v="0"/>
  </r>
  <r>
    <s v="HANGZHOU HUAWANG NEW MATERIAL TECHNOLOGY CO"/>
    <x v="6"/>
    <n v="0"/>
  </r>
  <r>
    <s v="GEBR HOFFSUMMER SPEZIALPAPIER GmbH &amp; Co."/>
    <x v="6"/>
    <n v="49304"/>
  </r>
  <r>
    <s v="KINGDECOR (ZHEJIANG) CO., LTD"/>
    <x v="6"/>
    <n v="0"/>
  </r>
  <r>
    <s v="PAPIERFABRIK AUGUST KOEHLER AG"/>
    <x v="6"/>
    <n v="96860"/>
  </r>
  <r>
    <s v="MALTA-DECOR SP. Z O. O."/>
    <x v="6"/>
    <n v="67023"/>
  </r>
  <r>
    <s v="MUNKSJÖ PAPER S/A"/>
    <x v="6"/>
    <n v="23180"/>
  </r>
  <r>
    <s v="TECHNOCELL DEKOR GMBH"/>
    <x v="6"/>
    <n v="23336"/>
  </r>
  <r>
    <s v="SUNSHINE OJI (SHOUGUANG) SPECIALTY PAPER CO.,LTD."/>
    <x v="6"/>
    <n v="150327"/>
  </r>
  <r>
    <s v="VERDE FORTE PAPEIS SA"/>
    <x v="6"/>
    <n v="39751"/>
  </r>
  <r>
    <s v="CAIEIRAS INDUSTRIA E COMERCIO DE PAPEIS ESPECIAIS LTDA"/>
    <x v="7"/>
    <n v="27675"/>
  </r>
  <r>
    <s v="CARTIERE DI GUARCINO S.P.A."/>
    <x v="7"/>
    <n v="0"/>
  </r>
  <r>
    <s v="HANGZHOU HUAWANG NEW MATERIAL TECHNOLOGY CO"/>
    <x v="7"/>
    <n v="0"/>
  </r>
  <r>
    <s v="GEBR HOFFSUMMER SPEZIALPAPIER GmbH &amp; Co."/>
    <x v="7"/>
    <n v="0"/>
  </r>
  <r>
    <s v="KINGDECOR (ZHEJIANG) CO., LTD"/>
    <x v="7"/>
    <n v="0"/>
  </r>
  <r>
    <s v="PAPIERFABRIK AUGUST KOEHLER AG"/>
    <x v="7"/>
    <n v="98488"/>
  </r>
  <r>
    <s v="MALTA-DECOR SP. Z O. O."/>
    <x v="7"/>
    <n v="107195"/>
  </r>
  <r>
    <s v="MUNKSJÖ PAPER S/A"/>
    <x v="7"/>
    <n v="47782"/>
  </r>
  <r>
    <s v="TECHNOCELL DEKOR GMBH"/>
    <x v="7"/>
    <n v="0"/>
  </r>
  <r>
    <s v="SUNSHINE OJI (SHOUGUANG) SPECIALTY PAPER CO.,LTD."/>
    <x v="7"/>
    <n v="679076"/>
  </r>
  <r>
    <s v="VERDE FORTE PAPEIS SA"/>
    <x v="7"/>
    <n v="73370"/>
  </r>
  <r>
    <s v="CAIEIRAS INDUSTRIA E COMERCIO DE PAPEIS ESPECIAIS LTDA"/>
    <x v="8"/>
    <n v="115951"/>
  </r>
  <r>
    <s v="CARTIERE DI GUARCINO S.P.A."/>
    <x v="8"/>
    <n v="0"/>
  </r>
  <r>
    <s v="HANGZHOU HUAWANG NEW MATERIAL TECHNOLOGY CO"/>
    <x v="8"/>
    <n v="0"/>
  </r>
  <r>
    <s v="GEBR HOFFSUMMER SPEZIALPAPIER GmbH &amp; Co."/>
    <x v="8"/>
    <n v="48591"/>
  </r>
  <r>
    <s v="KINGDECOR (ZHEJIANG) CO., LTD"/>
    <x v="8"/>
    <n v="0"/>
  </r>
  <r>
    <s v="PAPIERFABRIK AUGUST KOEHLER AG"/>
    <x v="8"/>
    <n v="24955"/>
  </r>
  <r>
    <s v="MALTA-DECOR SP. Z O. O."/>
    <x v="8"/>
    <n v="91335"/>
  </r>
  <r>
    <s v="MUNKSJÖ PAPER S/A"/>
    <x v="8"/>
    <n v="47032"/>
  </r>
  <r>
    <s v="TECHNOCELL DEKOR GMBH"/>
    <x v="8"/>
    <n v="87109"/>
  </r>
  <r>
    <s v="SUNSHINE OJI (SHOUGUANG) SPECIALTY PAPER CO.,LTD."/>
    <x v="8"/>
    <n v="699823"/>
  </r>
  <r>
    <s v="VERDE FORTE PAPEIS SA"/>
    <x v="8"/>
    <n v="0"/>
  </r>
  <r>
    <s v="CAIEIRAS INDUSTRIA E COMERCIO DE PAPEIS ESPECIAIS LTDA"/>
    <x v="9"/>
    <n v="76835"/>
  </r>
  <r>
    <s v="CARTIERE DI GUARCINO S.P.A."/>
    <x v="9"/>
    <n v="0"/>
  </r>
  <r>
    <s v="HANGZHOU HUAWANG NEW MATERIAL TECHNOLOGY CO"/>
    <x v="9"/>
    <n v="202939"/>
  </r>
  <r>
    <s v="GEBR HOFFSUMMER SPEZIALPAPIER GmbH &amp; Co."/>
    <x v="9"/>
    <n v="0"/>
  </r>
  <r>
    <s v="KINGDECOR (ZHEJIANG) CO., LTD"/>
    <x v="9"/>
    <n v="0"/>
  </r>
  <r>
    <s v="PAPIERFABRIK AUGUST KOEHLER AG"/>
    <x v="9"/>
    <n v="99843"/>
  </r>
  <r>
    <s v="MALTA-DECOR SP. Z O. O."/>
    <x v="9"/>
    <n v="178034"/>
  </r>
  <r>
    <s v="MUNKSJÖ PAPER S/A"/>
    <x v="9"/>
    <n v="96105"/>
  </r>
  <r>
    <s v="TECHNOCELL DEKOR GMBH"/>
    <x v="9"/>
    <n v="22746"/>
  </r>
  <r>
    <s v="SUNSHINE OJI (SHOUGUANG) SPECIALTY PAPER CO.,LTD."/>
    <x v="9"/>
    <n v="349784"/>
  </r>
  <r>
    <s v="VERDE FORTE PAPEIS SA"/>
    <x v="9"/>
    <n v="24288"/>
  </r>
  <r>
    <s v="CAIEIRAS INDUSTRIA E COMERCIO DE PAPEIS ESPECIAIS LTDA"/>
    <x v="10"/>
    <n v="24912"/>
  </r>
  <r>
    <s v="CARTIERE DI GUARCINO S.P.A."/>
    <x v="10"/>
    <n v="49058"/>
  </r>
  <r>
    <s v="HANGZHOU HUAWANG NEW MATERIAL TECHNOLOGY CO"/>
    <x v="10"/>
    <n v="147064"/>
  </r>
  <r>
    <s v="GEBR HOFFSUMMER SPEZIALPAPIER GmbH &amp; Co."/>
    <x v="10"/>
    <n v="0"/>
  </r>
  <r>
    <s v="KINGDECOR (ZHEJIANG) CO., LTD"/>
    <x v="10"/>
    <n v="0"/>
  </r>
  <r>
    <s v="PAPIERFABRIK AUGUST KOEHLER AG"/>
    <x v="10"/>
    <n v="299877"/>
  </r>
  <r>
    <s v="MALTA-DECOR SP. Z O. O."/>
    <x v="10"/>
    <n v="42978"/>
  </r>
  <r>
    <s v="MUNKSJÖ PAPER S/A"/>
    <x v="10"/>
    <n v="72619"/>
  </r>
  <r>
    <s v="TECHNOCELL DEKOR GMBH"/>
    <x v="10"/>
    <n v="39605"/>
  </r>
  <r>
    <s v="SUNSHINE OJI (SHOUGUANG) SPECIALTY PAPER CO.,LTD."/>
    <x v="10"/>
    <n v="96988"/>
  </r>
  <r>
    <s v="VERDE FORTE PAPEIS SA"/>
    <x v="10"/>
    <n v="0"/>
  </r>
  <r>
    <s v="CAIEIRAS INDUSTRIA E COMERCIO DE PAPEIS ESPECIAIS LTDA"/>
    <x v="11"/>
    <n v="70152"/>
  </r>
  <r>
    <s v="CARTIERE DI GUARCINO S.P.A."/>
    <x v="11"/>
    <n v="0"/>
  </r>
  <r>
    <s v="HANGZHOU HUAWANG NEW MATERIAL TECHNOLOGY CO"/>
    <x v="11"/>
    <n v="142375"/>
  </r>
  <r>
    <s v="GEBR HOFFSUMMER SPEZIALPAPIER GmbH &amp; Co."/>
    <x v="11"/>
    <n v="0"/>
  </r>
  <r>
    <s v="KINGDECOR (ZHEJIANG) CO., LTD"/>
    <x v="11"/>
    <n v="0"/>
  </r>
  <r>
    <s v="PAPIERFABRIK AUGUST KOEHLER AG"/>
    <x v="11"/>
    <n v="226533"/>
  </r>
  <r>
    <s v="MALTA-DECOR SP. Z O. O."/>
    <x v="11"/>
    <n v="532458"/>
  </r>
  <r>
    <s v="MUNKSJÖ PAPER S/A"/>
    <x v="11"/>
    <n v="24226"/>
  </r>
  <r>
    <s v="TECHNOCELL DEKOR GMBH"/>
    <x v="11"/>
    <n v="22480"/>
  </r>
  <r>
    <s v="SUNSHINE OJI (SHOUGUANG) SPECIALTY PAPER CO.,LTD."/>
    <x v="11"/>
    <n v="345492"/>
  </r>
  <r>
    <s v="VERDE FORTE PAPEIS SA"/>
    <x v="11"/>
    <n v="26255"/>
  </r>
  <r>
    <s v="CAIEIRAS INDUSTRIA E COMERCIO DE PAPEIS ESPECIAIS LTDA"/>
    <x v="12"/>
    <n v="105869"/>
  </r>
  <r>
    <s v="CARTIERE DI GUARCINO S.P.A."/>
    <x v="12"/>
    <n v="0"/>
  </r>
  <r>
    <s v="HANGZHOU HUAWANG NEW MATERIAL TECHNOLOGY CO"/>
    <x v="12"/>
    <n v="224517"/>
  </r>
  <r>
    <s v="GEBR HOFFSUMMER SPEZIALPAPIER GmbH &amp; Co."/>
    <x v="12"/>
    <n v="0"/>
  </r>
  <r>
    <s v="KINGDECOR (ZHEJIANG) CO., LTD"/>
    <x v="12"/>
    <n v="0"/>
  </r>
  <r>
    <s v="PAPIERFABRIK AUGUST KOEHLER AG"/>
    <x v="12"/>
    <n v="75767"/>
  </r>
  <r>
    <s v="MALTA-DECOR SP. Z O. O."/>
    <x v="12"/>
    <n v="353284"/>
  </r>
  <r>
    <s v="MUNKSJÖ PAPER S/A"/>
    <x v="12"/>
    <n v="24301"/>
  </r>
  <r>
    <s v="TECHNOCELL DEKOR GMBH"/>
    <x v="12"/>
    <n v="44036"/>
  </r>
  <r>
    <s v="SUNSHINE OJI (SHOUGUANG) SPECIALTY PAPER CO.,LTD."/>
    <x v="12"/>
    <n v="228877"/>
  </r>
  <r>
    <s v="VERDE FORTE PAPEIS SA"/>
    <x v="12"/>
    <n v="0"/>
  </r>
  <r>
    <s v="CAIEIRAS INDUSTRIA E COMERCIO DE PAPEIS ESPECIAIS LTDA"/>
    <x v="13"/>
    <n v="106874"/>
  </r>
  <r>
    <s v="CARTIERE DI GUARCINO S.P.A."/>
    <x v="13"/>
    <n v="0"/>
  </r>
  <r>
    <s v="HANGZHOU HUAWANG NEW MATERIAL TECHNOLOGY CO"/>
    <x v="13"/>
    <n v="0"/>
  </r>
  <r>
    <s v="GEBR HOFFSUMMER SPEZIALPAPIER GmbH &amp; Co."/>
    <x v="13"/>
    <n v="0"/>
  </r>
  <r>
    <s v="KINGDECOR (ZHEJIANG) CO., LTD"/>
    <x v="13"/>
    <n v="0"/>
  </r>
  <r>
    <s v="PAPIERFABRIK AUGUST KOEHLER AG"/>
    <x v="13"/>
    <n v="75996"/>
  </r>
  <r>
    <s v="MALTA-DECOR SP. Z O. O."/>
    <x v="13"/>
    <n v="156730"/>
  </r>
  <r>
    <s v="MUNKSJÖ PAPER S/A"/>
    <x v="13"/>
    <n v="46617"/>
  </r>
  <r>
    <s v="TECHNOCELL DEKOR GMBH"/>
    <x v="13"/>
    <n v="42846"/>
  </r>
  <r>
    <s v="SUNSHINE OJI (SHOUGUANG) SPECIALTY PAPER CO.,LTD."/>
    <x v="13"/>
    <n v="226609"/>
  </r>
  <r>
    <s v="VERDE FORTE PAPEIS SA"/>
    <x v="13"/>
    <n v="24067"/>
  </r>
  <r>
    <s v="CAIEIRAS INDUSTRIA E COMERCIO DE PAPEIS ESPECIAIS LTDA"/>
    <x v="14"/>
    <n v="43751"/>
  </r>
  <r>
    <s v="CARTIERE DI GUARCINO S.P.A."/>
    <x v="14"/>
    <n v="27920"/>
  </r>
  <r>
    <s v="HANGZHOU HUAWANG NEW MATERIAL TECHNOLOGY CO"/>
    <x v="14"/>
    <n v="50237"/>
  </r>
  <r>
    <s v="GEBR HOFFSUMMER SPEZIALPAPIER GmbH &amp; Co."/>
    <x v="14"/>
    <n v="0"/>
  </r>
  <r>
    <s v="KINGDECOR (ZHEJIANG) CO., LTD"/>
    <x v="14"/>
    <n v="0"/>
  </r>
  <r>
    <s v="PAPIERFABRIK AUGUST KOEHLER AG"/>
    <x v="14"/>
    <n v="0"/>
  </r>
  <r>
    <s v="MALTA-DECOR SP. Z O. O."/>
    <x v="14"/>
    <n v="151200"/>
  </r>
  <r>
    <s v="MUNKSJÖ PAPER S/A"/>
    <x v="14"/>
    <n v="24327"/>
  </r>
  <r>
    <s v="TECHNOCELL DEKOR GMBH"/>
    <x v="14"/>
    <n v="206576"/>
  </r>
  <r>
    <s v="SUNSHINE OJI (SHOUGUANG) SPECIALTY PAPER CO.,LTD."/>
    <x v="14"/>
    <n v="430736"/>
  </r>
  <r>
    <s v="VERDE FORTE PAPEIS SA"/>
    <x v="14"/>
    <n v="0"/>
  </r>
  <r>
    <s v="CAIEIRAS INDUSTRIA E COMERCIO DE PAPEIS ESPECIAIS LTDA"/>
    <x v="15"/>
    <n v="102176"/>
  </r>
  <r>
    <s v="CARTIERE DI GUARCINO S.P.A."/>
    <x v="15"/>
    <n v="0"/>
  </r>
  <r>
    <s v="HANGZHOU HUAWANG NEW MATERIAL TECHNOLOGY CO"/>
    <x v="15"/>
    <n v="203837"/>
  </r>
  <r>
    <s v="PAPIERFABRIK AUGUST KOEHLER AG"/>
    <x v="15"/>
    <n v="99338"/>
  </r>
  <r>
    <s v="MALTA-DECOR SP. Z O. O."/>
    <x v="15"/>
    <n v="0"/>
  </r>
  <r>
    <s v="MUNKSJÖ PAPER S/A"/>
    <x v="15"/>
    <n v="48186"/>
  </r>
  <r>
    <s v="TECHNOCELL DEKOR GMBH"/>
    <x v="15"/>
    <n v="23255"/>
  </r>
  <r>
    <s v="SUNSHINE OJI (SHOUGUANG) SPECIALTY PAPER CO.,LTD."/>
    <x v="15"/>
    <n v="272303"/>
  </r>
  <r>
    <s v="VERDE FORTE PAPEIS SA"/>
    <x v="15"/>
    <n v="16541"/>
  </r>
  <r>
    <s v="CAIEIRAS INDUSTRIA E COMERCIO DE PAPEIS ESPECIAIS LTDA"/>
    <x v="16"/>
    <n v="125794"/>
  </r>
  <r>
    <s v="CARTIERE DI GUARCINO S.P.A."/>
    <x v="16"/>
    <n v="0"/>
  </r>
  <r>
    <s v="HANGZHOU HUAWANG NEW MATERIAL TECHNOLOGY CO"/>
    <x v="16"/>
    <n v="0"/>
  </r>
  <r>
    <s v="PAPIERFABRIK AUGUST KOEHLER AG"/>
    <x v="16"/>
    <n v="75986"/>
  </r>
  <r>
    <s v="MALTA-DECOR SP. Z O. O."/>
    <x v="16"/>
    <n v="154443"/>
  </r>
  <r>
    <s v="MUNKSJÖ PAPER S/A"/>
    <x v="16"/>
    <n v="48281"/>
  </r>
  <r>
    <s v="TECHNOCELL DEKOR GMBH"/>
    <x v="16"/>
    <n v="65699"/>
  </r>
  <r>
    <s v="SUNSHINE OJI (SHOUGUANG) SPECIALTY PAPER CO.,LTD."/>
    <x v="16"/>
    <n v="312092"/>
  </r>
  <r>
    <s v="VERDE FORTE PAPEIS SA"/>
    <x v="16"/>
    <n v="21933"/>
  </r>
  <r>
    <s v="CAIEIRAS INDUSTRIA E COMERCIO DE PAPEIS ESPECIAIS LTDA"/>
    <x v="17"/>
    <n v="106055"/>
  </r>
  <r>
    <s v="CARTIERE DI GUARCINO S.P.A."/>
    <x v="17"/>
    <n v="0"/>
  </r>
  <r>
    <s v="HANGZHOU HUAWANG NEW MATERIAL TECHNOLOGY CO"/>
    <x v="17"/>
    <n v="92420"/>
  </r>
  <r>
    <s v="PAPIERFABRIK AUGUST KOEHLER AG"/>
    <x v="17"/>
    <n v="50331"/>
  </r>
  <r>
    <s v="MALTA-DECOR SP. Z O. O."/>
    <x v="17"/>
    <n v="368870"/>
  </r>
  <r>
    <s v="MUNKSJÖ PAPER S/A"/>
    <x v="17"/>
    <n v="71945"/>
  </r>
  <r>
    <s v="TECHNOCELL DEKOR GMBH"/>
    <x v="17"/>
    <n v="42109"/>
  </r>
  <r>
    <s v="SUNSHINE OJI (SHOUGUANG) SPECIALTY PAPER CO.,LTD."/>
    <x v="17"/>
    <n v="46929"/>
  </r>
  <r>
    <s v="VERDE FORTE PAPEIS SA"/>
    <x v="17"/>
    <n v="3483"/>
  </r>
  <r>
    <s v="CAIEIRAS INDUSTRIA E COMERCIO DE PAPEIS ESPECIAIS LTDA"/>
    <x v="18"/>
    <n v="289344"/>
  </r>
  <r>
    <s v="CARTIERE DI GUARCINO S.P.A."/>
    <x v="18"/>
    <n v="0"/>
  </r>
  <r>
    <s v="HANGZHOU HUAWANG NEW MATERIAL TECHNOLOGY CO"/>
    <x v="18"/>
    <n v="76797"/>
  </r>
  <r>
    <s v="PAPIERFABRIK AUGUST KOEHLER AG"/>
    <x v="18"/>
    <n v="75027"/>
  </r>
  <r>
    <s v="MALTA-DECOR SP. Z O. O."/>
    <x v="18"/>
    <n v="153503"/>
  </r>
  <r>
    <s v="MUNKSJÖ PAPER S/A"/>
    <x v="18"/>
    <n v="20857"/>
  </r>
  <r>
    <s v="TECHNOCELL DEKOR GMBH"/>
    <x v="18"/>
    <n v="132635"/>
  </r>
  <r>
    <s v="SUNSHINE OJI (SHOUGUANG) SPECIALTY PAPER CO.,LTD."/>
    <x v="18"/>
    <n v="123336"/>
  </r>
  <r>
    <s v="VERDE FORTE PAPEIS SA"/>
    <x v="18"/>
    <n v="0"/>
  </r>
  <r>
    <s v="CAIEIRAS INDUSTRIA E COMERCIO DE PAPEIS ESPECIAIS LTDA"/>
    <x v="19"/>
    <n v="224112"/>
  </r>
  <r>
    <s v="CARTIERE DI GUARCINO S.P.A."/>
    <x v="19"/>
    <n v="0"/>
  </r>
  <r>
    <s v="HANGZHOU HUAWANG NEW MATERIAL TECHNOLOGY CO"/>
    <x v="19"/>
    <n v="154093"/>
  </r>
  <r>
    <s v="PAPIERFABRIK AUGUST KOEHLER AG"/>
    <x v="19"/>
    <n v="74359"/>
  </r>
  <r>
    <s v="MALTA-DECOR SP. Z O. O."/>
    <x v="19"/>
    <n v="134095"/>
  </r>
  <r>
    <s v="MUNKSJÖ PAPER S/A"/>
    <x v="19"/>
    <n v="139983"/>
  </r>
  <r>
    <s v="TECHNOCELL DEKOR GMBH"/>
    <x v="19"/>
    <n v="39500"/>
  </r>
  <r>
    <s v="SUNSHINE OJI (SHOUGUANG) SPECIALTY PAPER CO.,LTD."/>
    <x v="19"/>
    <n v="277295"/>
  </r>
  <r>
    <s v="VERDE FORTE PAPEIS SA"/>
    <x v="19"/>
    <n v="15548"/>
  </r>
  <r>
    <s v="CAIEIRAS INDUSTRIA E COMERCIO DE PAPEIS ESPECIAIS LTDA"/>
    <x v="20"/>
    <n v="100394"/>
  </r>
  <r>
    <s v="CARTIERE DI GUARCINO S.P.A."/>
    <x v="20"/>
    <n v="24973"/>
  </r>
  <r>
    <s v="HANGZHOU HUAWANG NEW MATERIAL TECHNOLOGY CO"/>
    <x v="20"/>
    <n v="434247"/>
  </r>
  <r>
    <s v="PAPIERFABRIK AUGUST KOEHLER AG"/>
    <x v="20"/>
    <n v="73778"/>
  </r>
  <r>
    <s v="MALTA-DECOR SP. Z O. O."/>
    <x v="20"/>
    <n v="328414"/>
  </r>
  <r>
    <s v="MUNKSJÖ PAPER S/A"/>
    <x v="20"/>
    <n v="47903"/>
  </r>
  <r>
    <s v="TECHNOCELL DEKOR GMBH"/>
    <x v="20"/>
    <n v="68827"/>
  </r>
  <r>
    <s v="SUNSHINE OJI (SHOUGUANG) SPECIALTY PAPER CO.,LTD."/>
    <x v="20"/>
    <n v="430479"/>
  </r>
  <r>
    <s v="VERDE FORTE PAPEIS SA"/>
    <x v="20"/>
    <n v="4824"/>
  </r>
  <r>
    <s v="TENTOK PAPER CO. LTD."/>
    <x v="20"/>
    <n v="18240"/>
  </r>
  <r>
    <s v="CAIEIRAS INDUSTRIA E COMERCIO DE PAPEIS ESPECIAIS LTDA"/>
    <x v="21"/>
    <n v="504897"/>
  </r>
  <r>
    <s v="CARTIERE DI GUARCINO S.P.A."/>
    <x v="21"/>
    <n v="0"/>
  </r>
  <r>
    <s v="HANGZHOU HUAWANG NEW MATERIAL TECHNOLOGY CO"/>
    <x v="21"/>
    <n v="128413"/>
  </r>
  <r>
    <s v="PAPIERFABRIK AUGUST KOEHLER AG"/>
    <x v="21"/>
    <n v="74959"/>
  </r>
  <r>
    <s v="MALTA-DECOR SP. Z O. O."/>
    <x v="21"/>
    <n v="131868"/>
  </r>
  <r>
    <s v="MUNKSJÖ PAPER S/A"/>
    <x v="21"/>
    <n v="72087"/>
  </r>
  <r>
    <s v="TECHNOCELL DEKOR GMBH"/>
    <x v="21"/>
    <n v="22330"/>
  </r>
  <r>
    <s v="SUNSHINE OJI (SHOUGUANG) SPECIALTY PAPER CO.,LTD."/>
    <x v="21"/>
    <n v="356490"/>
  </r>
  <r>
    <s v="VERDE FORTE PAPEIS SA"/>
    <x v="21"/>
    <n v="9394"/>
  </r>
  <r>
    <s v="TENTOK PAPER CO. LTD."/>
    <x v="21"/>
    <n v="0"/>
  </r>
  <r>
    <s v="CAIEIRAS INDUSTRIA E COMERCIO DE PAPEIS ESPECIAIS LTDA"/>
    <x v="22"/>
    <n v="286195"/>
  </r>
  <r>
    <s v="CARTIERE DI GUARCINO S.P.A."/>
    <x v="22"/>
    <n v="25111"/>
  </r>
  <r>
    <s v="HANGZHOU HUAWANG NEW MATERIAL TECHNOLOGY CO"/>
    <x v="22"/>
    <n v="178686"/>
  </r>
  <r>
    <s v="PAPIERFABRIK AUGUST KOEHLER AG"/>
    <x v="22"/>
    <n v="99936"/>
  </r>
  <r>
    <s v="MALTA-DECOR SP. Z O. O."/>
    <x v="22"/>
    <n v="219031"/>
  </r>
  <r>
    <s v="MUNKSJÖ PAPER S/A"/>
    <x v="22"/>
    <n v="0"/>
  </r>
  <r>
    <s v="TECHNOCELL DEKOR GMBH"/>
    <x v="22"/>
    <n v="23301"/>
  </r>
  <r>
    <s v="SUNSHINE OJI (SHOUGUANG) SPECIALTY PAPER CO.,LTD."/>
    <x v="22"/>
    <n v="335005"/>
  </r>
  <r>
    <s v="VERDE FORTE PAPEIS SA"/>
    <x v="22"/>
    <n v="56785"/>
  </r>
  <r>
    <s v="TENTOK PAPER CO. LTD."/>
    <x v="22"/>
    <n v="0"/>
  </r>
  <r>
    <s v="CAIEIRAS INDUSTRIA E COMERCIO DE PAPEIS ESPECIAIS LTDA"/>
    <x v="23"/>
    <n v="282117"/>
  </r>
  <r>
    <s v="CARTIERE DI GUARCINO S.P.A."/>
    <x v="23"/>
    <n v="0"/>
  </r>
  <r>
    <s v="HANGZHOU HUAWANG NEW MATERIAL TECHNOLOGY CO"/>
    <x v="23"/>
    <n v="176195"/>
  </r>
  <r>
    <s v="PAPIERFABRIK AUGUST KOEHLER AG"/>
    <x v="23"/>
    <n v="49082"/>
  </r>
  <r>
    <s v="MALTA-DECOR SP. Z O. O."/>
    <x v="23"/>
    <n v="106167"/>
  </r>
  <r>
    <s v="MUNKSJÖ PAPER S/A"/>
    <x v="23"/>
    <n v="73176"/>
  </r>
  <r>
    <s v="TECHNOCELL DEKOR GMBH"/>
    <x v="23"/>
    <n v="64665"/>
  </r>
  <r>
    <s v="SUNSHINE OJI (SHOUGUANG) SPECIALTY PAPER CO.,LTD."/>
    <x v="23"/>
    <n v="53063"/>
  </r>
  <r>
    <s v="VERDE FORTE PAPEIS SA"/>
    <x v="23"/>
    <n v="99086"/>
  </r>
  <r>
    <s v="TENTOK PAPER CO. LTD."/>
    <x v="23"/>
    <n v="18240"/>
  </r>
  <r>
    <s v="CAIEIRAS INDUSTRIA E COMERCIO DE PAPEIS ESPECIAIS LTDA"/>
    <x v="24"/>
    <n v="283931"/>
  </r>
  <r>
    <s v="CARTIERE DI GUARCINO S.P.A."/>
    <x v="24"/>
    <n v="0"/>
  </r>
  <r>
    <s v="HANGZHOU HUAWANG NEW MATERIAL TECHNOLOGY CO"/>
    <x v="24"/>
    <n v="153364"/>
  </r>
  <r>
    <s v="PAPIERFABRIK AUGUST KOEHLER AG"/>
    <x v="24"/>
    <n v="49717"/>
  </r>
  <r>
    <s v="MALTA-DECOR SP. Z O. O."/>
    <x v="24"/>
    <n v="237825"/>
  </r>
  <r>
    <s v="MUNKSJÖ PAPER S/A"/>
    <x v="24"/>
    <n v="36033"/>
  </r>
  <r>
    <s v="TECHNOCELL DEKOR GMBH"/>
    <x v="24"/>
    <n v="64966"/>
  </r>
  <r>
    <s v="SUNSHINE OJI (SHOUGUANG) SPECIALTY PAPER CO.,LTD."/>
    <x v="24"/>
    <n v="75793"/>
  </r>
  <r>
    <s v="VERDE FORTE PAPEIS SA"/>
    <x v="24"/>
    <n v="80913"/>
  </r>
  <r>
    <s v="TENTOK PAPER CO. LTD."/>
    <x v="24"/>
    <n v="0"/>
  </r>
  <r>
    <s v="CAIEIRAS INDUSTRIA E COMERCIO DE PAPEIS ESPECIAIS LTDA"/>
    <x v="25"/>
    <n v="143371"/>
  </r>
  <r>
    <s v="CARTIERE DI GUARCINO S.P.A."/>
    <x v="25"/>
    <n v="0"/>
  </r>
  <r>
    <s v="HANGZHOU HUAWANG NEW MATERIAL TECHNOLOGY CO"/>
    <x v="25"/>
    <n v="178863"/>
  </r>
  <r>
    <s v="PAPIERFABRIK AUGUST KOEHLER AG"/>
    <x v="25"/>
    <n v="100356"/>
  </r>
  <r>
    <s v="MALTA-DECOR SP. Z O. O."/>
    <x v="25"/>
    <n v="173018"/>
  </r>
  <r>
    <s v="MUNKSJÖ PAPER S/A"/>
    <x v="25"/>
    <n v="95974"/>
  </r>
  <r>
    <s v="TECHNOCELL DEKOR GMBH"/>
    <x v="25"/>
    <n v="89834"/>
  </r>
  <r>
    <s v="SUNSHINE OJI (SHOUGUANG) SPECIALTY PAPER CO.,LTD."/>
    <x v="25"/>
    <n v="383285"/>
  </r>
  <r>
    <s v="VERDE FORTE PAPEIS SA"/>
    <x v="25"/>
    <n v="82718"/>
  </r>
  <r>
    <s v="TENTOK PAPER CO. LTD."/>
    <x v="25"/>
    <n v="0"/>
  </r>
  <r>
    <s v="CAIEIRAS INDUSTRIA E COMERCIO DE PAPEIS ESPECIAIS LTDA"/>
    <x v="26"/>
    <n v="30959"/>
  </r>
  <r>
    <s v="CARTIERE DI GUARCINO S.P.A."/>
    <x v="26"/>
    <n v="24291"/>
  </r>
  <r>
    <s v="HANGZHOU HUAWANG NEW MATERIAL TECHNOLOGY CO"/>
    <x v="26"/>
    <n v="0"/>
  </r>
  <r>
    <s v="PAPIERFABRIK AUGUST KOEHLER AG"/>
    <x v="26"/>
    <n v="24858"/>
  </r>
  <r>
    <s v="MALTA-DECOR SP. Z O. O."/>
    <x v="26"/>
    <n v="87081"/>
  </r>
  <r>
    <s v="MUNKSJÖ PAPER S/A"/>
    <x v="26"/>
    <n v="24179"/>
  </r>
  <r>
    <s v="TECHNOCELL DEKOR GMBH"/>
    <x v="26"/>
    <n v="64692"/>
  </r>
  <r>
    <s v="SUNSHINE OJI (SHOUGUANG) SPECIALTY PAPER CO.,LTD."/>
    <x v="26"/>
    <n v="577252"/>
  </r>
  <r>
    <s v="VERDE FORTE PAPEIS SA"/>
    <x v="26"/>
    <n v="37580"/>
  </r>
  <r>
    <s v="TENTOK PAPER CO. LTD."/>
    <x v="26"/>
    <n v="0"/>
  </r>
  <r>
    <s v="CAIEIRAS INDUSTRIA E COMERCIO DE PAPEIS ESPECIAIS LTDA"/>
    <x v="27"/>
    <n v="49316"/>
  </r>
  <r>
    <s v="CARTIERE DI GUARCINO S.P.A."/>
    <x v="27"/>
    <n v="24648"/>
  </r>
  <r>
    <s v="HANGZHOU HUAWANG NEW MATERIAL TECHNOLOGY CO"/>
    <x v="27"/>
    <n v="224094"/>
  </r>
  <r>
    <s v="PAPIERFABRIK AUGUST KOEHLER AG"/>
    <x v="27"/>
    <n v="49511"/>
  </r>
  <r>
    <s v="MALTA-DECOR SP. Z O. O."/>
    <x v="27"/>
    <n v="21690"/>
  </r>
  <r>
    <s v="MUNKSJÖ PAPER S/A"/>
    <x v="27"/>
    <n v="34341"/>
  </r>
  <r>
    <s v="TECHNOCELL DEKOR GMBH"/>
    <x v="27"/>
    <n v="67171"/>
  </r>
  <r>
    <s v="SUNSHINE OJI (SHOUGUANG) SPECIALTY PAPER CO.,LTD."/>
    <x v="27"/>
    <n v="374884"/>
  </r>
  <r>
    <s v="VERDE FORTE PAPEIS SA"/>
    <x v="27"/>
    <n v="0"/>
  </r>
  <r>
    <s v="TENTOK PAPER CO. LTD."/>
    <x v="27"/>
    <n v="0"/>
  </r>
  <r>
    <s v="CAIEIRAS INDUSTRIA E COMERCIO DE PAPEIS ESPECIAIS LTDA"/>
    <x v="28"/>
    <n v="55992"/>
  </r>
  <r>
    <s v="CARTIERE DI GUARCINO S.P.A."/>
    <x v="28"/>
    <n v="0"/>
  </r>
  <r>
    <s v="HANGZHOU HUAWANG NEW MATERIAL TECHNOLOGY CO"/>
    <x v="28"/>
    <n v="25037"/>
  </r>
  <r>
    <s v="PAPIERFABRIK AUGUST KOEHLER AG"/>
    <x v="28"/>
    <n v="0"/>
  </r>
  <r>
    <s v="MALTA-DECOR SP. Z O. O."/>
    <x v="28"/>
    <n v="42925"/>
  </r>
  <r>
    <s v="MUNKSJÖ PAPER S/A"/>
    <x v="28"/>
    <n v="24204"/>
  </r>
  <r>
    <s v="TECHNOCELL DEKOR GMBH"/>
    <x v="28"/>
    <n v="12064"/>
  </r>
  <r>
    <s v="SUNSHINE OJI (SHOUGUANG) SPECIALTY PAPER CO.,LTD."/>
    <x v="28"/>
    <n v="375594"/>
  </r>
  <r>
    <s v="VERDE FORTE PAPEIS SA"/>
    <x v="28"/>
    <n v="66689"/>
  </r>
  <r>
    <s v="TENTOK PAPER CO. LTD."/>
    <x v="28"/>
    <n v="0"/>
  </r>
  <r>
    <s v="CAIEIRAS INDUSTRIA E COMERCIO DE PAPEIS ESPECIAIS LTDA"/>
    <x v="29"/>
    <n v="25433"/>
  </r>
  <r>
    <s v="CARTIERE DI GUARCINO S.P.A."/>
    <x v="29"/>
    <n v="0"/>
  </r>
  <r>
    <s v="HANGZHOU HUAWANG NEW MATERIAL TECHNOLOGY CO"/>
    <x v="29"/>
    <n v="26341"/>
  </r>
  <r>
    <s v="PAPIERFABRIK AUGUST KOEHLER AG"/>
    <x v="29"/>
    <n v="24939"/>
  </r>
  <r>
    <s v="MALTA-DECOR SP. Z O. O."/>
    <x v="29"/>
    <n v="0"/>
  </r>
  <r>
    <s v="MUNKSJÖ PAPER S/A"/>
    <x v="29"/>
    <n v="48737"/>
  </r>
  <r>
    <s v="TECHNOCELL DEKOR GMBH"/>
    <x v="29"/>
    <n v="0"/>
  </r>
  <r>
    <s v="SUNSHINE OJI (SHOUGUANG) SPECIALTY PAPER CO.,LTD."/>
    <x v="29"/>
    <n v="201755"/>
  </r>
  <r>
    <s v="VERDE FORTE PAPEIS SA"/>
    <x v="29"/>
    <n v="306"/>
  </r>
  <r>
    <s v="CAIEIRAS INDUSTRIA E COMERCIO DE PAPEIS ESPECIAIS LTDA"/>
    <x v="30"/>
    <n v="157586"/>
  </r>
  <r>
    <s v="CARTIERE DI GUARCINO S.P.A."/>
    <x v="30"/>
    <n v="0"/>
  </r>
  <r>
    <s v="HANGZHOU HUAWANG NEW MATERIAL TECHNOLOGY CO"/>
    <x v="30"/>
    <n v="24633"/>
  </r>
  <r>
    <s v="PAPIERFABRIK AUGUST KOEHLER AG"/>
    <x v="30"/>
    <n v="24809"/>
  </r>
  <r>
    <s v="MALTA-DECOR SP. Z O. O."/>
    <x v="30"/>
    <n v="0"/>
  </r>
  <r>
    <s v="MUNKSJÖ PAPER S/A"/>
    <x v="30"/>
    <n v="78923"/>
  </r>
  <r>
    <s v="TECHNOCELL DEKOR GMBH"/>
    <x v="30"/>
    <n v="55126"/>
  </r>
  <r>
    <s v="SUNSHINE OJI (SHOUGUANG) SPECIALTY PAPER CO.,LTD."/>
    <x v="30"/>
    <n v="180130"/>
  </r>
  <r>
    <s v="VERDE FORTE PAPEIS SA"/>
    <x v="30"/>
    <n v="27374"/>
  </r>
  <r>
    <s v="CAIEIRAS INDUSTRIA E COMERCIO DE PAPEIS ESPECIAIS LTDA"/>
    <x v="31"/>
    <n v="199449"/>
  </r>
  <r>
    <s v="CARTIERE DI GUARCINO S.P.A."/>
    <x v="31"/>
    <n v="0"/>
  </r>
  <r>
    <s v="HANGZHOU HUAWANG NEW MATERIAL TECHNOLOGY CO"/>
    <x v="31"/>
    <n v="0"/>
  </r>
  <r>
    <s v="PAPIERFABRIK AUGUST KOEHLER AG"/>
    <x v="31"/>
    <n v="98867"/>
  </r>
  <r>
    <s v="MALTA-DECOR SP. Z O. O."/>
    <x v="31"/>
    <n v="21726"/>
  </r>
  <r>
    <s v="MUNKSJÖ PAPER S/A"/>
    <x v="31"/>
    <n v="0"/>
  </r>
  <r>
    <s v="TECHNOCELL DEKOR GMBH"/>
    <x v="31"/>
    <n v="23133"/>
  </r>
  <r>
    <s v="SUNSHINE OJI (SHOUGUANG) SPECIALTY PAPER CO.,LTD."/>
    <x v="31"/>
    <n v="174173"/>
  </r>
  <r>
    <s v="VERDE FORTE PAPEIS SA"/>
    <x v="31"/>
    <n v="43219"/>
  </r>
  <r>
    <s v="CAIEIRAS INDUSTRIA E COMERCIO DE PAPEIS ESPECIAIS LTDA"/>
    <x v="32"/>
    <n v="174500"/>
  </r>
  <r>
    <s v="CARTIERE DI GUARCINO S.P.A."/>
    <x v="32"/>
    <n v="1942"/>
  </r>
  <r>
    <s v="HANGZHOU HUAWANG NEW MATERIAL TECHNOLOGY CO"/>
    <x v="32"/>
    <n v="149810"/>
  </r>
  <r>
    <s v="KINGDECOR (ZHEJIANG) CO., LTD"/>
    <x v="32"/>
    <n v="24486"/>
  </r>
  <r>
    <s v="PAPIERFABRIK AUGUST KOEHLER AG"/>
    <x v="32"/>
    <n v="74070"/>
  </r>
  <r>
    <s v="MALTA-DECOR SP. Z O. O."/>
    <x v="32"/>
    <n v="110029"/>
  </r>
  <r>
    <s v="MUNKSJÖ PAPER S/A"/>
    <x v="32"/>
    <n v="0"/>
  </r>
  <r>
    <s v="TECHNOCELL DEKOR GMBH"/>
    <x v="32"/>
    <n v="66695"/>
  </r>
  <r>
    <s v="SUNSHINE OJI (SHOUGUANG) SPECIALTY PAPER CO.,LTD."/>
    <x v="32"/>
    <n v="405297"/>
  </r>
  <r>
    <s v="VERDE FORTE PAPEIS SA"/>
    <x v="32"/>
    <n v="54133"/>
  </r>
  <r>
    <s v="CAIEIRAS INDUSTRIA E COMERCIO DE PAPEIS ESPECIAIS LTDA"/>
    <x v="33"/>
    <n v="118170"/>
  </r>
  <r>
    <s v="CARTIERE DI GUARCINO S.P.A."/>
    <x v="33"/>
    <n v="0"/>
  </r>
  <r>
    <s v="HANGZHOU HUAWANG NEW MATERIAL TECHNOLOGY CO"/>
    <x v="33"/>
    <n v="101272"/>
  </r>
  <r>
    <s v="KINGDECOR (ZHEJIANG) CO., LTD"/>
    <x v="33"/>
    <n v="0"/>
  </r>
  <r>
    <s v="PAPIERFABRIK AUGUST KOEHLER AG"/>
    <x v="33"/>
    <n v="100537"/>
  </r>
  <r>
    <s v="MALTA-DECOR SP. Z O. O."/>
    <x v="33"/>
    <n v="21333"/>
  </r>
  <r>
    <s v="MUNKSJÖ PAPER S/A"/>
    <x v="33"/>
    <n v="143308"/>
  </r>
  <r>
    <s v="TECHNOCELL DEKOR GMBH"/>
    <x v="33"/>
    <n v="1017"/>
  </r>
  <r>
    <s v="SUNSHINE OJI (SHOUGUANG) SPECIALTY PAPER CO.,LTD."/>
    <x v="33"/>
    <n v="865315"/>
  </r>
  <r>
    <s v="VERDE FORTE PAPEIS SA"/>
    <x v="33"/>
    <n v="55981"/>
  </r>
  <r>
    <s v="CAIEIRAS INDUSTRIA E COMERCIO DE PAPEIS ESPECIAIS LTDA"/>
    <x v="34"/>
    <n v="252743"/>
  </r>
  <r>
    <s v="CARTIERE DI GUARCINO S.P.A."/>
    <x v="34"/>
    <n v="0"/>
  </r>
  <r>
    <s v="HANGZHOU HUAWANG NEW MATERIAL TECHNOLOGY CO"/>
    <x v="34"/>
    <n v="321461"/>
  </r>
  <r>
    <s v="KINGDECOR (ZHEJIANG) CO., LTD"/>
    <x v="34"/>
    <n v="0"/>
  </r>
  <r>
    <s v="PAPIERFABRIK AUGUST KOEHLER AG"/>
    <x v="34"/>
    <n v="64542"/>
  </r>
  <r>
    <s v="MALTA-DECOR SP. Z O. O."/>
    <x v="34"/>
    <n v="87648"/>
  </r>
  <r>
    <s v="MUNKSJÖ PAPER S/A"/>
    <x v="34"/>
    <n v="23415"/>
  </r>
  <r>
    <s v="TECHNOCELL DEKOR GMBH"/>
    <x v="34"/>
    <n v="89385"/>
  </r>
  <r>
    <s v="SUNSHINE OJI (SHOUGUANG) SPECIALTY PAPER CO.,LTD."/>
    <x v="34"/>
    <n v="398010"/>
  </r>
  <r>
    <s v="VERDE FORTE PAPEIS SA"/>
    <x v="34"/>
    <n v="15822"/>
  </r>
  <r>
    <s v="CAIEIRAS INDUSTRIA E COMERCIO DE PAPEIS ESPECIAIS LTDA"/>
    <x v="35"/>
    <n v="101349"/>
  </r>
  <r>
    <s v="CARTIERE DI GUARCINO S.P.A."/>
    <x v="35"/>
    <n v="25142"/>
  </r>
  <r>
    <s v="HANGZHOU HUAWANG NEW MATERIAL TECHNOLOGY CO"/>
    <x v="35"/>
    <n v="728824"/>
  </r>
  <r>
    <s v="KINGDECOR (ZHEJIANG) CO., LTD"/>
    <x v="35"/>
    <n v="0"/>
  </r>
  <r>
    <s v="PAPIERFABRIK AUGUST KOEHLER AG"/>
    <x v="35"/>
    <n v="81378"/>
  </r>
  <r>
    <s v="MALTA-DECOR SP. Z O. O."/>
    <x v="35"/>
    <n v="78359"/>
  </r>
  <r>
    <s v="MUNKSJÖ PAPER S/A"/>
    <x v="35"/>
    <n v="127878"/>
  </r>
  <r>
    <s v="TECHNOCELL DEKOR GMBH"/>
    <x v="35"/>
    <n v="23324"/>
  </r>
  <r>
    <s v="SUNSHINE OJI (SHOUGUANG) SPECIALTY PAPER CO.,LTD."/>
    <x v="35"/>
    <n v="2116973"/>
  </r>
  <r>
    <s v="VERDE FORTE PAPEIS SA"/>
    <x v="35"/>
    <n v="40232"/>
  </r>
  <r>
    <s v="CAIEIRAS INDUSTRIA E COMERCIO DE PAPEIS ESPECIAIS LTDA"/>
    <x v="36"/>
    <n v="77515"/>
  </r>
  <r>
    <s v="CARTIERE DI GUARCINO S.P.A."/>
    <x v="36"/>
    <m/>
  </r>
  <r>
    <s v="HANGZHOU HUAWANG NEW MATERIAL TECHNOLOGY CO"/>
    <x v="36"/>
    <n v="25137"/>
  </r>
  <r>
    <s v="KINGDECOR (ZHEJIANG) CO., LTD"/>
    <x v="36"/>
    <m/>
  </r>
  <r>
    <s v="PAPIERFABRIK AUGUST KOEHLER AG"/>
    <x v="36"/>
    <n v="76011"/>
  </r>
  <r>
    <s v="MALTA-DECOR SP. Z O. O."/>
    <x v="36"/>
    <m/>
  </r>
  <r>
    <s v="MUNKSJÖ PAPER S/A"/>
    <x v="36"/>
    <n v="71703"/>
  </r>
  <r>
    <s v="TECHNOCELL DEKOR GMBH"/>
    <x v="36"/>
    <n v="90596"/>
  </r>
  <r>
    <s v="SUNSHINE OJI (SHOUGUANG) SPECIALTY PAPER CO.,LTD."/>
    <x v="36"/>
    <n v="50606"/>
  </r>
  <r>
    <s v="VERDE FORTE PAPEIS SA"/>
    <x v="36"/>
    <n v="71346"/>
  </r>
  <r>
    <s v="CAIEIRAS INDUSTRIA E COMERCIO DE PAPEIS ESPECIAIS LTDA"/>
    <x v="37"/>
    <n v="151970"/>
  </r>
  <r>
    <s v="CARTIERE DI GUARCINO S.P.A."/>
    <x v="37"/>
    <m/>
  </r>
  <r>
    <s v="HANGZHOU HUAWANG NEW MATERIAL TECHNOLOGY CO"/>
    <x v="37"/>
    <n v="25228"/>
  </r>
  <r>
    <s v="KINGDECOR (ZHEJIANG) CO., LTD"/>
    <x v="37"/>
    <m/>
  </r>
  <r>
    <s v="PAPIERFABRIK AUGUST KOEHLER AG"/>
    <x v="37"/>
    <n v="0"/>
  </r>
  <r>
    <s v="MALTA-DECOR SP. Z O. O."/>
    <x v="37"/>
    <m/>
  </r>
  <r>
    <s v="MUNKSJÖ PAPER S/A"/>
    <x v="37"/>
    <n v="0"/>
  </r>
  <r>
    <s v="TECHNOCELL DEKOR GMBH"/>
    <x v="37"/>
    <n v="0"/>
  </r>
  <r>
    <s v="SUNSHINE OJI (SHOUGUANG) SPECIALTY PAPER CO.,LTD."/>
    <x v="37"/>
    <n v="171600"/>
  </r>
  <r>
    <s v="VERDE FORTE PAPEIS SA"/>
    <x v="37"/>
    <n v="45411"/>
  </r>
  <r>
    <s v="CAIEIRAS INDUSTRIA E COMERCIO DE PAPEIS ESPECIAIS LTDA"/>
    <x v="38"/>
    <n v="102555"/>
  </r>
  <r>
    <s v="CARTIERE DI GUARCINO S.P.A."/>
    <x v="38"/>
    <n v="1366"/>
  </r>
  <r>
    <s v="HANGZHOU HUAWANG NEW MATERIAL TECHNOLOGY CO"/>
    <x v="38"/>
    <n v="2030"/>
  </r>
  <r>
    <s v="KINGDECOR (ZHEJIANG) CO., LTD"/>
    <x v="38"/>
    <n v="0"/>
  </r>
  <r>
    <s v="PAPIERFABRIK AUGUST KOEHLER AG"/>
    <x v="38"/>
    <n v="127312"/>
  </r>
  <r>
    <s v="MALTA-DECOR SP. Z O. O."/>
    <x v="38"/>
    <n v="60282"/>
  </r>
  <r>
    <s v="MUNKSJÖ PAPER S/A"/>
    <x v="38"/>
    <n v="122627"/>
  </r>
  <r>
    <s v="TECHNOCELL DEKOR GMBH"/>
    <x v="38"/>
    <n v="119682"/>
  </r>
  <r>
    <s v="SUNSHINE OJI (SHOUGUANG) SPECIALTY PAPER CO.,LTD."/>
    <x v="38"/>
    <n v="477856"/>
  </r>
  <r>
    <s v="VERDE FORTE PAPEIS SA"/>
    <x v="38"/>
    <n v="96296"/>
  </r>
  <r>
    <s v="CAIEIRAS INDUSTRIA E COMERCIO DE PAPEIS ESPECIAIS LTDA"/>
    <x v="39"/>
    <n v="115560"/>
  </r>
  <r>
    <s v="CARTIERE DI GUARCINO S.P.A."/>
    <x v="39"/>
    <n v="21523"/>
  </r>
  <r>
    <s v="HANGZHOU HUAWANG NEW MATERIAL TECHNOLOGY CO"/>
    <x v="39"/>
    <n v="375074"/>
  </r>
  <r>
    <s v="KINGDECOR (ZHEJIANG) CO., LTD"/>
    <x v="39"/>
    <n v="102208"/>
  </r>
  <r>
    <s v="PAPIERFABRIK AUGUST KOEHLER AG"/>
    <x v="39"/>
    <m/>
  </r>
  <r>
    <s v="MALTA-DECOR SP. Z O. O."/>
    <x v="39"/>
    <m/>
  </r>
  <r>
    <s v="MUNKSJÖ PAPER S/A"/>
    <x v="39"/>
    <n v="144244"/>
  </r>
  <r>
    <s v="TECHNOCELL DEKOR GMBH"/>
    <x v="39"/>
    <n v="68566"/>
  </r>
  <r>
    <s v="SUNSHINE OJI (SHOUGUANG) SPECIALTY PAPER CO.,LTD."/>
    <x v="39"/>
    <n v="250798"/>
  </r>
  <r>
    <s v="VERDE FORTE PAPEIS SA"/>
    <x v="39"/>
    <n v="70665"/>
  </r>
  <r>
    <m/>
    <x v="4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x v="0"/>
    <x v="0"/>
    <n v="17095"/>
  </r>
  <r>
    <x v="1"/>
    <x v="0"/>
    <n v="0"/>
  </r>
  <r>
    <x v="2"/>
    <x v="0"/>
    <n v="0"/>
  </r>
  <r>
    <x v="3"/>
    <x v="0"/>
    <n v="24762"/>
  </r>
  <r>
    <x v="4"/>
    <x v="0"/>
    <n v="0"/>
  </r>
  <r>
    <x v="5"/>
    <x v="0"/>
    <n v="147551"/>
  </r>
  <r>
    <x v="6"/>
    <x v="0"/>
    <n v="0"/>
  </r>
  <r>
    <x v="7"/>
    <x v="0"/>
    <n v="69830"/>
  </r>
  <r>
    <x v="8"/>
    <x v="0"/>
    <n v="69038"/>
  </r>
  <r>
    <x v="9"/>
    <x v="0"/>
    <n v="628254"/>
  </r>
  <r>
    <x v="10"/>
    <x v="0"/>
    <n v="45704"/>
  </r>
  <r>
    <x v="0"/>
    <x v="1"/>
    <n v="20240"/>
  </r>
  <r>
    <x v="1"/>
    <x v="1"/>
    <n v="11073"/>
  </r>
  <r>
    <x v="2"/>
    <x v="1"/>
    <n v="0"/>
  </r>
  <r>
    <x v="3"/>
    <x v="1"/>
    <n v="0"/>
  </r>
  <r>
    <x v="4"/>
    <x v="1"/>
    <n v="0"/>
  </r>
  <r>
    <x v="5"/>
    <x v="1"/>
    <n v="0"/>
  </r>
  <r>
    <x v="6"/>
    <x v="1"/>
    <n v="22354"/>
  </r>
  <r>
    <x v="7"/>
    <x v="1"/>
    <n v="62066"/>
  </r>
  <r>
    <x v="8"/>
    <x v="1"/>
    <n v="0"/>
  </r>
  <r>
    <x v="9"/>
    <x v="1"/>
    <n v="534037"/>
  </r>
  <r>
    <x v="10"/>
    <x v="1"/>
    <n v="45193"/>
  </r>
  <r>
    <x v="0"/>
    <x v="2"/>
    <n v="113255"/>
  </r>
  <r>
    <x v="1"/>
    <x v="2"/>
    <n v="11128"/>
  </r>
  <r>
    <x v="2"/>
    <x v="2"/>
    <n v="240"/>
  </r>
  <r>
    <x v="3"/>
    <x v="2"/>
    <n v="49085"/>
  </r>
  <r>
    <x v="4"/>
    <x v="2"/>
    <n v="20154"/>
  </r>
  <r>
    <x v="5"/>
    <x v="2"/>
    <n v="49830"/>
  </r>
  <r>
    <x v="6"/>
    <x v="2"/>
    <n v="21592"/>
  </r>
  <r>
    <x v="7"/>
    <x v="2"/>
    <n v="95428"/>
  </r>
  <r>
    <x v="8"/>
    <x v="2"/>
    <n v="68332"/>
  </r>
  <r>
    <x v="9"/>
    <x v="2"/>
    <n v="618882"/>
  </r>
  <r>
    <x v="10"/>
    <x v="2"/>
    <n v="0"/>
  </r>
  <r>
    <x v="0"/>
    <x v="3"/>
    <n v="49344"/>
  </r>
  <r>
    <x v="1"/>
    <x v="3"/>
    <n v="0"/>
  </r>
  <r>
    <x v="2"/>
    <x v="3"/>
    <n v="256"/>
  </r>
  <r>
    <x v="3"/>
    <x v="3"/>
    <n v="120172"/>
  </r>
  <r>
    <x v="4"/>
    <x v="3"/>
    <n v="0"/>
  </r>
  <r>
    <x v="5"/>
    <x v="3"/>
    <n v="98604"/>
  </r>
  <r>
    <x v="6"/>
    <x v="3"/>
    <n v="0"/>
  </r>
  <r>
    <x v="7"/>
    <x v="3"/>
    <n v="71065"/>
  </r>
  <r>
    <x v="8"/>
    <x v="3"/>
    <n v="44808"/>
  </r>
  <r>
    <x v="9"/>
    <x v="3"/>
    <n v="306991"/>
  </r>
  <r>
    <x v="10"/>
    <x v="3"/>
    <n v="0"/>
  </r>
  <r>
    <x v="0"/>
    <x v="4"/>
    <n v="98444"/>
  </r>
  <r>
    <x v="1"/>
    <x v="4"/>
    <n v="25139"/>
  </r>
  <r>
    <x v="2"/>
    <x v="4"/>
    <n v="0"/>
  </r>
  <r>
    <x v="3"/>
    <x v="4"/>
    <n v="148019"/>
  </r>
  <r>
    <x v="4"/>
    <x v="4"/>
    <n v="0"/>
  </r>
  <r>
    <x v="5"/>
    <x v="4"/>
    <n v="98282"/>
  </r>
  <r>
    <x v="6"/>
    <x v="4"/>
    <n v="67803"/>
  </r>
  <r>
    <x v="7"/>
    <x v="4"/>
    <n v="95377"/>
  </r>
  <r>
    <x v="8"/>
    <x v="4"/>
    <n v="46147"/>
  </r>
  <r>
    <x v="9"/>
    <x v="4"/>
    <n v="350278"/>
  </r>
  <r>
    <x v="10"/>
    <x v="4"/>
    <n v="15903"/>
  </r>
  <r>
    <x v="0"/>
    <x v="5"/>
    <n v="171997"/>
  </r>
  <r>
    <x v="1"/>
    <x v="5"/>
    <n v="0"/>
  </r>
  <r>
    <x v="2"/>
    <x v="5"/>
    <n v="26408"/>
  </r>
  <r>
    <x v="3"/>
    <x v="5"/>
    <n v="285600"/>
  </r>
  <r>
    <x v="4"/>
    <x v="5"/>
    <n v="0"/>
  </r>
  <r>
    <x v="5"/>
    <x v="5"/>
    <n v="24136"/>
  </r>
  <r>
    <x v="6"/>
    <x v="5"/>
    <n v="44339"/>
  </r>
  <r>
    <x v="7"/>
    <x v="5"/>
    <n v="143373"/>
  </r>
  <r>
    <x v="8"/>
    <x v="5"/>
    <n v="19294"/>
  </r>
  <r>
    <x v="9"/>
    <x v="5"/>
    <n v="775338"/>
  </r>
  <r>
    <x v="10"/>
    <x v="5"/>
    <n v="28259"/>
  </r>
  <r>
    <x v="0"/>
    <x v="6"/>
    <n v="104107"/>
  </r>
  <r>
    <x v="1"/>
    <x v="6"/>
    <n v="0"/>
  </r>
  <r>
    <x v="2"/>
    <x v="6"/>
    <n v="0"/>
  </r>
  <r>
    <x v="3"/>
    <x v="6"/>
    <n v="49304"/>
  </r>
  <r>
    <x v="4"/>
    <x v="6"/>
    <n v="0"/>
  </r>
  <r>
    <x v="5"/>
    <x v="6"/>
    <n v="96860"/>
  </r>
  <r>
    <x v="6"/>
    <x v="6"/>
    <n v="67023"/>
  </r>
  <r>
    <x v="7"/>
    <x v="6"/>
    <n v="23180"/>
  </r>
  <r>
    <x v="8"/>
    <x v="6"/>
    <n v="23336"/>
  </r>
  <r>
    <x v="9"/>
    <x v="6"/>
    <n v="150327"/>
  </r>
  <r>
    <x v="10"/>
    <x v="6"/>
    <n v="39751"/>
  </r>
  <r>
    <x v="0"/>
    <x v="7"/>
    <n v="27675"/>
  </r>
  <r>
    <x v="1"/>
    <x v="7"/>
    <n v="0"/>
  </r>
  <r>
    <x v="2"/>
    <x v="7"/>
    <n v="0"/>
  </r>
  <r>
    <x v="3"/>
    <x v="7"/>
    <n v="0"/>
  </r>
  <r>
    <x v="4"/>
    <x v="7"/>
    <n v="0"/>
  </r>
  <r>
    <x v="5"/>
    <x v="7"/>
    <n v="98488"/>
  </r>
  <r>
    <x v="6"/>
    <x v="7"/>
    <n v="107195"/>
  </r>
  <r>
    <x v="7"/>
    <x v="7"/>
    <n v="47782"/>
  </r>
  <r>
    <x v="8"/>
    <x v="7"/>
    <n v="0"/>
  </r>
  <r>
    <x v="9"/>
    <x v="7"/>
    <n v="679076"/>
  </r>
  <r>
    <x v="10"/>
    <x v="7"/>
    <n v="73370"/>
  </r>
  <r>
    <x v="0"/>
    <x v="8"/>
    <n v="115951"/>
  </r>
  <r>
    <x v="1"/>
    <x v="8"/>
    <n v="0"/>
  </r>
  <r>
    <x v="2"/>
    <x v="8"/>
    <n v="0"/>
  </r>
  <r>
    <x v="3"/>
    <x v="8"/>
    <n v="48591"/>
  </r>
  <r>
    <x v="4"/>
    <x v="8"/>
    <n v="0"/>
  </r>
  <r>
    <x v="5"/>
    <x v="8"/>
    <n v="24955"/>
  </r>
  <r>
    <x v="6"/>
    <x v="8"/>
    <n v="91335"/>
  </r>
  <r>
    <x v="7"/>
    <x v="8"/>
    <n v="47032"/>
  </r>
  <r>
    <x v="8"/>
    <x v="8"/>
    <n v="87109"/>
  </r>
  <r>
    <x v="9"/>
    <x v="8"/>
    <n v="699823"/>
  </r>
  <r>
    <x v="10"/>
    <x v="8"/>
    <n v="0"/>
  </r>
  <r>
    <x v="0"/>
    <x v="9"/>
    <n v="76835"/>
  </r>
  <r>
    <x v="1"/>
    <x v="9"/>
    <n v="0"/>
  </r>
  <r>
    <x v="2"/>
    <x v="9"/>
    <n v="202939"/>
  </r>
  <r>
    <x v="3"/>
    <x v="9"/>
    <n v="0"/>
  </r>
  <r>
    <x v="4"/>
    <x v="9"/>
    <n v="0"/>
  </r>
  <r>
    <x v="5"/>
    <x v="9"/>
    <n v="99843"/>
  </r>
  <r>
    <x v="6"/>
    <x v="9"/>
    <n v="178034"/>
  </r>
  <r>
    <x v="7"/>
    <x v="9"/>
    <n v="96105"/>
  </r>
  <r>
    <x v="8"/>
    <x v="9"/>
    <n v="22746"/>
  </r>
  <r>
    <x v="9"/>
    <x v="9"/>
    <n v="349784"/>
  </r>
  <r>
    <x v="10"/>
    <x v="9"/>
    <n v="24288"/>
  </r>
  <r>
    <x v="0"/>
    <x v="10"/>
    <n v="24912"/>
  </r>
  <r>
    <x v="1"/>
    <x v="10"/>
    <n v="49058"/>
  </r>
  <r>
    <x v="2"/>
    <x v="10"/>
    <n v="147064"/>
  </r>
  <r>
    <x v="3"/>
    <x v="10"/>
    <n v="0"/>
  </r>
  <r>
    <x v="4"/>
    <x v="10"/>
    <n v="0"/>
  </r>
  <r>
    <x v="5"/>
    <x v="10"/>
    <n v="299877"/>
  </r>
  <r>
    <x v="6"/>
    <x v="10"/>
    <n v="42978"/>
  </r>
  <r>
    <x v="7"/>
    <x v="10"/>
    <n v="72619"/>
  </r>
  <r>
    <x v="8"/>
    <x v="10"/>
    <n v="39605"/>
  </r>
  <r>
    <x v="9"/>
    <x v="10"/>
    <n v="96988"/>
  </r>
  <r>
    <x v="10"/>
    <x v="10"/>
    <n v="0"/>
  </r>
  <r>
    <x v="0"/>
    <x v="11"/>
    <n v="70152"/>
  </r>
  <r>
    <x v="1"/>
    <x v="11"/>
    <n v="0"/>
  </r>
  <r>
    <x v="2"/>
    <x v="11"/>
    <n v="142375"/>
  </r>
  <r>
    <x v="3"/>
    <x v="11"/>
    <n v="0"/>
  </r>
  <r>
    <x v="4"/>
    <x v="11"/>
    <n v="0"/>
  </r>
  <r>
    <x v="5"/>
    <x v="11"/>
    <n v="226533"/>
  </r>
  <r>
    <x v="6"/>
    <x v="11"/>
    <n v="532458"/>
  </r>
  <r>
    <x v="7"/>
    <x v="11"/>
    <n v="24226"/>
  </r>
  <r>
    <x v="8"/>
    <x v="11"/>
    <n v="22480"/>
  </r>
  <r>
    <x v="9"/>
    <x v="11"/>
    <n v="345492"/>
  </r>
  <r>
    <x v="10"/>
    <x v="11"/>
    <n v="26255"/>
  </r>
  <r>
    <x v="0"/>
    <x v="12"/>
    <n v="105869"/>
  </r>
  <r>
    <x v="1"/>
    <x v="12"/>
    <n v="0"/>
  </r>
  <r>
    <x v="2"/>
    <x v="12"/>
    <n v="224517"/>
  </r>
  <r>
    <x v="3"/>
    <x v="12"/>
    <n v="0"/>
  </r>
  <r>
    <x v="4"/>
    <x v="12"/>
    <n v="0"/>
  </r>
  <r>
    <x v="5"/>
    <x v="12"/>
    <n v="75767"/>
  </r>
  <r>
    <x v="6"/>
    <x v="12"/>
    <n v="353284"/>
  </r>
  <r>
    <x v="7"/>
    <x v="12"/>
    <n v="24301"/>
  </r>
  <r>
    <x v="8"/>
    <x v="12"/>
    <n v="44036"/>
  </r>
  <r>
    <x v="9"/>
    <x v="12"/>
    <n v="228877"/>
  </r>
  <r>
    <x v="10"/>
    <x v="12"/>
    <n v="0"/>
  </r>
  <r>
    <x v="0"/>
    <x v="13"/>
    <n v="106874"/>
  </r>
  <r>
    <x v="1"/>
    <x v="13"/>
    <n v="0"/>
  </r>
  <r>
    <x v="2"/>
    <x v="13"/>
    <n v="0"/>
  </r>
  <r>
    <x v="3"/>
    <x v="13"/>
    <n v="0"/>
  </r>
  <r>
    <x v="4"/>
    <x v="13"/>
    <n v="0"/>
  </r>
  <r>
    <x v="5"/>
    <x v="13"/>
    <n v="75996"/>
  </r>
  <r>
    <x v="6"/>
    <x v="13"/>
    <n v="156730"/>
  </r>
  <r>
    <x v="7"/>
    <x v="13"/>
    <n v="46617"/>
  </r>
  <r>
    <x v="8"/>
    <x v="13"/>
    <n v="42846"/>
  </r>
  <r>
    <x v="9"/>
    <x v="13"/>
    <n v="226609"/>
  </r>
  <r>
    <x v="10"/>
    <x v="13"/>
    <n v="24067"/>
  </r>
  <r>
    <x v="0"/>
    <x v="14"/>
    <n v="43751"/>
  </r>
  <r>
    <x v="1"/>
    <x v="14"/>
    <n v="27920"/>
  </r>
  <r>
    <x v="2"/>
    <x v="14"/>
    <n v="50237"/>
  </r>
  <r>
    <x v="3"/>
    <x v="14"/>
    <n v="0"/>
  </r>
  <r>
    <x v="4"/>
    <x v="14"/>
    <n v="0"/>
  </r>
  <r>
    <x v="5"/>
    <x v="14"/>
    <n v="0"/>
  </r>
  <r>
    <x v="6"/>
    <x v="14"/>
    <n v="151200"/>
  </r>
  <r>
    <x v="7"/>
    <x v="14"/>
    <n v="24327"/>
  </r>
  <r>
    <x v="8"/>
    <x v="14"/>
    <n v="206576"/>
  </r>
  <r>
    <x v="9"/>
    <x v="14"/>
    <n v="430736"/>
  </r>
  <r>
    <x v="10"/>
    <x v="14"/>
    <n v="0"/>
  </r>
  <r>
    <x v="0"/>
    <x v="15"/>
    <n v="102176"/>
  </r>
  <r>
    <x v="1"/>
    <x v="15"/>
    <n v="0"/>
  </r>
  <r>
    <x v="2"/>
    <x v="15"/>
    <n v="203837"/>
  </r>
  <r>
    <x v="5"/>
    <x v="15"/>
    <n v="99338"/>
  </r>
  <r>
    <x v="6"/>
    <x v="15"/>
    <n v="0"/>
  </r>
  <r>
    <x v="7"/>
    <x v="15"/>
    <n v="48186"/>
  </r>
  <r>
    <x v="8"/>
    <x v="15"/>
    <n v="23255"/>
  </r>
  <r>
    <x v="9"/>
    <x v="15"/>
    <n v="272303"/>
  </r>
  <r>
    <x v="10"/>
    <x v="15"/>
    <n v="16541"/>
  </r>
  <r>
    <x v="0"/>
    <x v="16"/>
    <n v="125794"/>
  </r>
  <r>
    <x v="1"/>
    <x v="16"/>
    <n v="0"/>
  </r>
  <r>
    <x v="2"/>
    <x v="16"/>
    <n v="0"/>
  </r>
  <r>
    <x v="5"/>
    <x v="16"/>
    <n v="75986"/>
  </r>
  <r>
    <x v="6"/>
    <x v="16"/>
    <n v="154443"/>
  </r>
  <r>
    <x v="7"/>
    <x v="16"/>
    <n v="48281"/>
  </r>
  <r>
    <x v="8"/>
    <x v="16"/>
    <n v="65699"/>
  </r>
  <r>
    <x v="9"/>
    <x v="16"/>
    <n v="312092"/>
  </r>
  <r>
    <x v="10"/>
    <x v="16"/>
    <n v="21933"/>
  </r>
  <r>
    <x v="0"/>
    <x v="17"/>
    <n v="106055"/>
  </r>
  <r>
    <x v="1"/>
    <x v="17"/>
    <n v="0"/>
  </r>
  <r>
    <x v="2"/>
    <x v="17"/>
    <n v="92420"/>
  </r>
  <r>
    <x v="5"/>
    <x v="17"/>
    <n v="50331"/>
  </r>
  <r>
    <x v="6"/>
    <x v="17"/>
    <n v="368870"/>
  </r>
  <r>
    <x v="7"/>
    <x v="17"/>
    <n v="71945"/>
  </r>
  <r>
    <x v="8"/>
    <x v="17"/>
    <n v="42109"/>
  </r>
  <r>
    <x v="9"/>
    <x v="17"/>
    <n v="46929"/>
  </r>
  <r>
    <x v="10"/>
    <x v="17"/>
    <n v="3483"/>
  </r>
  <r>
    <x v="0"/>
    <x v="18"/>
    <n v="289344"/>
  </r>
  <r>
    <x v="1"/>
    <x v="18"/>
    <n v="0"/>
  </r>
  <r>
    <x v="2"/>
    <x v="18"/>
    <n v="76797"/>
  </r>
  <r>
    <x v="5"/>
    <x v="18"/>
    <n v="75027"/>
  </r>
  <r>
    <x v="6"/>
    <x v="18"/>
    <n v="153503"/>
  </r>
  <r>
    <x v="7"/>
    <x v="18"/>
    <n v="20857"/>
  </r>
  <r>
    <x v="8"/>
    <x v="18"/>
    <n v="132635"/>
  </r>
  <r>
    <x v="9"/>
    <x v="18"/>
    <n v="123336"/>
  </r>
  <r>
    <x v="10"/>
    <x v="18"/>
    <n v="0"/>
  </r>
  <r>
    <x v="0"/>
    <x v="19"/>
    <n v="224112"/>
  </r>
  <r>
    <x v="1"/>
    <x v="19"/>
    <n v="0"/>
  </r>
  <r>
    <x v="2"/>
    <x v="19"/>
    <n v="154093"/>
  </r>
  <r>
    <x v="5"/>
    <x v="19"/>
    <n v="74359"/>
  </r>
  <r>
    <x v="6"/>
    <x v="19"/>
    <n v="134095"/>
  </r>
  <r>
    <x v="7"/>
    <x v="19"/>
    <n v="139983"/>
  </r>
  <r>
    <x v="8"/>
    <x v="19"/>
    <n v="39500"/>
  </r>
  <r>
    <x v="9"/>
    <x v="19"/>
    <n v="277295"/>
  </r>
  <r>
    <x v="10"/>
    <x v="19"/>
    <n v="15548"/>
  </r>
  <r>
    <x v="0"/>
    <x v="20"/>
    <n v="100394"/>
  </r>
  <r>
    <x v="1"/>
    <x v="20"/>
    <n v="24973"/>
  </r>
  <r>
    <x v="2"/>
    <x v="20"/>
    <n v="434247"/>
  </r>
  <r>
    <x v="5"/>
    <x v="20"/>
    <n v="73778"/>
  </r>
  <r>
    <x v="6"/>
    <x v="20"/>
    <n v="328414"/>
  </r>
  <r>
    <x v="7"/>
    <x v="20"/>
    <n v="47903"/>
  </r>
  <r>
    <x v="8"/>
    <x v="20"/>
    <n v="68827"/>
  </r>
  <r>
    <x v="9"/>
    <x v="20"/>
    <n v="430479"/>
  </r>
  <r>
    <x v="10"/>
    <x v="20"/>
    <n v="4824"/>
  </r>
  <r>
    <x v="11"/>
    <x v="20"/>
    <n v="18240"/>
  </r>
  <r>
    <x v="0"/>
    <x v="21"/>
    <n v="504897"/>
  </r>
  <r>
    <x v="1"/>
    <x v="21"/>
    <n v="0"/>
  </r>
  <r>
    <x v="2"/>
    <x v="21"/>
    <n v="128413"/>
  </r>
  <r>
    <x v="5"/>
    <x v="21"/>
    <n v="74959"/>
  </r>
  <r>
    <x v="6"/>
    <x v="21"/>
    <n v="131868"/>
  </r>
  <r>
    <x v="7"/>
    <x v="21"/>
    <n v="72087"/>
  </r>
  <r>
    <x v="8"/>
    <x v="21"/>
    <n v="22330"/>
  </r>
  <r>
    <x v="9"/>
    <x v="21"/>
    <n v="356490"/>
  </r>
  <r>
    <x v="10"/>
    <x v="21"/>
    <n v="9394"/>
  </r>
  <r>
    <x v="11"/>
    <x v="21"/>
    <n v="0"/>
  </r>
  <r>
    <x v="0"/>
    <x v="22"/>
    <n v="286195"/>
  </r>
  <r>
    <x v="1"/>
    <x v="22"/>
    <n v="25111"/>
  </r>
  <r>
    <x v="2"/>
    <x v="22"/>
    <n v="178686"/>
  </r>
  <r>
    <x v="5"/>
    <x v="22"/>
    <n v="99936"/>
  </r>
  <r>
    <x v="6"/>
    <x v="22"/>
    <n v="219031"/>
  </r>
  <r>
    <x v="7"/>
    <x v="22"/>
    <n v="0"/>
  </r>
  <r>
    <x v="8"/>
    <x v="22"/>
    <n v="23301"/>
  </r>
  <r>
    <x v="9"/>
    <x v="22"/>
    <n v="335005"/>
  </r>
  <r>
    <x v="10"/>
    <x v="22"/>
    <n v="56785"/>
  </r>
  <r>
    <x v="11"/>
    <x v="22"/>
    <n v="0"/>
  </r>
  <r>
    <x v="0"/>
    <x v="23"/>
    <n v="282117"/>
  </r>
  <r>
    <x v="1"/>
    <x v="23"/>
    <n v="0"/>
  </r>
  <r>
    <x v="2"/>
    <x v="23"/>
    <n v="176195"/>
  </r>
  <r>
    <x v="5"/>
    <x v="23"/>
    <n v="49082"/>
  </r>
  <r>
    <x v="6"/>
    <x v="23"/>
    <n v="106167"/>
  </r>
  <r>
    <x v="7"/>
    <x v="23"/>
    <n v="73176"/>
  </r>
  <r>
    <x v="8"/>
    <x v="23"/>
    <n v="64665"/>
  </r>
  <r>
    <x v="9"/>
    <x v="23"/>
    <n v="53063"/>
  </r>
  <r>
    <x v="10"/>
    <x v="23"/>
    <n v="99086"/>
  </r>
  <r>
    <x v="11"/>
    <x v="23"/>
    <n v="18240"/>
  </r>
  <r>
    <x v="0"/>
    <x v="24"/>
    <n v="283931"/>
  </r>
  <r>
    <x v="1"/>
    <x v="24"/>
    <n v="0"/>
  </r>
  <r>
    <x v="2"/>
    <x v="24"/>
    <n v="153364"/>
  </r>
  <r>
    <x v="5"/>
    <x v="24"/>
    <n v="49717"/>
  </r>
  <r>
    <x v="6"/>
    <x v="24"/>
    <n v="237825"/>
  </r>
  <r>
    <x v="7"/>
    <x v="24"/>
    <n v="36033"/>
  </r>
  <r>
    <x v="8"/>
    <x v="24"/>
    <n v="64966"/>
  </r>
  <r>
    <x v="9"/>
    <x v="24"/>
    <n v="75793"/>
  </r>
  <r>
    <x v="10"/>
    <x v="24"/>
    <n v="80913"/>
  </r>
  <r>
    <x v="11"/>
    <x v="24"/>
    <n v="0"/>
  </r>
  <r>
    <x v="0"/>
    <x v="25"/>
    <n v="143371"/>
  </r>
  <r>
    <x v="1"/>
    <x v="25"/>
    <n v="0"/>
  </r>
  <r>
    <x v="2"/>
    <x v="25"/>
    <n v="178863"/>
  </r>
  <r>
    <x v="5"/>
    <x v="25"/>
    <n v="100356"/>
  </r>
  <r>
    <x v="6"/>
    <x v="25"/>
    <n v="173018"/>
  </r>
  <r>
    <x v="7"/>
    <x v="25"/>
    <n v="95974"/>
  </r>
  <r>
    <x v="8"/>
    <x v="25"/>
    <n v="89834"/>
  </r>
  <r>
    <x v="9"/>
    <x v="25"/>
    <n v="383285"/>
  </r>
  <r>
    <x v="10"/>
    <x v="25"/>
    <n v="82718"/>
  </r>
  <r>
    <x v="11"/>
    <x v="25"/>
    <n v="0"/>
  </r>
  <r>
    <x v="0"/>
    <x v="26"/>
    <n v="30959"/>
  </r>
  <r>
    <x v="1"/>
    <x v="26"/>
    <n v="24291"/>
  </r>
  <r>
    <x v="2"/>
    <x v="26"/>
    <n v="0"/>
  </r>
  <r>
    <x v="5"/>
    <x v="26"/>
    <n v="24858"/>
  </r>
  <r>
    <x v="6"/>
    <x v="26"/>
    <n v="87081"/>
  </r>
  <r>
    <x v="7"/>
    <x v="26"/>
    <n v="24179"/>
  </r>
  <r>
    <x v="8"/>
    <x v="26"/>
    <n v="64692"/>
  </r>
  <r>
    <x v="9"/>
    <x v="26"/>
    <n v="577252"/>
  </r>
  <r>
    <x v="10"/>
    <x v="26"/>
    <n v="37580"/>
  </r>
  <r>
    <x v="11"/>
    <x v="26"/>
    <n v="0"/>
  </r>
  <r>
    <x v="0"/>
    <x v="27"/>
    <n v="49316"/>
  </r>
  <r>
    <x v="1"/>
    <x v="27"/>
    <n v="24648"/>
  </r>
  <r>
    <x v="2"/>
    <x v="27"/>
    <n v="224094"/>
  </r>
  <r>
    <x v="5"/>
    <x v="27"/>
    <n v="49511"/>
  </r>
  <r>
    <x v="6"/>
    <x v="27"/>
    <n v="21690"/>
  </r>
  <r>
    <x v="7"/>
    <x v="27"/>
    <n v="34341"/>
  </r>
  <r>
    <x v="8"/>
    <x v="27"/>
    <n v="67171"/>
  </r>
  <r>
    <x v="9"/>
    <x v="27"/>
    <n v="374884"/>
  </r>
  <r>
    <x v="10"/>
    <x v="27"/>
    <n v="0"/>
  </r>
  <r>
    <x v="11"/>
    <x v="27"/>
    <n v="0"/>
  </r>
  <r>
    <x v="0"/>
    <x v="28"/>
    <n v="55992"/>
  </r>
  <r>
    <x v="1"/>
    <x v="28"/>
    <n v="0"/>
  </r>
  <r>
    <x v="2"/>
    <x v="28"/>
    <n v="25037"/>
  </r>
  <r>
    <x v="5"/>
    <x v="28"/>
    <n v="0"/>
  </r>
  <r>
    <x v="6"/>
    <x v="28"/>
    <n v="42925"/>
  </r>
  <r>
    <x v="7"/>
    <x v="28"/>
    <n v="24204"/>
  </r>
  <r>
    <x v="8"/>
    <x v="28"/>
    <n v="12064"/>
  </r>
  <r>
    <x v="9"/>
    <x v="28"/>
    <n v="375594"/>
  </r>
  <r>
    <x v="10"/>
    <x v="28"/>
    <n v="66689"/>
  </r>
  <r>
    <x v="11"/>
    <x v="28"/>
    <n v="0"/>
  </r>
  <r>
    <x v="0"/>
    <x v="29"/>
    <n v="25433"/>
  </r>
  <r>
    <x v="1"/>
    <x v="29"/>
    <n v="0"/>
  </r>
  <r>
    <x v="2"/>
    <x v="29"/>
    <n v="26341"/>
  </r>
  <r>
    <x v="5"/>
    <x v="29"/>
    <n v="24939"/>
  </r>
  <r>
    <x v="6"/>
    <x v="29"/>
    <n v="0"/>
  </r>
  <r>
    <x v="7"/>
    <x v="29"/>
    <n v="48737"/>
  </r>
  <r>
    <x v="8"/>
    <x v="29"/>
    <n v="0"/>
  </r>
  <r>
    <x v="9"/>
    <x v="29"/>
    <n v="201755"/>
  </r>
  <r>
    <x v="10"/>
    <x v="29"/>
    <n v="306"/>
  </r>
  <r>
    <x v="0"/>
    <x v="30"/>
    <n v="157586"/>
  </r>
  <r>
    <x v="1"/>
    <x v="30"/>
    <n v="0"/>
  </r>
  <r>
    <x v="2"/>
    <x v="30"/>
    <n v="24633"/>
  </r>
  <r>
    <x v="5"/>
    <x v="30"/>
    <n v="24809"/>
  </r>
  <r>
    <x v="6"/>
    <x v="30"/>
    <n v="0"/>
  </r>
  <r>
    <x v="7"/>
    <x v="30"/>
    <n v="78923"/>
  </r>
  <r>
    <x v="8"/>
    <x v="30"/>
    <n v="55126"/>
  </r>
  <r>
    <x v="9"/>
    <x v="30"/>
    <n v="180130"/>
  </r>
  <r>
    <x v="10"/>
    <x v="30"/>
    <n v="27374"/>
  </r>
  <r>
    <x v="0"/>
    <x v="31"/>
    <n v="199449"/>
  </r>
  <r>
    <x v="1"/>
    <x v="31"/>
    <n v="0"/>
  </r>
  <r>
    <x v="2"/>
    <x v="31"/>
    <n v="0"/>
  </r>
  <r>
    <x v="5"/>
    <x v="31"/>
    <n v="98867"/>
  </r>
  <r>
    <x v="6"/>
    <x v="31"/>
    <n v="21726"/>
  </r>
  <r>
    <x v="7"/>
    <x v="31"/>
    <n v="0"/>
  </r>
  <r>
    <x v="8"/>
    <x v="31"/>
    <n v="23133"/>
  </r>
  <r>
    <x v="9"/>
    <x v="31"/>
    <n v="174173"/>
  </r>
  <r>
    <x v="10"/>
    <x v="31"/>
    <n v="43219"/>
  </r>
  <r>
    <x v="0"/>
    <x v="32"/>
    <n v="174500"/>
  </r>
  <r>
    <x v="1"/>
    <x v="32"/>
    <n v="1942"/>
  </r>
  <r>
    <x v="2"/>
    <x v="32"/>
    <n v="149810"/>
  </r>
  <r>
    <x v="4"/>
    <x v="32"/>
    <n v="24486"/>
  </r>
  <r>
    <x v="5"/>
    <x v="32"/>
    <n v="74070"/>
  </r>
  <r>
    <x v="6"/>
    <x v="32"/>
    <n v="110029"/>
  </r>
  <r>
    <x v="7"/>
    <x v="32"/>
    <n v="0"/>
  </r>
  <r>
    <x v="8"/>
    <x v="32"/>
    <n v="66695"/>
  </r>
  <r>
    <x v="9"/>
    <x v="32"/>
    <n v="405297"/>
  </r>
  <r>
    <x v="10"/>
    <x v="32"/>
    <n v="54133"/>
  </r>
  <r>
    <x v="0"/>
    <x v="33"/>
    <n v="118170"/>
  </r>
  <r>
    <x v="1"/>
    <x v="33"/>
    <n v="0"/>
  </r>
  <r>
    <x v="2"/>
    <x v="33"/>
    <n v="101272"/>
  </r>
  <r>
    <x v="4"/>
    <x v="33"/>
    <n v="0"/>
  </r>
  <r>
    <x v="5"/>
    <x v="33"/>
    <n v="100537"/>
  </r>
  <r>
    <x v="6"/>
    <x v="33"/>
    <n v="21333"/>
  </r>
  <r>
    <x v="7"/>
    <x v="33"/>
    <n v="143308"/>
  </r>
  <r>
    <x v="8"/>
    <x v="33"/>
    <n v="1017"/>
  </r>
  <r>
    <x v="9"/>
    <x v="33"/>
    <n v="865315"/>
  </r>
  <r>
    <x v="10"/>
    <x v="33"/>
    <n v="55981"/>
  </r>
  <r>
    <x v="0"/>
    <x v="34"/>
    <n v="252743"/>
  </r>
  <r>
    <x v="1"/>
    <x v="34"/>
    <n v="0"/>
  </r>
  <r>
    <x v="2"/>
    <x v="34"/>
    <n v="321461"/>
  </r>
  <r>
    <x v="4"/>
    <x v="34"/>
    <n v="0"/>
  </r>
  <r>
    <x v="5"/>
    <x v="34"/>
    <n v="64542"/>
  </r>
  <r>
    <x v="6"/>
    <x v="34"/>
    <n v="87648"/>
  </r>
  <r>
    <x v="7"/>
    <x v="34"/>
    <n v="23415"/>
  </r>
  <r>
    <x v="8"/>
    <x v="34"/>
    <n v="89385"/>
  </r>
  <r>
    <x v="9"/>
    <x v="34"/>
    <n v="398010"/>
  </r>
  <r>
    <x v="10"/>
    <x v="34"/>
    <n v="15822"/>
  </r>
  <r>
    <x v="0"/>
    <x v="35"/>
    <n v="101349"/>
  </r>
  <r>
    <x v="1"/>
    <x v="35"/>
    <n v="25142"/>
  </r>
  <r>
    <x v="2"/>
    <x v="35"/>
    <n v="728824"/>
  </r>
  <r>
    <x v="4"/>
    <x v="35"/>
    <n v="0"/>
  </r>
  <r>
    <x v="5"/>
    <x v="35"/>
    <n v="81378"/>
  </r>
  <r>
    <x v="6"/>
    <x v="35"/>
    <n v="78359"/>
  </r>
  <r>
    <x v="7"/>
    <x v="35"/>
    <n v="127878"/>
  </r>
  <r>
    <x v="8"/>
    <x v="35"/>
    <n v="23324"/>
  </r>
  <r>
    <x v="9"/>
    <x v="35"/>
    <n v="2116973"/>
  </r>
  <r>
    <x v="10"/>
    <x v="35"/>
    <n v="40232"/>
  </r>
  <r>
    <x v="0"/>
    <x v="36"/>
    <n v="77515"/>
  </r>
  <r>
    <x v="1"/>
    <x v="36"/>
    <m/>
  </r>
  <r>
    <x v="2"/>
    <x v="36"/>
    <n v="25137"/>
  </r>
  <r>
    <x v="4"/>
    <x v="36"/>
    <m/>
  </r>
  <r>
    <x v="5"/>
    <x v="36"/>
    <n v="76011"/>
  </r>
  <r>
    <x v="6"/>
    <x v="36"/>
    <m/>
  </r>
  <r>
    <x v="7"/>
    <x v="36"/>
    <n v="71703"/>
  </r>
  <r>
    <x v="8"/>
    <x v="36"/>
    <n v="90596"/>
  </r>
  <r>
    <x v="9"/>
    <x v="36"/>
    <n v="50606"/>
  </r>
  <r>
    <x v="10"/>
    <x v="36"/>
    <n v="71346"/>
  </r>
  <r>
    <x v="0"/>
    <x v="37"/>
    <n v="151970"/>
  </r>
  <r>
    <x v="1"/>
    <x v="37"/>
    <m/>
  </r>
  <r>
    <x v="2"/>
    <x v="37"/>
    <n v="25228"/>
  </r>
  <r>
    <x v="4"/>
    <x v="37"/>
    <m/>
  </r>
  <r>
    <x v="5"/>
    <x v="37"/>
    <n v="0"/>
  </r>
  <r>
    <x v="6"/>
    <x v="37"/>
    <m/>
  </r>
  <r>
    <x v="7"/>
    <x v="37"/>
    <n v="0"/>
  </r>
  <r>
    <x v="8"/>
    <x v="37"/>
    <n v="0"/>
  </r>
  <r>
    <x v="9"/>
    <x v="37"/>
    <n v="171600"/>
  </r>
  <r>
    <x v="10"/>
    <x v="37"/>
    <n v="45411"/>
  </r>
  <r>
    <x v="0"/>
    <x v="38"/>
    <n v="102555"/>
  </r>
  <r>
    <x v="1"/>
    <x v="38"/>
    <n v="1366"/>
  </r>
  <r>
    <x v="2"/>
    <x v="38"/>
    <n v="2030"/>
  </r>
  <r>
    <x v="4"/>
    <x v="38"/>
    <n v="0"/>
  </r>
  <r>
    <x v="5"/>
    <x v="38"/>
    <n v="127312"/>
  </r>
  <r>
    <x v="6"/>
    <x v="38"/>
    <n v="60282"/>
  </r>
  <r>
    <x v="7"/>
    <x v="38"/>
    <n v="122627"/>
  </r>
  <r>
    <x v="8"/>
    <x v="38"/>
    <n v="119682"/>
  </r>
  <r>
    <x v="9"/>
    <x v="38"/>
    <n v="477856"/>
  </r>
  <r>
    <x v="10"/>
    <x v="38"/>
    <n v="96296"/>
  </r>
  <r>
    <x v="0"/>
    <x v="39"/>
    <n v="115560"/>
  </r>
  <r>
    <x v="1"/>
    <x v="39"/>
    <n v="21523"/>
  </r>
  <r>
    <x v="2"/>
    <x v="39"/>
    <n v="375074"/>
  </r>
  <r>
    <x v="4"/>
    <x v="39"/>
    <n v="102208"/>
  </r>
  <r>
    <x v="5"/>
    <x v="39"/>
    <m/>
  </r>
  <r>
    <x v="6"/>
    <x v="39"/>
    <m/>
  </r>
  <r>
    <x v="7"/>
    <x v="39"/>
    <n v="144244"/>
  </r>
  <r>
    <x v="8"/>
    <x v="39"/>
    <n v="68566"/>
  </r>
  <r>
    <x v="9"/>
    <x v="39"/>
    <n v="250798"/>
  </r>
  <r>
    <x v="10"/>
    <x v="39"/>
    <n v="70665"/>
  </r>
  <r>
    <x v="12"/>
    <x v="40"/>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s v="CAIEIRAS INDUSTRIA E COMERCIO DE PAPEIS ESPECIAIS LTDA"/>
    <x v="0"/>
    <n v="17095"/>
    <x v="0"/>
  </r>
  <r>
    <s v="CARTIERE DI GUARCINO S.P.A."/>
    <x v="0"/>
    <n v="0"/>
    <x v="1"/>
  </r>
  <r>
    <s v="HANGZHOU HUAWANG NEW MATERIAL TECHNOLOGY CO"/>
    <x v="0"/>
    <n v="0"/>
    <x v="2"/>
  </r>
  <r>
    <s v="GEBR HOFFSUMMER SPEZIALPAPIER GmbH &amp; Co."/>
    <x v="0"/>
    <n v="24762"/>
    <x v="1"/>
  </r>
  <r>
    <s v="KINGDECOR (ZHEJIANG) CO., LTD"/>
    <x v="0"/>
    <n v="0"/>
    <x v="2"/>
  </r>
  <r>
    <s v="PAPIERFABRIK AUGUST KOEHLER AG"/>
    <x v="0"/>
    <n v="147551"/>
    <x v="1"/>
  </r>
  <r>
    <s v="MALTA-DECOR SP. Z O. O."/>
    <x v="0"/>
    <n v="0"/>
    <x v="1"/>
  </r>
  <r>
    <s v="MUNKSJÖ PAPER S/A"/>
    <x v="0"/>
    <n v="69830"/>
    <x v="1"/>
  </r>
  <r>
    <s v="TECHNOCELL DEKOR GMBH"/>
    <x v="0"/>
    <n v="69038"/>
    <x v="1"/>
  </r>
  <r>
    <s v="SUNSHINE OJI (SHOUGUANG) SPECIALTY PAPER CO.,LTD."/>
    <x v="0"/>
    <n v="628254"/>
    <x v="2"/>
  </r>
  <r>
    <s v="VERDE FORTE PAPEIS SA"/>
    <x v="0"/>
    <n v="45704"/>
    <x v="0"/>
  </r>
  <r>
    <s v="CAIEIRAS INDUSTRIA E COMERCIO DE PAPEIS ESPECIAIS LTDA"/>
    <x v="1"/>
    <n v="20240"/>
    <x v="0"/>
  </r>
  <r>
    <s v="CARTIERE DI GUARCINO S.P.A."/>
    <x v="1"/>
    <n v="11073"/>
    <x v="1"/>
  </r>
  <r>
    <s v="HANGZHOU HUAWANG NEW MATERIAL TECHNOLOGY CO"/>
    <x v="1"/>
    <n v="0"/>
    <x v="2"/>
  </r>
  <r>
    <s v="GEBR HOFFSUMMER SPEZIALPAPIER GmbH &amp; Co."/>
    <x v="1"/>
    <n v="0"/>
    <x v="1"/>
  </r>
  <r>
    <s v="KINGDECOR (ZHEJIANG) CO., LTD"/>
    <x v="1"/>
    <n v="0"/>
    <x v="2"/>
  </r>
  <r>
    <s v="PAPIERFABRIK AUGUST KOEHLER AG"/>
    <x v="1"/>
    <n v="0"/>
    <x v="1"/>
  </r>
  <r>
    <s v="MALTA-DECOR SP. Z O. O."/>
    <x v="1"/>
    <n v="22354"/>
    <x v="1"/>
  </r>
  <r>
    <s v="MUNKSJÖ PAPER S/A"/>
    <x v="1"/>
    <n v="62066"/>
    <x v="1"/>
  </r>
  <r>
    <s v="TECHNOCELL DEKOR GMBH"/>
    <x v="1"/>
    <n v="0"/>
    <x v="1"/>
  </r>
  <r>
    <s v="SUNSHINE OJI (SHOUGUANG) SPECIALTY PAPER CO.,LTD."/>
    <x v="1"/>
    <n v="534037"/>
    <x v="2"/>
  </r>
  <r>
    <s v="VERDE FORTE PAPEIS SA"/>
    <x v="1"/>
    <n v="45193"/>
    <x v="0"/>
  </r>
  <r>
    <s v="CAIEIRAS INDUSTRIA E COMERCIO DE PAPEIS ESPECIAIS LTDA"/>
    <x v="2"/>
    <n v="113255"/>
    <x v="0"/>
  </r>
  <r>
    <s v="CARTIERE DI GUARCINO S.P.A."/>
    <x v="2"/>
    <n v="11128"/>
    <x v="1"/>
  </r>
  <r>
    <s v="HANGZHOU HUAWANG NEW MATERIAL TECHNOLOGY CO"/>
    <x v="2"/>
    <n v="240"/>
    <x v="2"/>
  </r>
  <r>
    <s v="GEBR HOFFSUMMER SPEZIALPAPIER GmbH &amp; Co."/>
    <x v="2"/>
    <n v="49085"/>
    <x v="1"/>
  </r>
  <r>
    <s v="KINGDECOR (ZHEJIANG) CO., LTD"/>
    <x v="2"/>
    <n v="20154"/>
    <x v="2"/>
  </r>
  <r>
    <s v="PAPIERFABRIK AUGUST KOEHLER AG"/>
    <x v="2"/>
    <n v="49830"/>
    <x v="1"/>
  </r>
  <r>
    <s v="MALTA-DECOR SP. Z O. O."/>
    <x v="2"/>
    <n v="21592"/>
    <x v="1"/>
  </r>
  <r>
    <s v="MUNKSJÖ PAPER S/A"/>
    <x v="2"/>
    <n v="95428"/>
    <x v="1"/>
  </r>
  <r>
    <s v="TECHNOCELL DEKOR GMBH"/>
    <x v="2"/>
    <n v="68332"/>
    <x v="1"/>
  </r>
  <r>
    <s v="SUNSHINE OJI (SHOUGUANG) SPECIALTY PAPER CO.,LTD."/>
    <x v="2"/>
    <n v="618882"/>
    <x v="2"/>
  </r>
  <r>
    <s v="VERDE FORTE PAPEIS SA"/>
    <x v="2"/>
    <n v="0"/>
    <x v="0"/>
  </r>
  <r>
    <s v="CAIEIRAS INDUSTRIA E COMERCIO DE PAPEIS ESPECIAIS LTDA"/>
    <x v="3"/>
    <n v="49344"/>
    <x v="0"/>
  </r>
  <r>
    <s v="CARTIERE DI GUARCINO S.P.A."/>
    <x v="3"/>
    <n v="0"/>
    <x v="1"/>
  </r>
  <r>
    <s v="HANGZHOU HUAWANG NEW MATERIAL TECHNOLOGY CO"/>
    <x v="3"/>
    <n v="256"/>
    <x v="2"/>
  </r>
  <r>
    <s v="GEBR HOFFSUMMER SPEZIALPAPIER GmbH &amp; Co."/>
    <x v="3"/>
    <n v="120172"/>
    <x v="1"/>
  </r>
  <r>
    <s v="KINGDECOR (ZHEJIANG) CO., LTD"/>
    <x v="3"/>
    <n v="0"/>
    <x v="2"/>
  </r>
  <r>
    <s v="PAPIERFABRIK AUGUST KOEHLER AG"/>
    <x v="3"/>
    <n v="98604"/>
    <x v="1"/>
  </r>
  <r>
    <s v="MALTA-DECOR SP. Z O. O."/>
    <x v="3"/>
    <n v="0"/>
    <x v="1"/>
  </r>
  <r>
    <s v="MUNKSJÖ PAPER S/A"/>
    <x v="3"/>
    <n v="71065"/>
    <x v="1"/>
  </r>
  <r>
    <s v="TECHNOCELL DEKOR GMBH"/>
    <x v="3"/>
    <n v="44808"/>
    <x v="1"/>
  </r>
  <r>
    <s v="SUNSHINE OJI (SHOUGUANG) SPECIALTY PAPER CO.,LTD."/>
    <x v="3"/>
    <n v="306991"/>
    <x v="2"/>
  </r>
  <r>
    <s v="VERDE FORTE PAPEIS SA"/>
    <x v="3"/>
    <n v="0"/>
    <x v="0"/>
  </r>
  <r>
    <s v="CAIEIRAS INDUSTRIA E COMERCIO DE PAPEIS ESPECIAIS LTDA"/>
    <x v="4"/>
    <n v="98444"/>
    <x v="0"/>
  </r>
  <r>
    <s v="CARTIERE DI GUARCINO S.P.A."/>
    <x v="4"/>
    <n v="25139"/>
    <x v="1"/>
  </r>
  <r>
    <s v="HANGZHOU HUAWANG NEW MATERIAL TECHNOLOGY CO"/>
    <x v="4"/>
    <n v="0"/>
    <x v="2"/>
  </r>
  <r>
    <s v="GEBR HOFFSUMMER SPEZIALPAPIER GmbH &amp; Co."/>
    <x v="4"/>
    <n v="148019"/>
    <x v="1"/>
  </r>
  <r>
    <s v="KINGDECOR (ZHEJIANG) CO., LTD"/>
    <x v="4"/>
    <n v="0"/>
    <x v="2"/>
  </r>
  <r>
    <s v="PAPIERFABRIK AUGUST KOEHLER AG"/>
    <x v="4"/>
    <n v="98282"/>
    <x v="1"/>
  </r>
  <r>
    <s v="MALTA-DECOR SP. Z O. O."/>
    <x v="4"/>
    <n v="67803"/>
    <x v="1"/>
  </r>
  <r>
    <s v="MUNKSJÖ PAPER S/A"/>
    <x v="4"/>
    <n v="95377"/>
    <x v="1"/>
  </r>
  <r>
    <s v="TECHNOCELL DEKOR GMBH"/>
    <x v="4"/>
    <n v="46147"/>
    <x v="1"/>
  </r>
  <r>
    <s v="SUNSHINE OJI (SHOUGUANG) SPECIALTY PAPER CO.,LTD."/>
    <x v="4"/>
    <n v="350278"/>
    <x v="2"/>
  </r>
  <r>
    <s v="VERDE FORTE PAPEIS SA"/>
    <x v="4"/>
    <n v="15903"/>
    <x v="0"/>
  </r>
  <r>
    <s v="CAIEIRAS INDUSTRIA E COMERCIO DE PAPEIS ESPECIAIS LTDA"/>
    <x v="5"/>
    <n v="171997"/>
    <x v="0"/>
  </r>
  <r>
    <s v="CARTIERE DI GUARCINO S.P.A."/>
    <x v="5"/>
    <n v="0"/>
    <x v="1"/>
  </r>
  <r>
    <s v="HANGZHOU HUAWANG NEW MATERIAL TECHNOLOGY CO"/>
    <x v="5"/>
    <n v="26408"/>
    <x v="2"/>
  </r>
  <r>
    <s v="GEBR HOFFSUMMER SPEZIALPAPIER GmbH &amp; Co."/>
    <x v="5"/>
    <n v="285600"/>
    <x v="1"/>
  </r>
  <r>
    <s v="KINGDECOR (ZHEJIANG) CO., LTD"/>
    <x v="5"/>
    <n v="0"/>
    <x v="2"/>
  </r>
  <r>
    <s v="PAPIERFABRIK AUGUST KOEHLER AG"/>
    <x v="5"/>
    <n v="24136"/>
    <x v="1"/>
  </r>
  <r>
    <s v="MALTA-DECOR SP. Z O. O."/>
    <x v="5"/>
    <n v="44339"/>
    <x v="1"/>
  </r>
  <r>
    <s v="MUNKSJÖ PAPER S/A"/>
    <x v="5"/>
    <n v="143373"/>
    <x v="1"/>
  </r>
  <r>
    <s v="TECHNOCELL DEKOR GMBH"/>
    <x v="5"/>
    <n v="19294"/>
    <x v="1"/>
  </r>
  <r>
    <s v="SUNSHINE OJI (SHOUGUANG) SPECIALTY PAPER CO.,LTD."/>
    <x v="5"/>
    <n v="775338"/>
    <x v="2"/>
  </r>
  <r>
    <s v="VERDE FORTE PAPEIS SA"/>
    <x v="5"/>
    <n v="28259"/>
    <x v="0"/>
  </r>
  <r>
    <s v="CAIEIRAS INDUSTRIA E COMERCIO DE PAPEIS ESPECIAIS LTDA"/>
    <x v="6"/>
    <n v="104107"/>
    <x v="0"/>
  </r>
  <r>
    <s v="CARTIERE DI GUARCINO S.P.A."/>
    <x v="6"/>
    <n v="0"/>
    <x v="1"/>
  </r>
  <r>
    <s v="HANGZHOU HUAWANG NEW MATERIAL TECHNOLOGY CO"/>
    <x v="6"/>
    <n v="0"/>
    <x v="2"/>
  </r>
  <r>
    <s v="GEBR HOFFSUMMER SPEZIALPAPIER GmbH &amp; Co."/>
    <x v="6"/>
    <n v="49304"/>
    <x v="1"/>
  </r>
  <r>
    <s v="KINGDECOR (ZHEJIANG) CO., LTD"/>
    <x v="6"/>
    <n v="0"/>
    <x v="2"/>
  </r>
  <r>
    <s v="PAPIERFABRIK AUGUST KOEHLER AG"/>
    <x v="6"/>
    <n v="96860"/>
    <x v="1"/>
  </r>
  <r>
    <s v="MALTA-DECOR SP. Z O. O."/>
    <x v="6"/>
    <n v="67023"/>
    <x v="1"/>
  </r>
  <r>
    <s v="MUNKSJÖ PAPER S/A"/>
    <x v="6"/>
    <n v="23180"/>
    <x v="1"/>
  </r>
  <r>
    <s v="TECHNOCELL DEKOR GMBH"/>
    <x v="6"/>
    <n v="23336"/>
    <x v="1"/>
  </r>
  <r>
    <s v="SUNSHINE OJI (SHOUGUANG) SPECIALTY PAPER CO.,LTD."/>
    <x v="6"/>
    <n v="150327"/>
    <x v="2"/>
  </r>
  <r>
    <s v="VERDE FORTE PAPEIS SA"/>
    <x v="6"/>
    <n v="39751"/>
    <x v="0"/>
  </r>
  <r>
    <s v="CAIEIRAS INDUSTRIA E COMERCIO DE PAPEIS ESPECIAIS LTDA"/>
    <x v="7"/>
    <n v="27675"/>
    <x v="0"/>
  </r>
  <r>
    <s v="CARTIERE DI GUARCINO S.P.A."/>
    <x v="7"/>
    <n v="0"/>
    <x v="1"/>
  </r>
  <r>
    <s v="HANGZHOU HUAWANG NEW MATERIAL TECHNOLOGY CO"/>
    <x v="7"/>
    <n v="0"/>
    <x v="2"/>
  </r>
  <r>
    <s v="GEBR HOFFSUMMER SPEZIALPAPIER GmbH &amp; Co."/>
    <x v="7"/>
    <n v="0"/>
    <x v="1"/>
  </r>
  <r>
    <s v="KINGDECOR (ZHEJIANG) CO., LTD"/>
    <x v="7"/>
    <n v="0"/>
    <x v="2"/>
  </r>
  <r>
    <s v="PAPIERFABRIK AUGUST KOEHLER AG"/>
    <x v="7"/>
    <n v="98488"/>
    <x v="1"/>
  </r>
  <r>
    <s v="MALTA-DECOR SP. Z O. O."/>
    <x v="7"/>
    <n v="107195"/>
    <x v="1"/>
  </r>
  <r>
    <s v="MUNKSJÖ PAPER S/A"/>
    <x v="7"/>
    <n v="47782"/>
    <x v="1"/>
  </r>
  <r>
    <s v="TECHNOCELL DEKOR GMBH"/>
    <x v="7"/>
    <n v="0"/>
    <x v="1"/>
  </r>
  <r>
    <s v="SUNSHINE OJI (SHOUGUANG) SPECIALTY PAPER CO.,LTD."/>
    <x v="7"/>
    <n v="679076"/>
    <x v="2"/>
  </r>
  <r>
    <s v="VERDE FORTE PAPEIS SA"/>
    <x v="7"/>
    <n v="73370"/>
    <x v="0"/>
  </r>
  <r>
    <s v="CAIEIRAS INDUSTRIA E COMERCIO DE PAPEIS ESPECIAIS LTDA"/>
    <x v="8"/>
    <n v="115951"/>
    <x v="0"/>
  </r>
  <r>
    <s v="CARTIERE DI GUARCINO S.P.A."/>
    <x v="8"/>
    <n v="0"/>
    <x v="1"/>
  </r>
  <r>
    <s v="HANGZHOU HUAWANG NEW MATERIAL TECHNOLOGY CO"/>
    <x v="8"/>
    <n v="0"/>
    <x v="2"/>
  </r>
  <r>
    <s v="GEBR HOFFSUMMER SPEZIALPAPIER GmbH &amp; Co."/>
    <x v="8"/>
    <n v="48591"/>
    <x v="1"/>
  </r>
  <r>
    <s v="KINGDECOR (ZHEJIANG) CO., LTD"/>
    <x v="8"/>
    <n v="0"/>
    <x v="2"/>
  </r>
  <r>
    <s v="PAPIERFABRIK AUGUST KOEHLER AG"/>
    <x v="8"/>
    <n v="24955"/>
    <x v="1"/>
  </r>
  <r>
    <s v="MALTA-DECOR SP. Z O. O."/>
    <x v="8"/>
    <n v="91335"/>
    <x v="1"/>
  </r>
  <r>
    <s v="MUNKSJÖ PAPER S/A"/>
    <x v="8"/>
    <n v="47032"/>
    <x v="1"/>
  </r>
  <r>
    <s v="TECHNOCELL DEKOR GMBH"/>
    <x v="8"/>
    <n v="87109"/>
    <x v="1"/>
  </r>
  <r>
    <s v="SUNSHINE OJI (SHOUGUANG) SPECIALTY PAPER CO.,LTD."/>
    <x v="8"/>
    <n v="699823"/>
    <x v="2"/>
  </r>
  <r>
    <s v="VERDE FORTE PAPEIS SA"/>
    <x v="8"/>
    <n v="0"/>
    <x v="0"/>
  </r>
  <r>
    <s v="CAIEIRAS INDUSTRIA E COMERCIO DE PAPEIS ESPECIAIS LTDA"/>
    <x v="9"/>
    <n v="76835"/>
    <x v="0"/>
  </r>
  <r>
    <s v="CARTIERE DI GUARCINO S.P.A."/>
    <x v="9"/>
    <n v="0"/>
    <x v="1"/>
  </r>
  <r>
    <s v="HANGZHOU HUAWANG NEW MATERIAL TECHNOLOGY CO"/>
    <x v="9"/>
    <n v="202939"/>
    <x v="2"/>
  </r>
  <r>
    <s v="GEBR HOFFSUMMER SPEZIALPAPIER GmbH &amp; Co."/>
    <x v="9"/>
    <n v="0"/>
    <x v="1"/>
  </r>
  <r>
    <s v="KINGDECOR (ZHEJIANG) CO., LTD"/>
    <x v="9"/>
    <n v="0"/>
    <x v="2"/>
  </r>
  <r>
    <s v="PAPIERFABRIK AUGUST KOEHLER AG"/>
    <x v="9"/>
    <n v="99843"/>
    <x v="1"/>
  </r>
  <r>
    <s v="MALTA-DECOR SP. Z O. O."/>
    <x v="9"/>
    <n v="178034"/>
    <x v="1"/>
  </r>
  <r>
    <s v="MUNKSJÖ PAPER S/A"/>
    <x v="9"/>
    <n v="96105"/>
    <x v="1"/>
  </r>
  <r>
    <s v="TECHNOCELL DEKOR GMBH"/>
    <x v="9"/>
    <n v="22746"/>
    <x v="1"/>
  </r>
  <r>
    <s v="SUNSHINE OJI (SHOUGUANG) SPECIALTY PAPER CO.,LTD."/>
    <x v="9"/>
    <n v="349784"/>
    <x v="2"/>
  </r>
  <r>
    <s v="VERDE FORTE PAPEIS SA"/>
    <x v="9"/>
    <n v="24288"/>
    <x v="0"/>
  </r>
  <r>
    <s v="CAIEIRAS INDUSTRIA E COMERCIO DE PAPEIS ESPECIAIS LTDA"/>
    <x v="10"/>
    <n v="24912"/>
    <x v="0"/>
  </r>
  <r>
    <s v="CARTIERE DI GUARCINO S.P.A."/>
    <x v="10"/>
    <n v="49058"/>
    <x v="1"/>
  </r>
  <r>
    <s v="HANGZHOU HUAWANG NEW MATERIAL TECHNOLOGY CO"/>
    <x v="10"/>
    <n v="147064"/>
    <x v="2"/>
  </r>
  <r>
    <s v="GEBR HOFFSUMMER SPEZIALPAPIER GmbH &amp; Co."/>
    <x v="10"/>
    <n v="0"/>
    <x v="1"/>
  </r>
  <r>
    <s v="KINGDECOR (ZHEJIANG) CO., LTD"/>
    <x v="10"/>
    <n v="0"/>
    <x v="2"/>
  </r>
  <r>
    <s v="PAPIERFABRIK AUGUST KOEHLER AG"/>
    <x v="10"/>
    <n v="299877"/>
    <x v="1"/>
  </r>
  <r>
    <s v="MALTA-DECOR SP. Z O. O."/>
    <x v="10"/>
    <n v="42978"/>
    <x v="1"/>
  </r>
  <r>
    <s v="MUNKSJÖ PAPER S/A"/>
    <x v="10"/>
    <n v="72619"/>
    <x v="1"/>
  </r>
  <r>
    <s v="TECHNOCELL DEKOR GMBH"/>
    <x v="10"/>
    <n v="39605"/>
    <x v="1"/>
  </r>
  <r>
    <s v="SUNSHINE OJI (SHOUGUANG) SPECIALTY PAPER CO.,LTD."/>
    <x v="10"/>
    <n v="96988"/>
    <x v="2"/>
  </r>
  <r>
    <s v="VERDE FORTE PAPEIS SA"/>
    <x v="10"/>
    <n v="0"/>
    <x v="0"/>
  </r>
  <r>
    <s v="CAIEIRAS INDUSTRIA E COMERCIO DE PAPEIS ESPECIAIS LTDA"/>
    <x v="11"/>
    <n v="70152"/>
    <x v="0"/>
  </r>
  <r>
    <s v="CARTIERE DI GUARCINO S.P.A."/>
    <x v="11"/>
    <n v="0"/>
    <x v="1"/>
  </r>
  <r>
    <s v="HANGZHOU HUAWANG NEW MATERIAL TECHNOLOGY CO"/>
    <x v="11"/>
    <n v="142375"/>
    <x v="2"/>
  </r>
  <r>
    <s v="GEBR HOFFSUMMER SPEZIALPAPIER GmbH &amp; Co."/>
    <x v="11"/>
    <n v="0"/>
    <x v="1"/>
  </r>
  <r>
    <s v="KINGDECOR (ZHEJIANG) CO., LTD"/>
    <x v="11"/>
    <n v="0"/>
    <x v="2"/>
  </r>
  <r>
    <s v="PAPIERFABRIK AUGUST KOEHLER AG"/>
    <x v="11"/>
    <n v="226533"/>
    <x v="1"/>
  </r>
  <r>
    <s v="MALTA-DECOR SP. Z O. O."/>
    <x v="11"/>
    <n v="532458"/>
    <x v="1"/>
  </r>
  <r>
    <s v="MUNKSJÖ PAPER S/A"/>
    <x v="11"/>
    <n v="24226"/>
    <x v="1"/>
  </r>
  <r>
    <s v="TECHNOCELL DEKOR GMBH"/>
    <x v="11"/>
    <n v="22480"/>
    <x v="1"/>
  </r>
  <r>
    <s v="SUNSHINE OJI (SHOUGUANG) SPECIALTY PAPER CO.,LTD."/>
    <x v="11"/>
    <n v="345492"/>
    <x v="2"/>
  </r>
  <r>
    <s v="VERDE FORTE PAPEIS SA"/>
    <x v="11"/>
    <n v="26255"/>
    <x v="0"/>
  </r>
  <r>
    <s v="CAIEIRAS INDUSTRIA E COMERCIO DE PAPEIS ESPECIAIS LTDA"/>
    <x v="12"/>
    <n v="105869"/>
    <x v="0"/>
  </r>
  <r>
    <s v="CARTIERE DI GUARCINO S.P.A."/>
    <x v="12"/>
    <n v="0"/>
    <x v="1"/>
  </r>
  <r>
    <s v="HANGZHOU HUAWANG NEW MATERIAL TECHNOLOGY CO"/>
    <x v="12"/>
    <n v="224517"/>
    <x v="2"/>
  </r>
  <r>
    <s v="GEBR HOFFSUMMER SPEZIALPAPIER GmbH &amp; Co."/>
    <x v="12"/>
    <n v="0"/>
    <x v="1"/>
  </r>
  <r>
    <s v="KINGDECOR (ZHEJIANG) CO., LTD"/>
    <x v="12"/>
    <n v="0"/>
    <x v="2"/>
  </r>
  <r>
    <s v="PAPIERFABRIK AUGUST KOEHLER AG"/>
    <x v="12"/>
    <n v="75767"/>
    <x v="1"/>
  </r>
  <r>
    <s v="MALTA-DECOR SP. Z O. O."/>
    <x v="12"/>
    <n v="353284"/>
    <x v="1"/>
  </r>
  <r>
    <s v="MUNKSJÖ PAPER S/A"/>
    <x v="12"/>
    <n v="24301"/>
    <x v="1"/>
  </r>
  <r>
    <s v="TECHNOCELL DEKOR GMBH"/>
    <x v="12"/>
    <n v="44036"/>
    <x v="1"/>
  </r>
  <r>
    <s v="SUNSHINE OJI (SHOUGUANG) SPECIALTY PAPER CO.,LTD."/>
    <x v="12"/>
    <n v="228877"/>
    <x v="2"/>
  </r>
  <r>
    <s v="VERDE FORTE PAPEIS SA"/>
    <x v="12"/>
    <n v="0"/>
    <x v="0"/>
  </r>
  <r>
    <s v="CAIEIRAS INDUSTRIA E COMERCIO DE PAPEIS ESPECIAIS LTDA"/>
    <x v="13"/>
    <n v="106874"/>
    <x v="0"/>
  </r>
  <r>
    <s v="CARTIERE DI GUARCINO S.P.A."/>
    <x v="13"/>
    <n v="0"/>
    <x v="1"/>
  </r>
  <r>
    <s v="HANGZHOU HUAWANG NEW MATERIAL TECHNOLOGY CO"/>
    <x v="13"/>
    <n v="0"/>
    <x v="2"/>
  </r>
  <r>
    <s v="GEBR HOFFSUMMER SPEZIALPAPIER GmbH &amp; Co."/>
    <x v="13"/>
    <n v="0"/>
    <x v="1"/>
  </r>
  <r>
    <s v="KINGDECOR (ZHEJIANG) CO., LTD"/>
    <x v="13"/>
    <n v="0"/>
    <x v="2"/>
  </r>
  <r>
    <s v="PAPIERFABRIK AUGUST KOEHLER AG"/>
    <x v="13"/>
    <n v="75996"/>
    <x v="1"/>
  </r>
  <r>
    <s v="MALTA-DECOR SP. Z O. O."/>
    <x v="13"/>
    <n v="156730"/>
    <x v="1"/>
  </r>
  <r>
    <s v="MUNKSJÖ PAPER S/A"/>
    <x v="13"/>
    <n v="46617"/>
    <x v="1"/>
  </r>
  <r>
    <s v="TECHNOCELL DEKOR GMBH"/>
    <x v="13"/>
    <n v="42846"/>
    <x v="1"/>
  </r>
  <r>
    <s v="SUNSHINE OJI (SHOUGUANG) SPECIALTY PAPER CO.,LTD."/>
    <x v="13"/>
    <n v="226609"/>
    <x v="2"/>
  </r>
  <r>
    <s v="VERDE FORTE PAPEIS SA"/>
    <x v="13"/>
    <n v="24067"/>
    <x v="0"/>
  </r>
  <r>
    <s v="CAIEIRAS INDUSTRIA E COMERCIO DE PAPEIS ESPECIAIS LTDA"/>
    <x v="14"/>
    <n v="43751"/>
    <x v="0"/>
  </r>
  <r>
    <s v="CARTIERE DI GUARCINO S.P.A."/>
    <x v="14"/>
    <n v="27920"/>
    <x v="1"/>
  </r>
  <r>
    <s v="HANGZHOU HUAWANG NEW MATERIAL TECHNOLOGY CO"/>
    <x v="14"/>
    <n v="50237"/>
    <x v="2"/>
  </r>
  <r>
    <s v="GEBR HOFFSUMMER SPEZIALPAPIER GmbH &amp; Co."/>
    <x v="14"/>
    <n v="0"/>
    <x v="1"/>
  </r>
  <r>
    <s v="KINGDECOR (ZHEJIANG) CO., LTD"/>
    <x v="14"/>
    <n v="0"/>
    <x v="2"/>
  </r>
  <r>
    <s v="PAPIERFABRIK AUGUST KOEHLER AG"/>
    <x v="14"/>
    <n v="0"/>
    <x v="1"/>
  </r>
  <r>
    <s v="MALTA-DECOR SP. Z O. O."/>
    <x v="14"/>
    <n v="151200"/>
    <x v="1"/>
  </r>
  <r>
    <s v="MUNKSJÖ PAPER S/A"/>
    <x v="14"/>
    <n v="24327"/>
    <x v="1"/>
  </r>
  <r>
    <s v="TECHNOCELL DEKOR GMBH"/>
    <x v="14"/>
    <n v="206576"/>
    <x v="1"/>
  </r>
  <r>
    <s v="SUNSHINE OJI (SHOUGUANG) SPECIALTY PAPER CO.,LTD."/>
    <x v="14"/>
    <n v="430736"/>
    <x v="2"/>
  </r>
  <r>
    <s v="VERDE FORTE PAPEIS SA"/>
    <x v="14"/>
    <n v="0"/>
    <x v="0"/>
  </r>
  <r>
    <s v="CAIEIRAS INDUSTRIA E COMERCIO DE PAPEIS ESPECIAIS LTDA"/>
    <x v="15"/>
    <n v="102176"/>
    <x v="0"/>
  </r>
  <r>
    <s v="CARTIERE DI GUARCINO S.P.A."/>
    <x v="15"/>
    <n v="0"/>
    <x v="1"/>
  </r>
  <r>
    <s v="HANGZHOU HUAWANG NEW MATERIAL TECHNOLOGY CO"/>
    <x v="15"/>
    <n v="203837"/>
    <x v="2"/>
  </r>
  <r>
    <s v="PAPIERFABRIK AUGUST KOEHLER AG"/>
    <x v="15"/>
    <n v="99338"/>
    <x v="1"/>
  </r>
  <r>
    <s v="MALTA-DECOR SP. Z O. O."/>
    <x v="15"/>
    <n v="0"/>
    <x v="1"/>
  </r>
  <r>
    <s v="MUNKSJÖ PAPER S/A"/>
    <x v="15"/>
    <n v="48186"/>
    <x v="1"/>
  </r>
  <r>
    <s v="TECHNOCELL DEKOR GMBH"/>
    <x v="15"/>
    <n v="23255"/>
    <x v="1"/>
  </r>
  <r>
    <s v="SUNSHINE OJI (SHOUGUANG) SPECIALTY PAPER CO.,LTD."/>
    <x v="15"/>
    <n v="272303"/>
    <x v="2"/>
  </r>
  <r>
    <s v="VERDE FORTE PAPEIS SA"/>
    <x v="15"/>
    <n v="16541"/>
    <x v="0"/>
  </r>
  <r>
    <s v="CAIEIRAS INDUSTRIA E COMERCIO DE PAPEIS ESPECIAIS LTDA"/>
    <x v="16"/>
    <n v="125794"/>
    <x v="0"/>
  </r>
  <r>
    <s v="CARTIERE DI GUARCINO S.P.A."/>
    <x v="16"/>
    <n v="0"/>
    <x v="1"/>
  </r>
  <r>
    <s v="HANGZHOU HUAWANG NEW MATERIAL TECHNOLOGY CO"/>
    <x v="16"/>
    <n v="0"/>
    <x v="2"/>
  </r>
  <r>
    <s v="PAPIERFABRIK AUGUST KOEHLER AG"/>
    <x v="16"/>
    <n v="75986"/>
    <x v="1"/>
  </r>
  <r>
    <s v="MALTA-DECOR SP. Z O. O."/>
    <x v="16"/>
    <n v="154443"/>
    <x v="1"/>
  </r>
  <r>
    <s v="MUNKSJÖ PAPER S/A"/>
    <x v="16"/>
    <n v="48281"/>
    <x v="1"/>
  </r>
  <r>
    <s v="TECHNOCELL DEKOR GMBH"/>
    <x v="16"/>
    <n v="65699"/>
    <x v="1"/>
  </r>
  <r>
    <s v="SUNSHINE OJI (SHOUGUANG) SPECIALTY PAPER CO.,LTD."/>
    <x v="16"/>
    <n v="312092"/>
    <x v="2"/>
  </r>
  <r>
    <s v="VERDE FORTE PAPEIS SA"/>
    <x v="16"/>
    <n v="21933"/>
    <x v="0"/>
  </r>
  <r>
    <s v="CAIEIRAS INDUSTRIA E COMERCIO DE PAPEIS ESPECIAIS LTDA"/>
    <x v="17"/>
    <n v="106055"/>
    <x v="0"/>
  </r>
  <r>
    <s v="CARTIERE DI GUARCINO S.P.A."/>
    <x v="17"/>
    <n v="0"/>
    <x v="1"/>
  </r>
  <r>
    <s v="HANGZHOU HUAWANG NEW MATERIAL TECHNOLOGY CO"/>
    <x v="17"/>
    <n v="92420"/>
    <x v="2"/>
  </r>
  <r>
    <s v="PAPIERFABRIK AUGUST KOEHLER AG"/>
    <x v="17"/>
    <n v="50331"/>
    <x v="1"/>
  </r>
  <r>
    <s v="MALTA-DECOR SP. Z O. O."/>
    <x v="17"/>
    <n v="368870"/>
    <x v="1"/>
  </r>
  <r>
    <s v="MUNKSJÖ PAPER S/A"/>
    <x v="17"/>
    <n v="71945"/>
    <x v="1"/>
  </r>
  <r>
    <s v="TECHNOCELL DEKOR GMBH"/>
    <x v="17"/>
    <n v="42109"/>
    <x v="1"/>
  </r>
  <r>
    <s v="SUNSHINE OJI (SHOUGUANG) SPECIALTY PAPER CO.,LTD."/>
    <x v="17"/>
    <n v="46929"/>
    <x v="2"/>
  </r>
  <r>
    <s v="VERDE FORTE PAPEIS SA"/>
    <x v="17"/>
    <n v="3483"/>
    <x v="0"/>
  </r>
  <r>
    <s v="CAIEIRAS INDUSTRIA E COMERCIO DE PAPEIS ESPECIAIS LTDA"/>
    <x v="18"/>
    <n v="289344"/>
    <x v="0"/>
  </r>
  <r>
    <s v="CARTIERE DI GUARCINO S.P.A."/>
    <x v="18"/>
    <n v="0"/>
    <x v="1"/>
  </r>
  <r>
    <s v="HANGZHOU HUAWANG NEW MATERIAL TECHNOLOGY CO"/>
    <x v="18"/>
    <n v="76797"/>
    <x v="2"/>
  </r>
  <r>
    <s v="PAPIERFABRIK AUGUST KOEHLER AG"/>
    <x v="18"/>
    <n v="75027"/>
    <x v="1"/>
  </r>
  <r>
    <s v="MALTA-DECOR SP. Z O. O."/>
    <x v="18"/>
    <n v="153503"/>
    <x v="1"/>
  </r>
  <r>
    <s v="MUNKSJÖ PAPER S/A"/>
    <x v="18"/>
    <n v="20857"/>
    <x v="1"/>
  </r>
  <r>
    <s v="TECHNOCELL DEKOR GMBH"/>
    <x v="18"/>
    <n v="132635"/>
    <x v="1"/>
  </r>
  <r>
    <s v="SUNSHINE OJI (SHOUGUANG) SPECIALTY PAPER CO.,LTD."/>
    <x v="18"/>
    <n v="123336"/>
    <x v="2"/>
  </r>
  <r>
    <s v="VERDE FORTE PAPEIS SA"/>
    <x v="18"/>
    <n v="0"/>
    <x v="0"/>
  </r>
  <r>
    <s v="CAIEIRAS INDUSTRIA E COMERCIO DE PAPEIS ESPECIAIS LTDA"/>
    <x v="19"/>
    <n v="224112"/>
    <x v="0"/>
  </r>
  <r>
    <s v="CARTIERE DI GUARCINO S.P.A."/>
    <x v="19"/>
    <n v="0"/>
    <x v="1"/>
  </r>
  <r>
    <s v="HANGZHOU HUAWANG NEW MATERIAL TECHNOLOGY CO"/>
    <x v="19"/>
    <n v="154093"/>
    <x v="2"/>
  </r>
  <r>
    <s v="PAPIERFABRIK AUGUST KOEHLER AG"/>
    <x v="19"/>
    <n v="74359"/>
    <x v="1"/>
  </r>
  <r>
    <s v="MALTA-DECOR SP. Z O. O."/>
    <x v="19"/>
    <n v="134095"/>
    <x v="1"/>
  </r>
  <r>
    <s v="MUNKSJÖ PAPER S/A"/>
    <x v="19"/>
    <n v="139983"/>
    <x v="1"/>
  </r>
  <r>
    <s v="TECHNOCELL DEKOR GMBH"/>
    <x v="19"/>
    <n v="39500"/>
    <x v="1"/>
  </r>
  <r>
    <s v="SUNSHINE OJI (SHOUGUANG) SPECIALTY PAPER CO.,LTD."/>
    <x v="19"/>
    <n v="277295"/>
    <x v="2"/>
  </r>
  <r>
    <s v="VERDE FORTE PAPEIS SA"/>
    <x v="19"/>
    <n v="15548"/>
    <x v="0"/>
  </r>
  <r>
    <s v="CAIEIRAS INDUSTRIA E COMERCIO DE PAPEIS ESPECIAIS LTDA"/>
    <x v="20"/>
    <n v="100394"/>
    <x v="0"/>
  </r>
  <r>
    <s v="CARTIERE DI GUARCINO S.P.A."/>
    <x v="20"/>
    <n v="24973"/>
    <x v="1"/>
  </r>
  <r>
    <s v="HANGZHOU HUAWANG NEW MATERIAL TECHNOLOGY CO"/>
    <x v="20"/>
    <n v="434247"/>
    <x v="2"/>
  </r>
  <r>
    <s v="PAPIERFABRIK AUGUST KOEHLER AG"/>
    <x v="20"/>
    <n v="73778"/>
    <x v="1"/>
  </r>
  <r>
    <s v="MALTA-DECOR SP. Z O. O."/>
    <x v="20"/>
    <n v="328414"/>
    <x v="1"/>
  </r>
  <r>
    <s v="MUNKSJÖ PAPER S/A"/>
    <x v="20"/>
    <n v="47903"/>
    <x v="1"/>
  </r>
  <r>
    <s v="TECHNOCELL DEKOR GMBH"/>
    <x v="20"/>
    <n v="68827"/>
    <x v="1"/>
  </r>
  <r>
    <s v="SUNSHINE OJI (SHOUGUANG) SPECIALTY PAPER CO.,LTD."/>
    <x v="20"/>
    <n v="430479"/>
    <x v="2"/>
  </r>
  <r>
    <s v="VERDE FORTE PAPEIS SA"/>
    <x v="20"/>
    <n v="4824"/>
    <x v="0"/>
  </r>
  <r>
    <s v="TENTOK PAPER CO. LTD."/>
    <x v="20"/>
    <n v="18240"/>
    <x v="3"/>
  </r>
  <r>
    <s v="CAIEIRAS INDUSTRIA E COMERCIO DE PAPEIS ESPECIAIS LTDA"/>
    <x v="21"/>
    <n v="504897"/>
    <x v="0"/>
  </r>
  <r>
    <s v="CARTIERE DI GUARCINO S.P.A."/>
    <x v="21"/>
    <n v="0"/>
    <x v="1"/>
  </r>
  <r>
    <s v="HANGZHOU HUAWANG NEW MATERIAL TECHNOLOGY CO"/>
    <x v="21"/>
    <n v="128413"/>
    <x v="2"/>
  </r>
  <r>
    <s v="PAPIERFABRIK AUGUST KOEHLER AG"/>
    <x v="21"/>
    <n v="74959"/>
    <x v="1"/>
  </r>
  <r>
    <s v="MALTA-DECOR SP. Z O. O."/>
    <x v="21"/>
    <n v="131868"/>
    <x v="1"/>
  </r>
  <r>
    <s v="MUNKSJÖ PAPER S/A"/>
    <x v="21"/>
    <n v="72087"/>
    <x v="1"/>
  </r>
  <r>
    <s v="TECHNOCELL DEKOR GMBH"/>
    <x v="21"/>
    <n v="22330"/>
    <x v="1"/>
  </r>
  <r>
    <s v="SUNSHINE OJI (SHOUGUANG) SPECIALTY PAPER CO.,LTD."/>
    <x v="21"/>
    <n v="356490"/>
    <x v="2"/>
  </r>
  <r>
    <s v="VERDE FORTE PAPEIS SA"/>
    <x v="21"/>
    <n v="9394"/>
    <x v="0"/>
  </r>
  <r>
    <s v="TENTOK PAPER CO. LTD."/>
    <x v="21"/>
    <n v="0"/>
    <x v="3"/>
  </r>
  <r>
    <s v="CAIEIRAS INDUSTRIA E COMERCIO DE PAPEIS ESPECIAIS LTDA"/>
    <x v="22"/>
    <n v="286195"/>
    <x v="0"/>
  </r>
  <r>
    <s v="CARTIERE DI GUARCINO S.P.A."/>
    <x v="22"/>
    <n v="25111"/>
    <x v="1"/>
  </r>
  <r>
    <s v="HANGZHOU HUAWANG NEW MATERIAL TECHNOLOGY CO"/>
    <x v="22"/>
    <n v="178686"/>
    <x v="2"/>
  </r>
  <r>
    <s v="PAPIERFABRIK AUGUST KOEHLER AG"/>
    <x v="22"/>
    <n v="99936"/>
    <x v="1"/>
  </r>
  <r>
    <s v="MALTA-DECOR SP. Z O. O."/>
    <x v="22"/>
    <n v="219031"/>
    <x v="1"/>
  </r>
  <r>
    <s v="MUNKSJÖ PAPER S/A"/>
    <x v="22"/>
    <n v="0"/>
    <x v="1"/>
  </r>
  <r>
    <s v="TECHNOCELL DEKOR GMBH"/>
    <x v="22"/>
    <n v="23301"/>
    <x v="1"/>
  </r>
  <r>
    <s v="SUNSHINE OJI (SHOUGUANG) SPECIALTY PAPER CO.,LTD."/>
    <x v="22"/>
    <n v="335005"/>
    <x v="2"/>
  </r>
  <r>
    <s v="VERDE FORTE PAPEIS SA"/>
    <x v="22"/>
    <n v="56785"/>
    <x v="0"/>
  </r>
  <r>
    <s v="TENTOK PAPER CO. LTD."/>
    <x v="22"/>
    <n v="0"/>
    <x v="3"/>
  </r>
  <r>
    <s v="CAIEIRAS INDUSTRIA E COMERCIO DE PAPEIS ESPECIAIS LTDA"/>
    <x v="23"/>
    <n v="282117"/>
    <x v="0"/>
  </r>
  <r>
    <s v="CARTIERE DI GUARCINO S.P.A."/>
    <x v="23"/>
    <n v="0"/>
    <x v="1"/>
  </r>
  <r>
    <s v="HANGZHOU HUAWANG NEW MATERIAL TECHNOLOGY CO"/>
    <x v="23"/>
    <n v="176195"/>
    <x v="2"/>
  </r>
  <r>
    <s v="PAPIERFABRIK AUGUST KOEHLER AG"/>
    <x v="23"/>
    <n v="49082"/>
    <x v="1"/>
  </r>
  <r>
    <s v="MALTA-DECOR SP. Z O. O."/>
    <x v="23"/>
    <n v="106167"/>
    <x v="1"/>
  </r>
  <r>
    <s v="MUNKSJÖ PAPER S/A"/>
    <x v="23"/>
    <n v="73176"/>
    <x v="1"/>
  </r>
  <r>
    <s v="TECHNOCELL DEKOR GMBH"/>
    <x v="23"/>
    <n v="64665"/>
    <x v="1"/>
  </r>
  <r>
    <s v="SUNSHINE OJI (SHOUGUANG) SPECIALTY PAPER CO.,LTD."/>
    <x v="23"/>
    <n v="53063"/>
    <x v="2"/>
  </r>
  <r>
    <s v="VERDE FORTE PAPEIS SA"/>
    <x v="23"/>
    <n v="99086"/>
    <x v="0"/>
  </r>
  <r>
    <s v="TENTOK PAPER CO. LTD."/>
    <x v="23"/>
    <n v="18240"/>
    <x v="3"/>
  </r>
  <r>
    <s v="CAIEIRAS INDUSTRIA E COMERCIO DE PAPEIS ESPECIAIS LTDA"/>
    <x v="24"/>
    <n v="283931"/>
    <x v="0"/>
  </r>
  <r>
    <s v="CARTIERE DI GUARCINO S.P.A."/>
    <x v="24"/>
    <n v="0"/>
    <x v="1"/>
  </r>
  <r>
    <s v="HANGZHOU HUAWANG NEW MATERIAL TECHNOLOGY CO"/>
    <x v="24"/>
    <n v="153364"/>
    <x v="2"/>
  </r>
  <r>
    <s v="PAPIERFABRIK AUGUST KOEHLER AG"/>
    <x v="24"/>
    <n v="49717"/>
    <x v="1"/>
  </r>
  <r>
    <s v="MALTA-DECOR SP. Z O. O."/>
    <x v="24"/>
    <n v="237825"/>
    <x v="1"/>
  </r>
  <r>
    <s v="MUNKSJÖ PAPER S/A"/>
    <x v="24"/>
    <n v="36033"/>
    <x v="1"/>
  </r>
  <r>
    <s v="TECHNOCELL DEKOR GMBH"/>
    <x v="24"/>
    <n v="64966"/>
    <x v="1"/>
  </r>
  <r>
    <s v="SUNSHINE OJI (SHOUGUANG) SPECIALTY PAPER CO.,LTD."/>
    <x v="24"/>
    <n v="75793"/>
    <x v="2"/>
  </r>
  <r>
    <s v="VERDE FORTE PAPEIS SA"/>
    <x v="24"/>
    <n v="80913"/>
    <x v="0"/>
  </r>
  <r>
    <s v="TENTOK PAPER CO. LTD."/>
    <x v="24"/>
    <n v="0"/>
    <x v="3"/>
  </r>
  <r>
    <s v="CAIEIRAS INDUSTRIA E COMERCIO DE PAPEIS ESPECIAIS LTDA"/>
    <x v="25"/>
    <n v="143371"/>
    <x v="0"/>
  </r>
  <r>
    <s v="CARTIERE DI GUARCINO S.P.A."/>
    <x v="25"/>
    <n v="0"/>
    <x v="1"/>
  </r>
  <r>
    <s v="HANGZHOU HUAWANG NEW MATERIAL TECHNOLOGY CO"/>
    <x v="25"/>
    <n v="178863"/>
    <x v="2"/>
  </r>
  <r>
    <s v="PAPIERFABRIK AUGUST KOEHLER AG"/>
    <x v="25"/>
    <n v="100356"/>
    <x v="1"/>
  </r>
  <r>
    <s v="MALTA-DECOR SP. Z O. O."/>
    <x v="25"/>
    <n v="173018"/>
    <x v="1"/>
  </r>
  <r>
    <s v="MUNKSJÖ PAPER S/A"/>
    <x v="25"/>
    <n v="95974"/>
    <x v="1"/>
  </r>
  <r>
    <s v="TECHNOCELL DEKOR GMBH"/>
    <x v="25"/>
    <n v="89834"/>
    <x v="1"/>
  </r>
  <r>
    <s v="SUNSHINE OJI (SHOUGUANG) SPECIALTY PAPER CO.,LTD."/>
    <x v="25"/>
    <n v="383285"/>
    <x v="2"/>
  </r>
  <r>
    <s v="VERDE FORTE PAPEIS SA"/>
    <x v="25"/>
    <n v="82718"/>
    <x v="0"/>
  </r>
  <r>
    <s v="TENTOK PAPER CO. LTD."/>
    <x v="25"/>
    <n v="0"/>
    <x v="3"/>
  </r>
  <r>
    <s v="CAIEIRAS INDUSTRIA E COMERCIO DE PAPEIS ESPECIAIS LTDA"/>
    <x v="26"/>
    <n v="30959"/>
    <x v="0"/>
  </r>
  <r>
    <s v="CARTIERE DI GUARCINO S.P.A."/>
    <x v="26"/>
    <n v="24291"/>
    <x v="1"/>
  </r>
  <r>
    <s v="HANGZHOU HUAWANG NEW MATERIAL TECHNOLOGY CO"/>
    <x v="26"/>
    <n v="0"/>
    <x v="2"/>
  </r>
  <r>
    <s v="PAPIERFABRIK AUGUST KOEHLER AG"/>
    <x v="26"/>
    <n v="24858"/>
    <x v="1"/>
  </r>
  <r>
    <s v="MALTA-DECOR SP. Z O. O."/>
    <x v="26"/>
    <n v="87081"/>
    <x v="1"/>
  </r>
  <r>
    <s v="MUNKSJÖ PAPER S/A"/>
    <x v="26"/>
    <n v="24179"/>
    <x v="1"/>
  </r>
  <r>
    <s v="TECHNOCELL DEKOR GMBH"/>
    <x v="26"/>
    <n v="64692"/>
    <x v="1"/>
  </r>
  <r>
    <s v="SUNSHINE OJI (SHOUGUANG) SPECIALTY PAPER CO.,LTD."/>
    <x v="26"/>
    <n v="577252"/>
    <x v="2"/>
  </r>
  <r>
    <s v="VERDE FORTE PAPEIS SA"/>
    <x v="26"/>
    <n v="37580"/>
    <x v="0"/>
  </r>
  <r>
    <s v="TENTOK PAPER CO. LTD."/>
    <x v="26"/>
    <n v="0"/>
    <x v="3"/>
  </r>
  <r>
    <s v="CAIEIRAS INDUSTRIA E COMERCIO DE PAPEIS ESPECIAIS LTDA"/>
    <x v="27"/>
    <n v="49316"/>
    <x v="0"/>
  </r>
  <r>
    <s v="CARTIERE DI GUARCINO S.P.A."/>
    <x v="27"/>
    <n v="24648"/>
    <x v="1"/>
  </r>
  <r>
    <s v="HANGZHOU HUAWANG NEW MATERIAL TECHNOLOGY CO"/>
    <x v="27"/>
    <n v="224094"/>
    <x v="2"/>
  </r>
  <r>
    <s v="PAPIERFABRIK AUGUST KOEHLER AG"/>
    <x v="27"/>
    <n v="49511"/>
    <x v="1"/>
  </r>
  <r>
    <s v="MALTA-DECOR SP. Z O. O."/>
    <x v="27"/>
    <n v="21690"/>
    <x v="1"/>
  </r>
  <r>
    <s v="MUNKSJÖ PAPER S/A"/>
    <x v="27"/>
    <n v="34341"/>
    <x v="1"/>
  </r>
  <r>
    <s v="TECHNOCELL DEKOR GMBH"/>
    <x v="27"/>
    <n v="67171"/>
    <x v="1"/>
  </r>
  <r>
    <s v="SUNSHINE OJI (SHOUGUANG) SPECIALTY PAPER CO.,LTD."/>
    <x v="27"/>
    <n v="374884"/>
    <x v="2"/>
  </r>
  <r>
    <s v="VERDE FORTE PAPEIS SA"/>
    <x v="27"/>
    <n v="0"/>
    <x v="0"/>
  </r>
  <r>
    <s v="TENTOK PAPER CO. LTD."/>
    <x v="27"/>
    <n v="0"/>
    <x v="3"/>
  </r>
  <r>
    <s v="CAIEIRAS INDUSTRIA E COMERCIO DE PAPEIS ESPECIAIS LTDA"/>
    <x v="28"/>
    <n v="55992"/>
    <x v="0"/>
  </r>
  <r>
    <s v="CARTIERE DI GUARCINO S.P.A."/>
    <x v="28"/>
    <n v="0"/>
    <x v="1"/>
  </r>
  <r>
    <s v="HANGZHOU HUAWANG NEW MATERIAL TECHNOLOGY CO"/>
    <x v="28"/>
    <n v="25037"/>
    <x v="2"/>
  </r>
  <r>
    <s v="PAPIERFABRIK AUGUST KOEHLER AG"/>
    <x v="28"/>
    <n v="0"/>
    <x v="1"/>
  </r>
  <r>
    <s v="MALTA-DECOR SP. Z O. O."/>
    <x v="28"/>
    <n v="42925"/>
    <x v="1"/>
  </r>
  <r>
    <s v="MUNKSJÖ PAPER S/A"/>
    <x v="28"/>
    <n v="24204"/>
    <x v="1"/>
  </r>
  <r>
    <s v="TECHNOCELL DEKOR GMBH"/>
    <x v="28"/>
    <n v="12064"/>
    <x v="1"/>
  </r>
  <r>
    <s v="SUNSHINE OJI (SHOUGUANG) SPECIALTY PAPER CO.,LTD."/>
    <x v="28"/>
    <n v="375594"/>
    <x v="2"/>
  </r>
  <r>
    <s v="VERDE FORTE PAPEIS SA"/>
    <x v="28"/>
    <n v="66689"/>
    <x v="0"/>
  </r>
  <r>
    <s v="TENTOK PAPER CO. LTD."/>
    <x v="28"/>
    <n v="0"/>
    <x v="3"/>
  </r>
  <r>
    <s v="CAIEIRAS INDUSTRIA E COMERCIO DE PAPEIS ESPECIAIS LTDA"/>
    <x v="29"/>
    <n v="25433"/>
    <x v="0"/>
  </r>
  <r>
    <s v="CARTIERE DI GUARCINO S.P.A."/>
    <x v="29"/>
    <n v="0"/>
    <x v="1"/>
  </r>
  <r>
    <s v="HANGZHOU HUAWANG NEW MATERIAL TECHNOLOGY CO"/>
    <x v="29"/>
    <n v="26341"/>
    <x v="2"/>
  </r>
  <r>
    <s v="PAPIERFABRIK AUGUST KOEHLER AG"/>
    <x v="29"/>
    <n v="24939"/>
    <x v="1"/>
  </r>
  <r>
    <s v="MALTA-DECOR SP. Z O. O."/>
    <x v="29"/>
    <n v="0"/>
    <x v="1"/>
  </r>
  <r>
    <s v="MUNKSJÖ PAPER S/A"/>
    <x v="29"/>
    <n v="48737"/>
    <x v="1"/>
  </r>
  <r>
    <s v="TECHNOCELL DEKOR GMBH"/>
    <x v="29"/>
    <n v="0"/>
    <x v="1"/>
  </r>
  <r>
    <s v="SUNSHINE OJI (SHOUGUANG) SPECIALTY PAPER CO.,LTD."/>
    <x v="29"/>
    <n v="201755"/>
    <x v="2"/>
  </r>
  <r>
    <s v="VERDE FORTE PAPEIS SA"/>
    <x v="29"/>
    <n v="306"/>
    <x v="0"/>
  </r>
  <r>
    <s v="CAIEIRAS INDUSTRIA E COMERCIO DE PAPEIS ESPECIAIS LTDA"/>
    <x v="30"/>
    <n v="157586"/>
    <x v="0"/>
  </r>
  <r>
    <s v="CARTIERE DI GUARCINO S.P.A."/>
    <x v="30"/>
    <n v="0"/>
    <x v="1"/>
  </r>
  <r>
    <s v="HANGZHOU HUAWANG NEW MATERIAL TECHNOLOGY CO"/>
    <x v="30"/>
    <n v="24633"/>
    <x v="2"/>
  </r>
  <r>
    <s v="PAPIERFABRIK AUGUST KOEHLER AG"/>
    <x v="30"/>
    <n v="24809"/>
    <x v="1"/>
  </r>
  <r>
    <s v="MALTA-DECOR SP. Z O. O."/>
    <x v="30"/>
    <n v="0"/>
    <x v="1"/>
  </r>
  <r>
    <s v="MUNKSJÖ PAPER S/A"/>
    <x v="30"/>
    <n v="78923"/>
    <x v="1"/>
  </r>
  <r>
    <s v="TECHNOCELL DEKOR GMBH"/>
    <x v="30"/>
    <n v="55126"/>
    <x v="1"/>
  </r>
  <r>
    <s v="SUNSHINE OJI (SHOUGUANG) SPECIALTY PAPER CO.,LTD."/>
    <x v="30"/>
    <n v="180130"/>
    <x v="2"/>
  </r>
  <r>
    <s v="VERDE FORTE PAPEIS SA"/>
    <x v="30"/>
    <n v="27374"/>
    <x v="0"/>
  </r>
  <r>
    <s v="CAIEIRAS INDUSTRIA E COMERCIO DE PAPEIS ESPECIAIS LTDA"/>
    <x v="31"/>
    <n v="199449"/>
    <x v="0"/>
  </r>
  <r>
    <s v="CARTIERE DI GUARCINO S.P.A."/>
    <x v="31"/>
    <n v="0"/>
    <x v="1"/>
  </r>
  <r>
    <s v="HANGZHOU HUAWANG NEW MATERIAL TECHNOLOGY CO"/>
    <x v="31"/>
    <n v="0"/>
    <x v="2"/>
  </r>
  <r>
    <s v="PAPIERFABRIK AUGUST KOEHLER AG"/>
    <x v="31"/>
    <n v="98867"/>
    <x v="1"/>
  </r>
  <r>
    <s v="MALTA-DECOR SP. Z O. O."/>
    <x v="31"/>
    <n v="21726"/>
    <x v="1"/>
  </r>
  <r>
    <s v="MUNKSJÖ PAPER S/A"/>
    <x v="31"/>
    <n v="0"/>
    <x v="1"/>
  </r>
  <r>
    <s v="TECHNOCELL DEKOR GMBH"/>
    <x v="31"/>
    <n v="23133"/>
    <x v="1"/>
  </r>
  <r>
    <s v="SUNSHINE OJI (SHOUGUANG) SPECIALTY PAPER CO.,LTD."/>
    <x v="31"/>
    <n v="174173"/>
    <x v="2"/>
  </r>
  <r>
    <s v="VERDE FORTE PAPEIS SA"/>
    <x v="31"/>
    <n v="43219"/>
    <x v="0"/>
  </r>
  <r>
    <s v="CAIEIRAS INDUSTRIA E COMERCIO DE PAPEIS ESPECIAIS LTDA"/>
    <x v="32"/>
    <n v="174500"/>
    <x v="0"/>
  </r>
  <r>
    <s v="CARTIERE DI GUARCINO S.P.A."/>
    <x v="32"/>
    <n v="1942"/>
    <x v="1"/>
  </r>
  <r>
    <s v="HANGZHOU HUAWANG NEW MATERIAL TECHNOLOGY CO"/>
    <x v="32"/>
    <n v="149810"/>
    <x v="2"/>
  </r>
  <r>
    <s v="KINGDECOR (ZHEJIANG) CO., LTD"/>
    <x v="32"/>
    <n v="24486"/>
    <x v="2"/>
  </r>
  <r>
    <s v="PAPIERFABRIK AUGUST KOEHLER AG"/>
    <x v="32"/>
    <n v="74070"/>
    <x v="1"/>
  </r>
  <r>
    <s v="MALTA-DECOR SP. Z O. O."/>
    <x v="32"/>
    <n v="110029"/>
    <x v="1"/>
  </r>
  <r>
    <s v="MUNKSJÖ PAPER S/A"/>
    <x v="32"/>
    <n v="0"/>
    <x v="1"/>
  </r>
  <r>
    <s v="TECHNOCELL DEKOR GMBH"/>
    <x v="32"/>
    <n v="66695"/>
    <x v="1"/>
  </r>
  <r>
    <s v="SUNSHINE OJI (SHOUGUANG) SPECIALTY PAPER CO.,LTD."/>
    <x v="32"/>
    <n v="405297"/>
    <x v="2"/>
  </r>
  <r>
    <s v="VERDE FORTE PAPEIS SA"/>
    <x v="32"/>
    <n v="54133"/>
    <x v="0"/>
  </r>
  <r>
    <s v="CAIEIRAS INDUSTRIA E COMERCIO DE PAPEIS ESPECIAIS LTDA"/>
    <x v="33"/>
    <n v="118170"/>
    <x v="0"/>
  </r>
  <r>
    <s v="CARTIERE DI GUARCINO S.P.A."/>
    <x v="33"/>
    <n v="0"/>
    <x v="1"/>
  </r>
  <r>
    <s v="HANGZHOU HUAWANG NEW MATERIAL TECHNOLOGY CO"/>
    <x v="33"/>
    <n v="101272"/>
    <x v="2"/>
  </r>
  <r>
    <s v="KINGDECOR (ZHEJIANG) CO., LTD"/>
    <x v="33"/>
    <n v="0"/>
    <x v="2"/>
  </r>
  <r>
    <s v="PAPIERFABRIK AUGUST KOEHLER AG"/>
    <x v="33"/>
    <n v="100537"/>
    <x v="1"/>
  </r>
  <r>
    <s v="MALTA-DECOR SP. Z O. O."/>
    <x v="33"/>
    <n v="21333"/>
    <x v="1"/>
  </r>
  <r>
    <s v="MUNKSJÖ PAPER S/A"/>
    <x v="33"/>
    <n v="143308"/>
    <x v="1"/>
  </r>
  <r>
    <s v="TECHNOCELL DEKOR GMBH"/>
    <x v="33"/>
    <n v="1017"/>
    <x v="1"/>
  </r>
  <r>
    <s v="SUNSHINE OJI (SHOUGUANG) SPECIALTY PAPER CO.,LTD."/>
    <x v="33"/>
    <n v="865315"/>
    <x v="2"/>
  </r>
  <r>
    <s v="VERDE FORTE PAPEIS SA"/>
    <x v="33"/>
    <n v="55981"/>
    <x v="0"/>
  </r>
  <r>
    <s v="CAIEIRAS INDUSTRIA E COMERCIO DE PAPEIS ESPECIAIS LTDA"/>
    <x v="34"/>
    <n v="252743"/>
    <x v="0"/>
  </r>
  <r>
    <s v="CARTIERE DI GUARCINO S.P.A."/>
    <x v="34"/>
    <n v="0"/>
    <x v="1"/>
  </r>
  <r>
    <s v="HANGZHOU HUAWANG NEW MATERIAL TECHNOLOGY CO"/>
    <x v="34"/>
    <n v="321461"/>
    <x v="2"/>
  </r>
  <r>
    <s v="KINGDECOR (ZHEJIANG) CO., LTD"/>
    <x v="34"/>
    <n v="0"/>
    <x v="2"/>
  </r>
  <r>
    <s v="PAPIERFABRIK AUGUST KOEHLER AG"/>
    <x v="34"/>
    <n v="64542"/>
    <x v="1"/>
  </r>
  <r>
    <s v="MALTA-DECOR SP. Z O. O."/>
    <x v="34"/>
    <n v="87648"/>
    <x v="1"/>
  </r>
  <r>
    <s v="MUNKSJÖ PAPER S/A"/>
    <x v="34"/>
    <n v="23415"/>
    <x v="1"/>
  </r>
  <r>
    <s v="TECHNOCELL DEKOR GMBH"/>
    <x v="34"/>
    <n v="89385"/>
    <x v="1"/>
  </r>
  <r>
    <s v="SUNSHINE OJI (SHOUGUANG) SPECIALTY PAPER CO.,LTD."/>
    <x v="34"/>
    <n v="398010"/>
    <x v="2"/>
  </r>
  <r>
    <s v="VERDE FORTE PAPEIS SA"/>
    <x v="34"/>
    <n v="15822"/>
    <x v="0"/>
  </r>
  <r>
    <s v="CAIEIRAS INDUSTRIA E COMERCIO DE PAPEIS ESPECIAIS LTDA"/>
    <x v="35"/>
    <n v="101349"/>
    <x v="0"/>
  </r>
  <r>
    <s v="CARTIERE DI GUARCINO S.P.A."/>
    <x v="35"/>
    <n v="25142"/>
    <x v="1"/>
  </r>
  <r>
    <s v="HANGZHOU HUAWANG NEW MATERIAL TECHNOLOGY CO"/>
    <x v="35"/>
    <n v="728824"/>
    <x v="2"/>
  </r>
  <r>
    <s v="KINGDECOR (ZHEJIANG) CO., LTD"/>
    <x v="35"/>
    <n v="0"/>
    <x v="2"/>
  </r>
  <r>
    <s v="PAPIERFABRIK AUGUST KOEHLER AG"/>
    <x v="35"/>
    <n v="81378"/>
    <x v="1"/>
  </r>
  <r>
    <s v="MALTA-DECOR SP. Z O. O."/>
    <x v="35"/>
    <n v="78359"/>
    <x v="1"/>
  </r>
  <r>
    <s v="MUNKSJÖ PAPER S/A"/>
    <x v="35"/>
    <n v="127878"/>
    <x v="1"/>
  </r>
  <r>
    <s v="TECHNOCELL DEKOR GMBH"/>
    <x v="35"/>
    <n v="23324"/>
    <x v="1"/>
  </r>
  <r>
    <s v="SUNSHINE OJI (SHOUGUANG) SPECIALTY PAPER CO.,LTD."/>
    <x v="35"/>
    <n v="2116973"/>
    <x v="2"/>
  </r>
  <r>
    <s v="VERDE FORTE PAPEIS SA"/>
    <x v="35"/>
    <n v="40232"/>
    <x v="0"/>
  </r>
  <r>
    <s v="CAIEIRAS INDUSTRIA E COMERCIO DE PAPEIS ESPECIAIS LTDA"/>
    <x v="36"/>
    <n v="77515"/>
    <x v="0"/>
  </r>
  <r>
    <s v="CARTIERE DI GUARCINO S.P.A."/>
    <x v="36"/>
    <m/>
    <x v="1"/>
  </r>
  <r>
    <s v="HANGZHOU HUAWANG NEW MATERIAL TECHNOLOGY CO"/>
    <x v="36"/>
    <n v="25137"/>
    <x v="2"/>
  </r>
  <r>
    <s v="KINGDECOR (ZHEJIANG) CO., LTD"/>
    <x v="36"/>
    <m/>
    <x v="2"/>
  </r>
  <r>
    <s v="PAPIERFABRIK AUGUST KOEHLER AG"/>
    <x v="36"/>
    <n v="76011"/>
    <x v="1"/>
  </r>
  <r>
    <s v="MALTA-DECOR SP. Z O. O."/>
    <x v="36"/>
    <m/>
    <x v="1"/>
  </r>
  <r>
    <s v="MUNKSJÖ PAPER S/A"/>
    <x v="36"/>
    <n v="71703"/>
    <x v="1"/>
  </r>
  <r>
    <s v="TECHNOCELL DEKOR GMBH"/>
    <x v="36"/>
    <n v="90596"/>
    <x v="1"/>
  </r>
  <r>
    <s v="SUNSHINE OJI (SHOUGUANG) SPECIALTY PAPER CO.,LTD."/>
    <x v="36"/>
    <n v="50606"/>
    <x v="2"/>
  </r>
  <r>
    <s v="VERDE FORTE PAPEIS SA"/>
    <x v="36"/>
    <n v="71346"/>
    <x v="0"/>
  </r>
  <r>
    <s v="CAIEIRAS INDUSTRIA E COMERCIO DE PAPEIS ESPECIAIS LTDA"/>
    <x v="37"/>
    <n v="151970"/>
    <x v="0"/>
  </r>
  <r>
    <s v="CARTIERE DI GUARCINO S.P.A."/>
    <x v="37"/>
    <m/>
    <x v="1"/>
  </r>
  <r>
    <s v="HANGZHOU HUAWANG NEW MATERIAL TECHNOLOGY CO"/>
    <x v="37"/>
    <n v="25228"/>
    <x v="2"/>
  </r>
  <r>
    <s v="KINGDECOR (ZHEJIANG) CO., LTD"/>
    <x v="37"/>
    <m/>
    <x v="2"/>
  </r>
  <r>
    <s v="PAPIERFABRIK AUGUST KOEHLER AG"/>
    <x v="37"/>
    <n v="0"/>
    <x v="1"/>
  </r>
  <r>
    <s v="MALTA-DECOR SP. Z O. O."/>
    <x v="37"/>
    <m/>
    <x v="1"/>
  </r>
  <r>
    <s v="MUNKSJÖ PAPER S/A"/>
    <x v="37"/>
    <n v="0"/>
    <x v="1"/>
  </r>
  <r>
    <s v="TECHNOCELL DEKOR GMBH"/>
    <x v="37"/>
    <n v="0"/>
    <x v="1"/>
  </r>
  <r>
    <s v="SUNSHINE OJI (SHOUGUANG) SPECIALTY PAPER CO.,LTD."/>
    <x v="37"/>
    <n v="171600"/>
    <x v="2"/>
  </r>
  <r>
    <s v="VERDE FORTE PAPEIS SA"/>
    <x v="37"/>
    <n v="45411"/>
    <x v="0"/>
  </r>
  <r>
    <s v="CAIEIRAS INDUSTRIA E COMERCIO DE PAPEIS ESPECIAIS LTDA"/>
    <x v="38"/>
    <n v="102555"/>
    <x v="0"/>
  </r>
  <r>
    <s v="CARTIERE DI GUARCINO S.P.A."/>
    <x v="38"/>
    <n v="1366"/>
    <x v="1"/>
  </r>
  <r>
    <s v="HANGZHOU HUAWANG NEW MATERIAL TECHNOLOGY CO"/>
    <x v="38"/>
    <n v="2030"/>
    <x v="2"/>
  </r>
  <r>
    <s v="KINGDECOR (ZHEJIANG) CO., LTD"/>
    <x v="38"/>
    <n v="0"/>
    <x v="2"/>
  </r>
  <r>
    <s v="PAPIERFABRIK AUGUST KOEHLER AG"/>
    <x v="38"/>
    <n v="127312"/>
    <x v="1"/>
  </r>
  <r>
    <s v="MALTA-DECOR SP. Z O. O."/>
    <x v="38"/>
    <n v="60282"/>
    <x v="1"/>
  </r>
  <r>
    <s v="MUNKSJÖ PAPER S/A"/>
    <x v="38"/>
    <n v="122627"/>
    <x v="1"/>
  </r>
  <r>
    <s v="TECHNOCELL DEKOR GMBH"/>
    <x v="38"/>
    <n v="119682"/>
    <x v="1"/>
  </r>
  <r>
    <s v="SUNSHINE OJI (SHOUGUANG) SPECIALTY PAPER CO.,LTD."/>
    <x v="38"/>
    <n v="477856"/>
    <x v="2"/>
  </r>
  <r>
    <s v="VERDE FORTE PAPEIS SA"/>
    <x v="38"/>
    <n v="96296"/>
    <x v="0"/>
  </r>
  <r>
    <s v="CAIEIRAS INDUSTRIA E COMERCIO DE PAPEIS ESPECIAIS LTDA"/>
    <x v="39"/>
    <n v="115560"/>
    <x v="0"/>
  </r>
  <r>
    <s v="CARTIERE DI GUARCINO S.P.A."/>
    <x v="39"/>
    <n v="21523"/>
    <x v="1"/>
  </r>
  <r>
    <s v="HANGZHOU HUAWANG NEW MATERIAL TECHNOLOGY CO"/>
    <x v="39"/>
    <n v="375074"/>
    <x v="2"/>
  </r>
  <r>
    <s v="KINGDECOR (ZHEJIANG) CO., LTD"/>
    <x v="39"/>
    <n v="102208"/>
    <x v="2"/>
  </r>
  <r>
    <s v="PAPIERFABRIK AUGUST KOEHLER AG"/>
    <x v="39"/>
    <m/>
    <x v="1"/>
  </r>
  <r>
    <s v="MALTA-DECOR SP. Z O. O."/>
    <x v="39"/>
    <m/>
    <x v="1"/>
  </r>
  <r>
    <s v="MUNKSJÖ PAPER S/A"/>
    <x v="39"/>
    <n v="144244"/>
    <x v="1"/>
  </r>
  <r>
    <s v="TECHNOCELL DEKOR GMBH"/>
    <x v="39"/>
    <n v="68566"/>
    <x v="1"/>
  </r>
  <r>
    <s v="SUNSHINE OJI (SHOUGUANG) SPECIALTY PAPER CO.,LTD."/>
    <x v="39"/>
    <n v="250798"/>
    <x v="2"/>
  </r>
  <r>
    <s v="VERDE FORTE PAPEIS SA"/>
    <x v="39"/>
    <n v="70665"/>
    <x v="0"/>
  </r>
  <r>
    <m/>
    <x v="40"/>
    <m/>
    <x v="4"/>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6">
  <r>
    <n v="10029"/>
    <x v="0"/>
    <x v="0"/>
    <x v="0"/>
    <s v="setup"/>
    <x v="0"/>
    <s v="ACERTO"/>
    <s v="white"/>
    <m/>
    <m/>
    <m/>
    <s v="BR"/>
    <x v="0"/>
    <x v="0"/>
    <m/>
    <m/>
    <m/>
    <x v="0"/>
    <m/>
    <m/>
    <m/>
    <s v="ton"/>
    <x v="0"/>
    <x v="0"/>
    <m/>
    <m/>
    <m/>
    <m/>
    <m/>
    <m/>
    <m/>
    <m/>
    <m/>
    <m/>
    <m/>
    <m/>
    <m/>
    <m/>
    <n v="9367"/>
    <n v="9367"/>
    <n v="9367"/>
    <n v="9367"/>
    <m/>
    <m/>
    <m/>
    <m/>
    <m/>
    <m/>
    <m/>
    <m/>
    <m/>
    <n v="8893.5"/>
    <n v="8864.4599999999991"/>
    <n v="8864.4599999999991"/>
    <n v="9440.6498999999985"/>
    <n v="9440.6498999999985"/>
    <n v="9440.6498999999985"/>
    <m/>
    <m/>
    <m/>
    <m/>
    <m/>
    <m/>
    <m/>
    <m/>
    <m/>
    <m/>
    <m/>
    <m/>
    <m/>
    <m/>
    <m/>
    <x v="0"/>
    <x v="0"/>
    <x v="0"/>
    <n v="9.4406498999999986"/>
    <n v="9.4406498999999986"/>
    <n v="0"/>
    <n v="0"/>
    <n v="0"/>
    <n v="0.2"/>
    <x v="0"/>
    <x v="0"/>
    <n v="45"/>
    <n v="30"/>
    <x v="0"/>
    <n v="7.2035745679343677E-2"/>
    <x v="0"/>
    <x v="0"/>
  </r>
  <r>
    <n v="10031"/>
    <x v="0"/>
    <x v="0"/>
    <x v="1"/>
    <s v="setup"/>
    <x v="0"/>
    <s v="ACERTO"/>
    <s v="white"/>
    <m/>
    <m/>
    <m/>
    <s v="BR"/>
    <x v="0"/>
    <x v="0"/>
    <m/>
    <m/>
    <m/>
    <x v="0"/>
    <m/>
    <m/>
    <m/>
    <s v="ton"/>
    <x v="0"/>
    <x v="0"/>
    <m/>
    <m/>
    <m/>
    <m/>
    <m/>
    <m/>
    <m/>
    <m/>
    <m/>
    <m/>
    <m/>
    <m/>
    <m/>
    <m/>
    <n v="9367"/>
    <n v="9367"/>
    <n v="9367"/>
    <n v="9367"/>
    <m/>
    <m/>
    <m/>
    <m/>
    <m/>
    <m/>
    <m/>
    <m/>
    <m/>
    <n v="8893.5"/>
    <n v="8864.4599999999991"/>
    <n v="8864.4599999999991"/>
    <n v="9440.6498999999985"/>
    <n v="9440.6498999999985"/>
    <n v="9440.6498999999985"/>
    <m/>
    <m/>
    <m/>
    <m/>
    <m/>
    <m/>
    <m/>
    <m/>
    <m/>
    <m/>
    <m/>
    <m/>
    <m/>
    <m/>
    <m/>
    <x v="0"/>
    <x v="0"/>
    <x v="0"/>
    <n v="9.4406498999999986"/>
    <n v="9.4406498999999986"/>
    <n v="0"/>
    <n v="0"/>
    <n v="0"/>
    <n v="0.2"/>
    <x v="0"/>
    <x v="0"/>
    <n v="45"/>
    <n v="30"/>
    <x v="0"/>
    <n v="7.2035745679343677E-2"/>
    <x v="0"/>
    <x v="0"/>
  </r>
  <r>
    <n v="10038"/>
    <x v="1"/>
    <x v="1"/>
    <x v="2"/>
    <s v="FF"/>
    <x v="0"/>
    <s v="FF BRANCO"/>
    <s v="white"/>
    <m/>
    <m/>
    <m/>
    <s v="BR"/>
    <x v="0"/>
    <x v="0"/>
    <m/>
    <m/>
    <m/>
    <x v="0"/>
    <m/>
    <m/>
    <m/>
    <s v="ton"/>
    <x v="0"/>
    <x v="0"/>
    <m/>
    <m/>
    <m/>
    <m/>
    <m/>
    <m/>
    <m/>
    <m/>
    <m/>
    <m/>
    <m/>
    <m/>
    <m/>
    <m/>
    <n v="9367"/>
    <n v="9367"/>
    <n v="9367"/>
    <n v="9367"/>
    <m/>
    <m/>
    <m/>
    <m/>
    <m/>
    <m/>
    <m/>
    <m/>
    <m/>
    <n v="8984.25"/>
    <n v="8984.25"/>
    <n v="8984.25"/>
    <n v="9568.2262499999997"/>
    <n v="9568.2262499999997"/>
    <n v="9568.2262499999997"/>
    <m/>
    <m/>
    <m/>
    <m/>
    <m/>
    <m/>
    <m/>
    <m/>
    <m/>
    <m/>
    <m/>
    <m/>
    <m/>
    <m/>
    <m/>
    <x v="1"/>
    <x v="0"/>
    <x v="0"/>
    <n v="9.5682262500000004"/>
    <n v="9.5682262500000004"/>
    <n v="0"/>
    <n v="0"/>
    <n v="0"/>
    <n v="0.2"/>
    <x v="1"/>
    <x v="1"/>
    <n v="45"/>
    <n v="30"/>
    <x v="0"/>
    <n v="7.2989006880469276E-2"/>
    <x v="1"/>
    <x v="1"/>
  </r>
  <r>
    <n v="10223"/>
    <x v="2"/>
    <x v="0"/>
    <x v="0"/>
    <s v="FF"/>
    <x v="1"/>
    <s v="TENTOK CHPS"/>
    <s v="light brown"/>
    <m/>
    <m/>
    <m/>
    <s v="JP"/>
    <x v="1"/>
    <x v="0"/>
    <m/>
    <m/>
    <m/>
    <x v="0"/>
    <m/>
    <m/>
    <m/>
    <s v="ton"/>
    <x v="0"/>
    <x v="1"/>
    <m/>
    <m/>
    <m/>
    <m/>
    <m/>
    <m/>
    <m/>
    <m/>
    <m/>
    <m/>
    <m/>
    <m/>
    <m/>
    <m/>
    <m/>
    <m/>
    <n v="2153"/>
    <n v="2153"/>
    <m/>
    <m/>
    <m/>
    <m/>
    <m/>
    <m/>
    <m/>
    <m/>
    <m/>
    <m/>
    <m/>
    <m/>
    <m/>
    <m/>
    <m/>
    <m/>
    <m/>
    <m/>
    <m/>
    <m/>
    <m/>
    <m/>
    <m/>
    <m/>
    <m/>
    <m/>
    <m/>
    <m/>
    <m/>
    <m/>
    <x v="2"/>
    <x v="1"/>
    <x v="0"/>
    <n v="2.153"/>
    <n v="10.765000000000001"/>
    <n v="1.8659666666666668"/>
    <n v="1.6147500000000001"/>
    <n v="0"/>
    <n v="9.1999999999999998E-2"/>
    <x v="2"/>
    <x v="2"/>
    <n v="120"/>
    <n v="90"/>
    <x v="1"/>
    <n v="0.21506574999999906"/>
    <x v="2"/>
    <x v="2"/>
  </r>
  <r>
    <n v="10247"/>
    <x v="3"/>
    <x v="2"/>
    <x v="0"/>
    <s v="IP"/>
    <x v="2"/>
    <s v="MUNKSJO 31052 Beige-Brown (Brazil)"/>
    <s v="light brown"/>
    <m/>
    <m/>
    <m/>
    <s v="EU"/>
    <x v="2"/>
    <x v="0"/>
    <m/>
    <m/>
    <m/>
    <x v="0"/>
    <m/>
    <m/>
    <m/>
    <s v="ton"/>
    <x v="1"/>
    <x v="2"/>
    <n v="3650"/>
    <n v="3650"/>
    <n v="3650"/>
    <n v="3380"/>
    <n v="3380"/>
    <n v="3380"/>
    <n v="3180"/>
    <n v="3180"/>
    <n v="3180"/>
    <n v="3030"/>
    <n v="3030"/>
    <n v="3030"/>
    <n v="3030"/>
    <n v="3030"/>
    <n v="3030"/>
    <n v="3150"/>
    <n v="3150"/>
    <n v="3150"/>
    <n v="3330"/>
    <n v="3330"/>
    <n v="3330"/>
    <n v="3330"/>
    <n v="3330"/>
    <n v="3330"/>
    <n v="3180"/>
    <n v="3180"/>
    <n v="3180"/>
    <n v="3260"/>
    <n v="3260"/>
    <n v="3260"/>
    <n v="3260"/>
    <n v="3260"/>
    <n v="3260"/>
    <n v="3110"/>
    <n v="3110"/>
    <n v="3110"/>
    <m/>
    <m/>
    <m/>
    <n v="3210"/>
    <n v="3310"/>
    <n v="3310"/>
    <n v="3410"/>
    <n v="3360"/>
    <n v="3360"/>
    <m/>
    <m/>
    <m/>
    <x v="3"/>
    <x v="2"/>
    <x v="1"/>
    <n v="3.36"/>
    <n v="19.824000000000002"/>
    <n v="0.14176320000000001"/>
    <n v="2.5771200000000003"/>
    <n v="0"/>
    <n v="9.1999999999999998E-2"/>
    <x v="3"/>
    <x v="3"/>
    <n v="105"/>
    <n v="60"/>
    <x v="2"/>
    <n v="0.51118994238145987"/>
    <x v="3"/>
    <x v="3"/>
  </r>
  <r>
    <n v="10247"/>
    <x v="3"/>
    <x v="2"/>
    <x v="0"/>
    <s v="IP"/>
    <x v="2"/>
    <s v="MUNKSJO 31052 Beige-Brown (Brazil)"/>
    <s v="light brown"/>
    <m/>
    <m/>
    <m/>
    <s v="EU"/>
    <x v="2"/>
    <x v="0"/>
    <m/>
    <m/>
    <m/>
    <x v="0"/>
    <m/>
    <m/>
    <m/>
    <s v="ton"/>
    <x v="2"/>
    <x v="2"/>
    <n v="3350"/>
    <n v="3350"/>
    <n v="3350"/>
    <n v="3080"/>
    <n v="3080"/>
    <n v="3080"/>
    <n v="2880"/>
    <n v="2880"/>
    <n v="2880"/>
    <n v="2730"/>
    <n v="2730"/>
    <n v="2730"/>
    <n v="2730"/>
    <n v="2730"/>
    <n v="2730"/>
    <n v="2850"/>
    <n v="2850"/>
    <n v="2850"/>
    <n v="3030"/>
    <n v="3030"/>
    <n v="3030"/>
    <n v="3030"/>
    <n v="3030"/>
    <n v="3030"/>
    <n v="2880"/>
    <n v="2880"/>
    <n v="2880"/>
    <n v="2960"/>
    <n v="2960"/>
    <n v="2960"/>
    <n v="2960"/>
    <n v="2960"/>
    <n v="2960"/>
    <n v="2810"/>
    <n v="2810"/>
    <n v="2810"/>
    <m/>
    <m/>
    <m/>
    <n v="2910"/>
    <n v="3010"/>
    <n v="3010"/>
    <n v="3110"/>
    <n v="3060"/>
    <n v="3060"/>
    <m/>
    <m/>
    <m/>
    <x v="4"/>
    <x v="2"/>
    <x v="2"/>
    <n v="3.06"/>
    <n v="18.054000000000002"/>
    <n v="0.14176320000000001"/>
    <n v="2.3470200000000006"/>
    <n v="0"/>
    <n v="9.1999999999999998E-2"/>
    <x v="4"/>
    <x v="4"/>
    <n v="105"/>
    <n v="60"/>
    <x v="2"/>
    <n v="0.46601935348453338"/>
    <x v="4"/>
    <x v="4"/>
  </r>
  <r>
    <n v="10247"/>
    <x v="3"/>
    <x v="2"/>
    <x v="0"/>
    <s v="IP"/>
    <x v="2"/>
    <s v="MUNKSJO 31052 Beige-Brown (Brazil)"/>
    <s v="light brown"/>
    <m/>
    <m/>
    <m/>
    <s v="EU"/>
    <x v="2"/>
    <x v="0"/>
    <m/>
    <m/>
    <m/>
    <x v="0"/>
    <m/>
    <m/>
    <m/>
    <s v="ton"/>
    <x v="3"/>
    <x v="2"/>
    <n v="3300"/>
    <n v="3300"/>
    <n v="3300"/>
    <n v="3030"/>
    <n v="3030"/>
    <n v="3030"/>
    <n v="2830"/>
    <n v="2830"/>
    <n v="2830"/>
    <n v="2680"/>
    <n v="2680"/>
    <n v="2680"/>
    <n v="2680"/>
    <n v="2680"/>
    <n v="2680"/>
    <n v="2800"/>
    <n v="2800"/>
    <n v="2800"/>
    <n v="2980"/>
    <n v="2980"/>
    <n v="2980"/>
    <n v="2980"/>
    <n v="2980"/>
    <n v="2980"/>
    <n v="2830"/>
    <n v="2830"/>
    <n v="2830"/>
    <n v="2910"/>
    <n v="2910"/>
    <n v="2910"/>
    <n v="2910"/>
    <n v="2910"/>
    <n v="2910"/>
    <n v="2760"/>
    <n v="2760"/>
    <n v="2760"/>
    <m/>
    <m/>
    <m/>
    <n v="2860"/>
    <n v="2960"/>
    <n v="2960"/>
    <n v="3060"/>
    <n v="3010"/>
    <n v="3010"/>
    <m/>
    <m/>
    <m/>
    <x v="5"/>
    <x v="2"/>
    <x v="3"/>
    <n v="3.01"/>
    <n v="17.759"/>
    <n v="0.14176320000000001"/>
    <n v="2.3086700000000002"/>
    <n v="0"/>
    <n v="9.1999999999999998E-2"/>
    <x v="5"/>
    <x v="5"/>
    <n v="105"/>
    <n v="60"/>
    <x v="2"/>
    <n v="0.45849092200171171"/>
    <x v="5"/>
    <x v="5"/>
  </r>
  <r>
    <n v="10249"/>
    <x v="4"/>
    <x v="3"/>
    <x v="0"/>
    <s v="FF"/>
    <x v="2"/>
    <s v="MUNKSJO 9370-070 White PN"/>
    <s v="white"/>
    <m/>
    <m/>
    <m/>
    <s v="EU"/>
    <x v="2"/>
    <x v="0"/>
    <m/>
    <m/>
    <m/>
    <x v="0"/>
    <m/>
    <m/>
    <m/>
    <s v="ton"/>
    <x v="2"/>
    <x v="2"/>
    <n v="3550"/>
    <n v="3550"/>
    <n v="3550"/>
    <m/>
    <m/>
    <m/>
    <m/>
    <m/>
    <m/>
    <m/>
    <m/>
    <m/>
    <m/>
    <m/>
    <m/>
    <m/>
    <m/>
    <m/>
    <m/>
    <m/>
    <m/>
    <m/>
    <m/>
    <m/>
    <m/>
    <m/>
    <m/>
    <m/>
    <m/>
    <m/>
    <m/>
    <m/>
    <m/>
    <m/>
    <m/>
    <m/>
    <m/>
    <m/>
    <m/>
    <m/>
    <m/>
    <m/>
    <m/>
    <m/>
    <m/>
    <m/>
    <m/>
    <m/>
    <x v="6"/>
    <x v="3"/>
    <x v="0"/>
    <n v="3.55"/>
    <n v="20.945"/>
    <n v="0.14176320000000001"/>
    <n v="2.7228500000000002"/>
    <n v="0"/>
    <n v="9.1999999999999998E-2"/>
    <x v="6"/>
    <x v="6"/>
    <n v="105"/>
    <n v="60"/>
    <x v="2"/>
    <n v="0.53979798201617868"/>
    <x v="6"/>
    <x v="6"/>
  </r>
  <r>
    <n v="10249"/>
    <x v="4"/>
    <x v="3"/>
    <x v="0"/>
    <s v="FF"/>
    <x v="2"/>
    <s v="MUNKSJO 9370-070 White PN"/>
    <s v="white"/>
    <m/>
    <m/>
    <m/>
    <s v="EU"/>
    <x v="2"/>
    <x v="0"/>
    <m/>
    <m/>
    <m/>
    <x v="0"/>
    <m/>
    <m/>
    <m/>
    <s v="ton"/>
    <x v="3"/>
    <x v="2"/>
    <n v="3400"/>
    <n v="3400"/>
    <n v="3400"/>
    <m/>
    <m/>
    <m/>
    <m/>
    <m/>
    <m/>
    <m/>
    <m/>
    <m/>
    <m/>
    <m/>
    <m/>
    <m/>
    <m/>
    <m/>
    <m/>
    <m/>
    <m/>
    <m/>
    <m/>
    <m/>
    <m/>
    <m/>
    <m/>
    <m/>
    <m/>
    <m/>
    <m/>
    <m/>
    <m/>
    <m/>
    <m/>
    <m/>
    <m/>
    <m/>
    <m/>
    <m/>
    <m/>
    <m/>
    <m/>
    <m/>
    <m/>
    <m/>
    <m/>
    <m/>
    <x v="7"/>
    <x v="3"/>
    <x v="0"/>
    <n v="3.4"/>
    <n v="20.060000000000002"/>
    <n v="0.14176320000000001"/>
    <n v="2.6078000000000006"/>
    <n v="0"/>
    <n v="9.1999999999999998E-2"/>
    <x v="7"/>
    <x v="7"/>
    <n v="105"/>
    <n v="60"/>
    <x v="2"/>
    <n v="0.51721268756771721"/>
    <x v="7"/>
    <x v="7"/>
  </r>
  <r>
    <n v="10249"/>
    <x v="4"/>
    <x v="3"/>
    <x v="0"/>
    <s v="FF"/>
    <x v="2"/>
    <s v="MUNKSJO 9370-070 White PN"/>
    <s v="white"/>
    <m/>
    <m/>
    <m/>
    <s v="EU"/>
    <x v="2"/>
    <x v="0"/>
    <m/>
    <m/>
    <m/>
    <x v="0"/>
    <m/>
    <m/>
    <m/>
    <s v="ton"/>
    <x v="4"/>
    <x v="2"/>
    <n v="3350"/>
    <n v="3350"/>
    <n v="3350"/>
    <m/>
    <m/>
    <m/>
    <m/>
    <m/>
    <m/>
    <m/>
    <m/>
    <m/>
    <m/>
    <m/>
    <m/>
    <m/>
    <m/>
    <m/>
    <m/>
    <m/>
    <m/>
    <m/>
    <m/>
    <m/>
    <m/>
    <m/>
    <m/>
    <m/>
    <m/>
    <m/>
    <m/>
    <m/>
    <m/>
    <m/>
    <m/>
    <m/>
    <m/>
    <m/>
    <m/>
    <m/>
    <m/>
    <m/>
    <m/>
    <m/>
    <m/>
    <m/>
    <m/>
    <m/>
    <x v="8"/>
    <x v="3"/>
    <x v="0"/>
    <n v="3.35"/>
    <n v="19.765000000000001"/>
    <n v="0.14176320000000001"/>
    <n v="2.5694500000000002"/>
    <n v="0"/>
    <n v="9.1999999999999998E-2"/>
    <x v="8"/>
    <x v="8"/>
    <n v="105"/>
    <n v="60"/>
    <x v="2"/>
    <n v="0.50968425608489554"/>
    <x v="8"/>
    <x v="8"/>
  </r>
  <r>
    <n v="10249"/>
    <x v="4"/>
    <x v="3"/>
    <x v="0"/>
    <s v="FF"/>
    <x v="2"/>
    <s v="MUNKSJO 9370-070 White PN"/>
    <s v="white"/>
    <m/>
    <m/>
    <m/>
    <s v="EU"/>
    <x v="2"/>
    <x v="0"/>
    <m/>
    <m/>
    <m/>
    <x v="0"/>
    <m/>
    <m/>
    <m/>
    <s v="ton"/>
    <x v="5"/>
    <x v="2"/>
    <m/>
    <m/>
    <m/>
    <n v="200"/>
    <n v="200"/>
    <n v="200"/>
    <n v="200"/>
    <n v="200"/>
    <n v="200"/>
    <n v="2860"/>
    <n v="2860"/>
    <n v="2860"/>
    <n v="2860"/>
    <n v="2860"/>
    <n v="2860"/>
    <n v="2980"/>
    <n v="2980"/>
    <n v="2980"/>
    <n v="3160"/>
    <n v="3160"/>
    <n v="3160"/>
    <n v="3160"/>
    <n v="3160"/>
    <n v="3160"/>
    <m/>
    <m/>
    <m/>
    <m/>
    <m/>
    <m/>
    <n v="3010"/>
    <n v="3010"/>
    <n v="3010"/>
    <n v="2860"/>
    <n v="2860"/>
    <n v="2860"/>
    <m/>
    <m/>
    <m/>
    <n v="2880"/>
    <n v="2980"/>
    <n v="2980"/>
    <m/>
    <m/>
    <m/>
    <m/>
    <m/>
    <m/>
    <x v="9"/>
    <x v="4"/>
    <x v="4"/>
    <n v="2.98"/>
    <n v="17.582000000000001"/>
    <n v="0.14176320000000001"/>
    <n v="2.28566"/>
    <n v="0"/>
    <n v="9.1999999999999998E-2"/>
    <x v="9"/>
    <x v="9"/>
    <n v="105"/>
    <n v="60"/>
    <x v="2"/>
    <n v="0.45397386311201871"/>
    <x v="9"/>
    <x v="9"/>
  </r>
  <r>
    <n v="10249"/>
    <x v="4"/>
    <x v="3"/>
    <x v="0"/>
    <s v="FF"/>
    <x v="2"/>
    <s v="MUNKSJO 9370-070 White PN"/>
    <s v="white"/>
    <m/>
    <m/>
    <m/>
    <s v="EU"/>
    <x v="2"/>
    <x v="0"/>
    <m/>
    <m/>
    <m/>
    <x v="0"/>
    <m/>
    <m/>
    <m/>
    <s v="ton"/>
    <x v="6"/>
    <x v="2"/>
    <m/>
    <m/>
    <m/>
    <n v="200"/>
    <n v="200"/>
    <n v="200"/>
    <n v="200"/>
    <n v="200"/>
    <n v="200"/>
    <n v="2810"/>
    <n v="2810"/>
    <n v="2810"/>
    <n v="2810"/>
    <n v="2810"/>
    <n v="2810"/>
    <n v="2930"/>
    <n v="2930"/>
    <n v="2930"/>
    <n v="3110"/>
    <n v="3110"/>
    <n v="3110"/>
    <n v="3110"/>
    <n v="3110"/>
    <n v="3110"/>
    <m/>
    <m/>
    <m/>
    <m/>
    <m/>
    <m/>
    <m/>
    <m/>
    <m/>
    <m/>
    <m/>
    <m/>
    <m/>
    <m/>
    <m/>
    <m/>
    <m/>
    <m/>
    <m/>
    <m/>
    <m/>
    <m/>
    <m/>
    <m/>
    <x v="10"/>
    <x v="5"/>
    <x v="0"/>
    <n v="3.11"/>
    <n v="18.349"/>
    <n v="0.14176320000000001"/>
    <n v="2.38537"/>
    <n v="0"/>
    <n v="9.1999999999999998E-2"/>
    <x v="10"/>
    <x v="10"/>
    <n v="105"/>
    <n v="60"/>
    <x v="2"/>
    <n v="0.47354778496735506"/>
    <x v="10"/>
    <x v="10"/>
  </r>
  <r>
    <n v="10251"/>
    <x v="1"/>
    <x v="0"/>
    <x v="0"/>
    <s v="FF"/>
    <x v="1"/>
    <s v="TENTOK OPAC"/>
    <s v="white"/>
    <m/>
    <m/>
    <m/>
    <s v="JP"/>
    <x v="1"/>
    <x v="0"/>
    <m/>
    <m/>
    <m/>
    <x v="0"/>
    <m/>
    <m/>
    <m/>
    <s v="ton"/>
    <x v="0"/>
    <x v="1"/>
    <m/>
    <m/>
    <m/>
    <m/>
    <m/>
    <m/>
    <m/>
    <m/>
    <m/>
    <m/>
    <m/>
    <m/>
    <m/>
    <m/>
    <m/>
    <m/>
    <n v="2198"/>
    <n v="2198"/>
    <m/>
    <m/>
    <m/>
    <m/>
    <m/>
    <m/>
    <m/>
    <m/>
    <m/>
    <m/>
    <m/>
    <m/>
    <m/>
    <m/>
    <m/>
    <m/>
    <m/>
    <m/>
    <m/>
    <m/>
    <m/>
    <m/>
    <m/>
    <m/>
    <m/>
    <m/>
    <m/>
    <m/>
    <m/>
    <m/>
    <x v="11"/>
    <x v="1"/>
    <x v="0"/>
    <n v="2.198"/>
    <n v="10.99"/>
    <n v="1.8659666666666668"/>
    <n v="1.6485000000000001"/>
    <n v="0"/>
    <n v="9.1999999999999998E-2"/>
    <x v="11"/>
    <x v="11"/>
    <n v="120"/>
    <n v="90"/>
    <x v="1"/>
    <n v="0.21894699999999823"/>
    <x v="11"/>
    <x v="11"/>
  </r>
  <r>
    <n v="10252"/>
    <x v="4"/>
    <x v="3"/>
    <x v="0"/>
    <s v="FF"/>
    <x v="2"/>
    <s v="MUNKSJO 9370-070 White PO"/>
    <s v="white"/>
    <m/>
    <m/>
    <m/>
    <s v="EU"/>
    <x v="2"/>
    <x v="0"/>
    <m/>
    <m/>
    <m/>
    <x v="0"/>
    <m/>
    <m/>
    <m/>
    <s v="ton"/>
    <x v="5"/>
    <x v="2"/>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n v="2800"/>
    <n v="2690"/>
    <n v="2690"/>
    <m/>
    <m/>
    <m/>
    <x v="12"/>
    <x v="2"/>
    <x v="5"/>
    <n v="2.69"/>
    <n v="15.871"/>
    <n v="0.14176320000000001"/>
    <n v="2.0632300000000003"/>
    <n v="0"/>
    <n v="9.1999999999999998E-2"/>
    <x v="12"/>
    <x v="12"/>
    <n v="105"/>
    <n v="60"/>
    <x v="2"/>
    <n v="0.41030896051165655"/>
    <x v="12"/>
    <x v="12"/>
  </r>
  <r>
    <n v="10252"/>
    <x v="4"/>
    <x v="3"/>
    <x v="0"/>
    <s v="FF"/>
    <x v="2"/>
    <s v="MUNKSJO 9370-070 White PO"/>
    <s v="white"/>
    <m/>
    <m/>
    <m/>
    <s v="EU"/>
    <x v="2"/>
    <x v="0"/>
    <m/>
    <m/>
    <m/>
    <x v="0"/>
    <m/>
    <m/>
    <m/>
    <s v="ton"/>
    <x v="7"/>
    <x v="2"/>
    <m/>
    <m/>
    <m/>
    <m/>
    <m/>
    <m/>
    <m/>
    <m/>
    <m/>
    <m/>
    <m/>
    <m/>
    <m/>
    <m/>
    <m/>
    <m/>
    <m/>
    <m/>
    <m/>
    <m/>
    <m/>
    <m/>
    <m/>
    <m/>
    <n v="2760"/>
    <n v="2760"/>
    <n v="2760"/>
    <n v="2800"/>
    <n v="2800"/>
    <n v="2800"/>
    <n v="2760"/>
    <n v="2760"/>
    <n v="2760"/>
    <n v="2610"/>
    <n v="2610"/>
    <n v="2610"/>
    <m/>
    <m/>
    <m/>
    <n v="2630"/>
    <n v="2730"/>
    <n v="2730"/>
    <n v="2750"/>
    <n v="2640"/>
    <n v="2640"/>
    <m/>
    <m/>
    <m/>
    <x v="13"/>
    <x v="2"/>
    <x v="6"/>
    <n v="2.64"/>
    <n v="15.576000000000002"/>
    <n v="0.14176320000000001"/>
    <n v="2.0248800000000005"/>
    <n v="0"/>
    <n v="9.1999999999999998E-2"/>
    <x v="13"/>
    <x v="13"/>
    <n v="105"/>
    <n v="60"/>
    <x v="2"/>
    <n v="0.40278052902883488"/>
    <x v="13"/>
    <x v="13"/>
  </r>
  <r>
    <n v="10252"/>
    <x v="4"/>
    <x v="3"/>
    <x v="0"/>
    <s v="FF"/>
    <x v="2"/>
    <s v="MUNKSJO 9370-070 White PO"/>
    <s v="white"/>
    <m/>
    <m/>
    <m/>
    <s v="EU"/>
    <x v="2"/>
    <x v="0"/>
    <m/>
    <m/>
    <m/>
    <x v="0"/>
    <m/>
    <m/>
    <m/>
    <s v="ton"/>
    <x v="6"/>
    <x v="2"/>
    <n v="3030"/>
    <n v="3030"/>
    <n v="3030"/>
    <n v="2960"/>
    <n v="2960"/>
    <n v="2960"/>
    <n v="2760"/>
    <n v="2760"/>
    <n v="2760"/>
    <n v="2610"/>
    <n v="2610"/>
    <n v="2610"/>
    <n v="2610"/>
    <n v="2610"/>
    <n v="2610"/>
    <n v="2730"/>
    <n v="2730"/>
    <n v="2730"/>
    <n v="2910"/>
    <n v="2910"/>
    <n v="2910"/>
    <n v="2910"/>
    <n v="2910"/>
    <n v="2910"/>
    <m/>
    <m/>
    <m/>
    <m/>
    <m/>
    <m/>
    <m/>
    <m/>
    <m/>
    <m/>
    <m/>
    <m/>
    <m/>
    <m/>
    <m/>
    <m/>
    <m/>
    <m/>
    <m/>
    <m/>
    <m/>
    <m/>
    <m/>
    <m/>
    <x v="14"/>
    <x v="5"/>
    <x v="0"/>
    <n v="2.91"/>
    <n v="17.169"/>
    <n v="0.14176320000000001"/>
    <n v="2.23197"/>
    <n v="0"/>
    <n v="9.1999999999999998E-2"/>
    <x v="14"/>
    <x v="14"/>
    <n v="105"/>
    <n v="60"/>
    <x v="2"/>
    <n v="0.44343405903606836"/>
    <x v="14"/>
    <x v="14"/>
  </r>
  <r>
    <n v="10253"/>
    <x v="4"/>
    <x v="3"/>
    <x v="0"/>
    <s v="FF"/>
    <x v="2"/>
    <s v="MUNKSJO 9370-070 New White PO"/>
    <s v="white"/>
    <s v="9370-070"/>
    <m/>
    <m/>
    <s v="EU"/>
    <x v="2"/>
    <x v="0"/>
    <m/>
    <m/>
    <m/>
    <x v="0"/>
    <m/>
    <m/>
    <m/>
    <s v="ton"/>
    <x v="5"/>
    <x v="2"/>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n v="2800"/>
    <n v="2690"/>
    <n v="2690"/>
    <m/>
    <m/>
    <m/>
    <x v="12"/>
    <x v="2"/>
    <x v="5"/>
    <n v="2.69"/>
    <n v="15.871"/>
    <n v="0.14176320000000001"/>
    <n v="2.0632300000000003"/>
    <n v="0"/>
    <n v="9.1999999999999998E-2"/>
    <x v="12"/>
    <x v="12"/>
    <n v="105"/>
    <n v="60"/>
    <x v="2"/>
    <n v="0.41030896051165655"/>
    <x v="12"/>
    <x v="12"/>
  </r>
  <r>
    <n v="10253"/>
    <x v="4"/>
    <x v="3"/>
    <x v="0"/>
    <s v="FF"/>
    <x v="2"/>
    <s v="MUNKSJO 9370-070 New White PO"/>
    <s v="white"/>
    <s v="9370-070"/>
    <m/>
    <m/>
    <s v="EU"/>
    <x v="2"/>
    <x v="0"/>
    <m/>
    <m/>
    <m/>
    <x v="0"/>
    <m/>
    <m/>
    <m/>
    <s v="ton"/>
    <x v="7"/>
    <x v="2"/>
    <m/>
    <m/>
    <m/>
    <m/>
    <m/>
    <m/>
    <m/>
    <m/>
    <m/>
    <m/>
    <m/>
    <m/>
    <m/>
    <m/>
    <m/>
    <m/>
    <m/>
    <m/>
    <m/>
    <m/>
    <m/>
    <m/>
    <m/>
    <m/>
    <n v="2760"/>
    <n v="2760"/>
    <n v="2760"/>
    <n v="2800"/>
    <n v="2800"/>
    <n v="2800"/>
    <n v="2760"/>
    <n v="2760"/>
    <n v="2760"/>
    <n v="2610"/>
    <n v="2610"/>
    <n v="2610"/>
    <m/>
    <m/>
    <m/>
    <n v="2630"/>
    <n v="2730"/>
    <n v="2730"/>
    <n v="2750"/>
    <n v="2640"/>
    <n v="2640"/>
    <m/>
    <m/>
    <m/>
    <x v="13"/>
    <x v="2"/>
    <x v="6"/>
    <n v="2.64"/>
    <n v="15.576000000000002"/>
    <n v="0.14176320000000001"/>
    <n v="2.0248800000000005"/>
    <n v="0"/>
    <n v="9.1999999999999998E-2"/>
    <x v="13"/>
    <x v="13"/>
    <n v="105"/>
    <n v="60"/>
    <x v="2"/>
    <n v="0.40278052902883488"/>
    <x v="13"/>
    <x v="13"/>
  </r>
  <r>
    <n v="10253"/>
    <x v="4"/>
    <x v="3"/>
    <x v="0"/>
    <s v="FF"/>
    <x v="2"/>
    <s v="MUNKSJO 9370-070 New White PO"/>
    <s v="white"/>
    <s v="9370-070"/>
    <m/>
    <m/>
    <s v="EU"/>
    <x v="2"/>
    <x v="0"/>
    <m/>
    <m/>
    <m/>
    <x v="0"/>
    <m/>
    <m/>
    <m/>
    <s v="ton"/>
    <x v="6"/>
    <x v="2"/>
    <n v="3030"/>
    <n v="3030"/>
    <n v="3030"/>
    <n v="2960"/>
    <n v="2960"/>
    <n v="2960"/>
    <n v="2760"/>
    <n v="2760"/>
    <n v="2760"/>
    <n v="2610"/>
    <n v="2610"/>
    <n v="2610"/>
    <n v="2610"/>
    <n v="2610"/>
    <n v="2610"/>
    <n v="2730"/>
    <n v="2730"/>
    <n v="2730"/>
    <n v="2910"/>
    <n v="2910"/>
    <n v="2910"/>
    <n v="2910"/>
    <n v="2910"/>
    <n v="2910"/>
    <m/>
    <m/>
    <m/>
    <m/>
    <m/>
    <m/>
    <m/>
    <m/>
    <m/>
    <m/>
    <m/>
    <m/>
    <m/>
    <m/>
    <m/>
    <m/>
    <m/>
    <m/>
    <m/>
    <m/>
    <m/>
    <m/>
    <m/>
    <m/>
    <x v="14"/>
    <x v="5"/>
    <x v="0"/>
    <n v="2.91"/>
    <n v="17.169"/>
    <n v="0.14176320000000001"/>
    <n v="2.23197"/>
    <n v="0"/>
    <n v="9.1999999999999998E-2"/>
    <x v="14"/>
    <x v="14"/>
    <n v="105"/>
    <n v="60"/>
    <x v="2"/>
    <n v="0.44343405903606836"/>
    <x v="14"/>
    <x v="14"/>
  </r>
  <r>
    <n v="10255"/>
    <x v="4"/>
    <x v="3"/>
    <x v="2"/>
    <s v="FF"/>
    <x v="2"/>
    <s v="MUNKSJO 9370-070 White PO"/>
    <s v="white"/>
    <m/>
    <m/>
    <m/>
    <s v="EU"/>
    <x v="2"/>
    <x v="0"/>
    <m/>
    <m/>
    <m/>
    <x v="0"/>
    <m/>
    <m/>
    <m/>
    <s v="ton"/>
    <x v="5"/>
    <x v="2"/>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n v="2800"/>
    <n v="2690"/>
    <n v="2690"/>
    <m/>
    <m/>
    <m/>
    <x v="12"/>
    <x v="2"/>
    <x v="5"/>
    <n v="2.69"/>
    <n v="15.871"/>
    <n v="0.14176320000000001"/>
    <n v="2.0632300000000003"/>
    <n v="0"/>
    <n v="9.1999999999999998E-2"/>
    <x v="12"/>
    <x v="12"/>
    <n v="105"/>
    <n v="60"/>
    <x v="2"/>
    <n v="0.41030896051165655"/>
    <x v="12"/>
    <x v="12"/>
  </r>
  <r>
    <n v="10255"/>
    <x v="4"/>
    <x v="3"/>
    <x v="2"/>
    <s v="FF"/>
    <x v="2"/>
    <s v="MUNKSJO 9370-070 White PO"/>
    <s v="white"/>
    <m/>
    <m/>
    <m/>
    <s v="EU"/>
    <x v="2"/>
    <x v="0"/>
    <m/>
    <m/>
    <m/>
    <x v="0"/>
    <m/>
    <m/>
    <m/>
    <s v="ton"/>
    <x v="7"/>
    <x v="2"/>
    <m/>
    <m/>
    <m/>
    <m/>
    <m/>
    <m/>
    <m/>
    <m/>
    <m/>
    <m/>
    <m/>
    <m/>
    <m/>
    <m/>
    <m/>
    <m/>
    <m/>
    <m/>
    <m/>
    <m/>
    <m/>
    <m/>
    <m/>
    <m/>
    <n v="2760"/>
    <n v="2760"/>
    <n v="2760"/>
    <n v="2800"/>
    <n v="2800"/>
    <n v="2800"/>
    <n v="2760"/>
    <n v="2760"/>
    <n v="2760"/>
    <n v="2610"/>
    <n v="2610"/>
    <n v="2610"/>
    <m/>
    <m/>
    <m/>
    <n v="2630"/>
    <n v="2730"/>
    <n v="2730"/>
    <n v="2750"/>
    <n v="2640"/>
    <n v="2640"/>
    <m/>
    <m/>
    <m/>
    <x v="13"/>
    <x v="2"/>
    <x v="6"/>
    <n v="2.64"/>
    <n v="15.576000000000002"/>
    <n v="0.14176320000000001"/>
    <n v="2.0248800000000005"/>
    <n v="0"/>
    <n v="9.1999999999999998E-2"/>
    <x v="13"/>
    <x v="13"/>
    <n v="105"/>
    <n v="60"/>
    <x v="2"/>
    <n v="0.40278052902883488"/>
    <x v="13"/>
    <x v="13"/>
  </r>
  <r>
    <n v="10256"/>
    <x v="4"/>
    <x v="3"/>
    <x v="2"/>
    <s v="FF"/>
    <x v="2"/>
    <s v="MUNKSJO 9370-070 New White PO"/>
    <s v="white"/>
    <m/>
    <m/>
    <m/>
    <s v="EU"/>
    <x v="2"/>
    <x v="0"/>
    <m/>
    <m/>
    <m/>
    <x v="0"/>
    <m/>
    <m/>
    <m/>
    <s v="ton"/>
    <x v="5"/>
    <x v="2"/>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n v="2800"/>
    <n v="2690"/>
    <n v="2690"/>
    <m/>
    <m/>
    <m/>
    <x v="12"/>
    <x v="2"/>
    <x v="5"/>
    <n v="2.69"/>
    <n v="15.871"/>
    <n v="0.14176320000000001"/>
    <n v="2.0632300000000003"/>
    <n v="0"/>
    <n v="9.1999999999999998E-2"/>
    <x v="12"/>
    <x v="12"/>
    <n v="105"/>
    <n v="60"/>
    <x v="2"/>
    <n v="0.41030896051165655"/>
    <x v="12"/>
    <x v="12"/>
  </r>
  <r>
    <n v="10256"/>
    <x v="4"/>
    <x v="3"/>
    <x v="2"/>
    <s v="FF"/>
    <x v="2"/>
    <s v="MUNKSJO 9370-070 New White PO"/>
    <s v="white"/>
    <m/>
    <m/>
    <m/>
    <s v="EU"/>
    <x v="2"/>
    <x v="0"/>
    <m/>
    <m/>
    <m/>
    <x v="0"/>
    <m/>
    <m/>
    <m/>
    <s v="ton"/>
    <x v="7"/>
    <x v="2"/>
    <m/>
    <m/>
    <m/>
    <m/>
    <m/>
    <m/>
    <m/>
    <m/>
    <m/>
    <m/>
    <m/>
    <m/>
    <m/>
    <m/>
    <m/>
    <m/>
    <m/>
    <m/>
    <m/>
    <m/>
    <m/>
    <m/>
    <m/>
    <m/>
    <n v="2760"/>
    <n v="2760"/>
    <n v="2760"/>
    <n v="2800"/>
    <n v="2800"/>
    <n v="2800"/>
    <n v="2760"/>
    <n v="2760"/>
    <n v="2760"/>
    <n v="2610"/>
    <n v="2610"/>
    <n v="2610"/>
    <m/>
    <m/>
    <m/>
    <n v="2630"/>
    <n v="2730"/>
    <n v="2730"/>
    <n v="2750"/>
    <n v="2640"/>
    <n v="2640"/>
    <m/>
    <m/>
    <m/>
    <x v="13"/>
    <x v="2"/>
    <x v="6"/>
    <n v="2.64"/>
    <n v="15.576000000000002"/>
    <n v="0.14176320000000001"/>
    <n v="2.0248800000000005"/>
    <n v="0"/>
    <n v="9.1999999999999998E-2"/>
    <x v="13"/>
    <x v="13"/>
    <n v="105"/>
    <n v="60"/>
    <x v="2"/>
    <n v="0.40278052902883488"/>
    <x v="13"/>
    <x v="13"/>
  </r>
  <r>
    <n v="10801"/>
    <x v="1"/>
    <x v="0"/>
    <x v="0"/>
    <s v="FF"/>
    <x v="3"/>
    <s v="FF BRANCO"/>
    <s v="white"/>
    <m/>
    <m/>
    <m/>
    <s v="BR"/>
    <x v="3"/>
    <x v="0"/>
    <m/>
    <n v="0"/>
    <m/>
    <x v="0"/>
    <n v="0.12"/>
    <s v="Não"/>
    <n v="9.2499999999999999E-2"/>
    <s v="ton"/>
    <x v="0"/>
    <x v="0"/>
    <m/>
    <m/>
    <m/>
    <n v="11743.333875"/>
    <n v="11908.858962"/>
    <n v="11908.858962"/>
    <n v="11304.318761999999"/>
    <n v="11304.318761999999"/>
    <n v="11304.318761999999"/>
    <n v="11304.318761999999"/>
    <n v="11304.318761999999"/>
    <n v="11304.318761999999"/>
    <n v="12265.186296"/>
    <n v="12265.186296"/>
    <n v="12265.186296"/>
    <n v="12265.186296"/>
    <n v="13001.096196"/>
    <n v="13001.096196"/>
    <n v="13001.096196"/>
    <n v="13911.18"/>
    <n v="13911.18"/>
    <n v="13911.18"/>
    <n v="13911.18"/>
    <n v="13911.18"/>
    <n v="13911.18"/>
    <n v="13911.18"/>
    <n v="13911.18"/>
    <n v="13911.18"/>
    <n v="13911.18"/>
    <n v="13911.18"/>
    <n v="13911.18"/>
    <n v="13911.18"/>
    <n v="13911.18"/>
    <n v="13911.18"/>
    <n v="13911.18"/>
    <n v="13911.18"/>
    <n v="13274.03"/>
    <n v="13738.61"/>
    <n v="14203.2"/>
    <n v="14203.2"/>
    <m/>
    <m/>
    <m/>
    <m/>
    <m/>
    <m/>
    <m/>
    <m/>
    <x v="15"/>
    <x v="6"/>
    <x v="7"/>
    <n v="14.203200000000001"/>
    <n v="14.203200000000001"/>
    <n v="0"/>
    <n v="0"/>
    <n v="0"/>
    <n v="0.2"/>
    <x v="15"/>
    <x v="15"/>
    <n v="45"/>
    <n v="0"/>
    <x v="2"/>
    <n v="0.32528424878766948"/>
    <x v="15"/>
    <x v="15"/>
  </r>
  <r>
    <n v="10805"/>
    <x v="2"/>
    <x v="0"/>
    <x v="0"/>
    <s v="FF"/>
    <x v="3"/>
    <s v="FF PARDO"/>
    <s v="light brown"/>
    <m/>
    <m/>
    <m/>
    <s v="BR"/>
    <x v="3"/>
    <x v="0"/>
    <m/>
    <n v="0"/>
    <m/>
    <x v="0"/>
    <n v="0.12"/>
    <s v="Não"/>
    <n v="9.2499999999999999E-2"/>
    <s v="ton"/>
    <x v="0"/>
    <x v="0"/>
    <m/>
    <m/>
    <m/>
    <n v="9750.8092500000002"/>
    <n v="9888.2492279999988"/>
    <n v="9888.2492279999988"/>
    <n v="9766.5984900000003"/>
    <n v="9766.5984900000003"/>
    <n v="9766.5984900000003"/>
    <n v="9766.5984900000003"/>
    <n v="9766.5984900000003"/>
    <n v="9766.5984900000003"/>
    <n v="10596.759162"/>
    <n v="10596.759162"/>
    <n v="10596.759162"/>
    <n v="10596.759162"/>
    <n v="11232.564552"/>
    <n v="11232.564552"/>
    <n v="11232.564552"/>
    <n v="12131.17"/>
    <n v="12131.17"/>
    <n v="12131.17"/>
    <n v="12131.17"/>
    <n v="12131.17"/>
    <n v="12131.17"/>
    <n v="12131.17"/>
    <n v="12131.17"/>
    <n v="12131.17"/>
    <n v="12131.17"/>
    <n v="12131.17"/>
    <n v="12131.17"/>
    <n v="12131.17"/>
    <n v="12131.17"/>
    <n v="12131.17"/>
    <n v="12131.17"/>
    <n v="12131.17"/>
    <n v="11575.55"/>
    <n v="11980.69"/>
    <n v="12385.83"/>
    <n v="12385.83"/>
    <m/>
    <m/>
    <m/>
    <m/>
    <m/>
    <m/>
    <m/>
    <m/>
    <x v="16"/>
    <x v="6"/>
    <x v="8"/>
    <n v="12.38583"/>
    <n v="12.38583"/>
    <n v="0"/>
    <n v="0"/>
    <n v="0"/>
    <n v="0.2"/>
    <x v="16"/>
    <x v="16"/>
    <n v="45"/>
    <n v="0"/>
    <x v="2"/>
    <n v="0.28424046440508555"/>
    <x v="16"/>
    <x v="16"/>
  </r>
  <r>
    <n v="10831"/>
    <x v="5"/>
    <x v="0"/>
    <x v="0"/>
    <s v="FF"/>
    <x v="3"/>
    <s v="FF TABACO"/>
    <s v="dark brown"/>
    <m/>
    <m/>
    <m/>
    <s v="BR"/>
    <x v="3"/>
    <x v="0"/>
    <m/>
    <n v="0"/>
    <m/>
    <x v="0"/>
    <n v="0.12"/>
    <s v="Não"/>
    <n v="9.2499999999999999E-2"/>
    <s v="ton"/>
    <x v="0"/>
    <x v="0"/>
    <m/>
    <m/>
    <m/>
    <n v="13616.7255"/>
    <n v="13808.656488000001"/>
    <n v="13808.656488000001"/>
    <n v="13621.288955999999"/>
    <n v="13621.288955999999"/>
    <n v="13621.288955999999"/>
    <n v="13621.288955999999"/>
    <n v="13621.288955999999"/>
    <n v="13621.288955999999"/>
    <n v="14506.672818000001"/>
    <n v="14506.672818000001"/>
    <n v="14506.672818000001"/>
    <n v="14506.672818000001"/>
    <n v="15377.074944"/>
    <n v="15377.074944"/>
    <n v="15377.074944"/>
    <n v="16914.78"/>
    <n v="16914.78"/>
    <n v="16914.78"/>
    <n v="16914.78"/>
    <n v="16914.78"/>
    <n v="16914.78"/>
    <n v="16914.78"/>
    <n v="16914.78"/>
    <n v="16914.78"/>
    <n v="16914.78"/>
    <n v="16914.78"/>
    <n v="16914.78"/>
    <n v="16914.78"/>
    <n v="16914.78"/>
    <n v="16914.78"/>
    <n v="16914.78"/>
    <n v="16914.78"/>
    <n v="16140.06"/>
    <n v="16704.96"/>
    <n v="17269.86"/>
    <n v="17269.86"/>
    <m/>
    <m/>
    <m/>
    <m/>
    <m/>
    <m/>
    <m/>
    <m/>
    <x v="17"/>
    <x v="6"/>
    <x v="9"/>
    <n v="17.269860000000001"/>
    <n v="17.269860000000001"/>
    <n v="0"/>
    <n v="0"/>
    <n v="0"/>
    <n v="0.2"/>
    <x v="17"/>
    <x v="17"/>
    <n v="45"/>
    <n v="0"/>
    <x v="2"/>
    <n v="0.39454220496318726"/>
    <x v="17"/>
    <x v="17"/>
  </r>
  <r>
    <n v="10843"/>
    <x v="6"/>
    <x v="4"/>
    <x v="0"/>
    <s v="FF"/>
    <x v="3"/>
    <s v="FF PRETO"/>
    <s v="black"/>
    <m/>
    <m/>
    <m/>
    <s v="BR"/>
    <x v="3"/>
    <x v="0"/>
    <m/>
    <n v="0"/>
    <m/>
    <x v="0"/>
    <n v="0.12"/>
    <s v="Não"/>
    <n v="9.2499999999999999E-2"/>
    <s v="ton"/>
    <x v="0"/>
    <x v="0"/>
    <m/>
    <m/>
    <m/>
    <n v="12528.321749999999"/>
    <n v="12704.911427999999"/>
    <n v="12704.911427999999"/>
    <n v="12312.151962"/>
    <n v="12312.151962"/>
    <n v="12312.151962"/>
    <n v="12312.151962"/>
    <n v="12312.151962"/>
    <n v="12312.151962"/>
    <n v="13358.685318"/>
    <n v="13358.685318"/>
    <n v="13358.685318"/>
    <n v="13358.685318"/>
    <n v="14160.200207999998"/>
    <n v="14160.200207999998"/>
    <n v="14160.200207999998"/>
    <n v="19859.43"/>
    <n v="19859.43"/>
    <n v="19859.43"/>
    <n v="19859.43"/>
    <n v="19859.43"/>
    <n v="15859"/>
    <n v="15859"/>
    <n v="15859"/>
    <n v="15859"/>
    <n v="15859"/>
    <n v="15859"/>
    <n v="16477.5"/>
    <n v="16477.5"/>
    <n v="16477.5"/>
    <n v="16477.5"/>
    <n v="16477.5"/>
    <n v="16477.5"/>
    <n v="15722.81"/>
    <n v="16273.1"/>
    <n v="16823.400000000001"/>
    <n v="16823.400000000001"/>
    <m/>
    <m/>
    <m/>
    <m/>
    <m/>
    <m/>
    <m/>
    <m/>
    <x v="18"/>
    <x v="6"/>
    <x v="10"/>
    <n v="16.823400000000003"/>
    <n v="16.823400000000003"/>
    <n v="0"/>
    <n v="0"/>
    <n v="0"/>
    <n v="0.2"/>
    <x v="18"/>
    <x v="18"/>
    <n v="45"/>
    <n v="0"/>
    <x v="2"/>
    <n v="0.38445927855004669"/>
    <x v="18"/>
    <x v="18"/>
  </r>
  <r>
    <n v="10860"/>
    <x v="7"/>
    <x v="0"/>
    <x v="0"/>
    <s v="FF"/>
    <x v="3"/>
    <s v="FF BRANCO HO"/>
    <s v="white"/>
    <m/>
    <m/>
    <m/>
    <s v="BR"/>
    <x v="3"/>
    <x v="0"/>
    <m/>
    <n v="0"/>
    <m/>
    <x v="0"/>
    <n v="0.12"/>
    <s v="Não"/>
    <n v="9.2499999999999999E-2"/>
    <s v="ton"/>
    <x v="0"/>
    <x v="0"/>
    <m/>
    <m/>
    <m/>
    <n v="17644.520250000001"/>
    <n v="17893.223964000001"/>
    <n v="17893.223964000001"/>
    <n v="16540.882709999998"/>
    <n v="16540.882709999998"/>
    <n v="16540.882709999998"/>
    <n v="16540.882709999998"/>
    <n v="16540.882709999998"/>
    <n v="16540.882709999998"/>
    <n v="17946.857940000002"/>
    <n v="17946.857940000002"/>
    <n v="17946.857940000002"/>
    <n v="17946.857940000002"/>
    <n v="17946.857940000002"/>
    <n v="17946.857940000002"/>
    <n v="17946.857940000002"/>
    <n v="18844.2"/>
    <n v="18844.2"/>
    <n v="18844.2"/>
    <n v="18844.2"/>
    <n v="18844.2"/>
    <n v="18844.2"/>
    <n v="18844.2"/>
    <n v="18844.2"/>
    <n v="18844.2"/>
    <n v="18844.2"/>
    <n v="18844.2"/>
    <n v="18844.2"/>
    <n v="18844.2"/>
    <n v="18844.2"/>
    <n v="18844.2"/>
    <n v="18844.2"/>
    <n v="18844.2"/>
    <n v="17981.11"/>
    <n v="18610.439999999999"/>
    <n v="19239.78"/>
    <n v="19239.78"/>
    <m/>
    <m/>
    <m/>
    <m/>
    <m/>
    <m/>
    <m/>
    <m/>
    <x v="19"/>
    <x v="6"/>
    <x v="11"/>
    <n v="19.23978"/>
    <n v="19.23978"/>
    <n v="0"/>
    <n v="0"/>
    <n v="0"/>
    <n v="0.2"/>
    <x v="19"/>
    <x v="19"/>
    <n v="45"/>
    <n v="0"/>
    <x v="2"/>
    <n v="0.43903120375316362"/>
    <x v="19"/>
    <x v="19"/>
  </r>
  <r>
    <n v="10862"/>
    <x v="2"/>
    <x v="0"/>
    <x v="3"/>
    <s v="FF"/>
    <x v="3"/>
    <s v="FF PARDO"/>
    <s v="light brown"/>
    <m/>
    <m/>
    <m/>
    <s v="BR"/>
    <x v="3"/>
    <x v="0"/>
    <m/>
    <n v="0"/>
    <m/>
    <x v="0"/>
    <n v="0.12"/>
    <s v="Não"/>
    <n v="9.2499999999999999E-2"/>
    <s v="ton"/>
    <x v="0"/>
    <x v="0"/>
    <m/>
    <m/>
    <m/>
    <n v="9750.8092500000002"/>
    <n v="9888.2492279999988"/>
    <n v="9888.2492279999988"/>
    <n v="9766.5984900000003"/>
    <n v="9766.5984900000003"/>
    <n v="9766.5984900000003"/>
    <n v="9766.5984900000003"/>
    <n v="9766.5984900000003"/>
    <n v="9766.5984900000003"/>
    <n v="10596.759162"/>
    <n v="10596.759162"/>
    <n v="10596.759162"/>
    <n v="10596.759162"/>
    <n v="11232.564552"/>
    <n v="11232.564552"/>
    <n v="11232.564552"/>
    <n v="12131.17"/>
    <n v="12131.17"/>
    <n v="12131.17"/>
    <n v="12131.17"/>
    <n v="12131.17"/>
    <n v="12131.17"/>
    <n v="12131.17"/>
    <n v="12131.17"/>
    <n v="12131.17"/>
    <n v="12131.17"/>
    <n v="12131.17"/>
    <n v="12131.17"/>
    <n v="12131.17"/>
    <n v="12131.17"/>
    <n v="12131.17"/>
    <n v="12131.17"/>
    <n v="12131.17"/>
    <n v="11575.55"/>
    <n v="11980.69"/>
    <n v="12385.83"/>
    <n v="12385.83"/>
    <m/>
    <m/>
    <m/>
    <m/>
    <m/>
    <m/>
    <m/>
    <m/>
    <x v="16"/>
    <x v="6"/>
    <x v="8"/>
    <n v="12.38583"/>
    <n v="12.38583"/>
    <n v="0"/>
    <n v="0"/>
    <n v="0"/>
    <n v="0.2"/>
    <x v="16"/>
    <x v="16"/>
    <n v="45"/>
    <n v="0"/>
    <x v="2"/>
    <n v="0.28424046440508555"/>
    <x v="16"/>
    <x v="16"/>
  </r>
  <r>
    <n v="10865"/>
    <x v="8"/>
    <x v="5"/>
    <x v="4"/>
    <s v="IP"/>
    <x v="3"/>
    <s v="BACKING OS"/>
    <s v="brown"/>
    <m/>
    <m/>
    <m/>
    <s v="BR"/>
    <x v="3"/>
    <x v="0"/>
    <m/>
    <n v="0"/>
    <m/>
    <x v="0"/>
    <n v="0.12"/>
    <s v="Não"/>
    <n v="9.2499999999999999E-2"/>
    <s v="ton"/>
    <x v="0"/>
    <x v="0"/>
    <m/>
    <m/>
    <m/>
    <m/>
    <m/>
    <m/>
    <m/>
    <m/>
    <m/>
    <m/>
    <m/>
    <m/>
    <m/>
    <m/>
    <m/>
    <m/>
    <m/>
    <m/>
    <m/>
    <m/>
    <m/>
    <m/>
    <m/>
    <m/>
    <m/>
    <m/>
    <m/>
    <m/>
    <m/>
    <n v="10590"/>
    <n v="10590"/>
    <n v="10590"/>
    <n v="10590"/>
    <n v="10590"/>
    <n v="10590"/>
    <n v="10590"/>
    <m/>
    <m/>
    <m/>
    <m/>
    <m/>
    <m/>
    <m/>
    <m/>
    <m/>
    <m/>
    <m/>
    <m/>
    <x v="20"/>
    <x v="7"/>
    <x v="12"/>
    <n v="10.59"/>
    <n v="10.59"/>
    <n v="0"/>
    <n v="0"/>
    <n v="0"/>
    <n v="0.2"/>
    <x v="20"/>
    <x v="20"/>
    <n v="45"/>
    <n v="0"/>
    <x v="2"/>
    <n v="0.24368314294177296"/>
    <x v="20"/>
    <x v="20"/>
  </r>
  <r>
    <n v="10866"/>
    <x v="9"/>
    <x v="0"/>
    <x v="5"/>
    <s v="FF"/>
    <x v="3"/>
    <s v="MONOMAX"/>
    <s v="white"/>
    <m/>
    <m/>
    <m/>
    <s v="BR"/>
    <x v="3"/>
    <x v="0"/>
    <m/>
    <n v="0"/>
    <m/>
    <x v="0"/>
    <n v="0.12"/>
    <s v="Não"/>
    <n v="9.2499999999999999E-2"/>
    <s v="ton"/>
    <x v="0"/>
    <x v="0"/>
    <m/>
    <m/>
    <m/>
    <m/>
    <m/>
    <m/>
    <m/>
    <m/>
    <m/>
    <m/>
    <m/>
    <m/>
    <m/>
    <m/>
    <m/>
    <m/>
    <m/>
    <m/>
    <m/>
    <m/>
    <m/>
    <m/>
    <m/>
    <m/>
    <m/>
    <m/>
    <m/>
    <m/>
    <n v="9432"/>
    <n v="9432"/>
    <n v="9432"/>
    <n v="9432"/>
    <n v="9432"/>
    <n v="9432"/>
    <n v="9432"/>
    <n v="9432"/>
    <m/>
    <m/>
    <m/>
    <m/>
    <m/>
    <m/>
    <m/>
    <m/>
    <m/>
    <m/>
    <m/>
    <m/>
    <x v="21"/>
    <x v="7"/>
    <x v="12"/>
    <n v="9.4320000000000004"/>
    <n v="9.4320000000000004"/>
    <n v="0"/>
    <n v="0"/>
    <n v="0"/>
    <n v="0.2"/>
    <x v="21"/>
    <x v="21"/>
    <n v="45"/>
    <n v="0"/>
    <x v="2"/>
    <n v="0.21753067959362049"/>
    <x v="21"/>
    <x v="21"/>
  </r>
  <r>
    <n v="10932"/>
    <x v="10"/>
    <x v="6"/>
    <x v="6"/>
    <s v="DP"/>
    <x v="4"/>
    <s v="CARTIERE 0399"/>
    <s v="beige"/>
    <m/>
    <m/>
    <m/>
    <s v="EU"/>
    <x v="1"/>
    <x v="0"/>
    <m/>
    <m/>
    <m/>
    <x v="0"/>
    <m/>
    <m/>
    <m/>
    <s v="ton"/>
    <x v="2"/>
    <x v="2"/>
    <n v="2450"/>
    <n v="2450"/>
    <n v="2450"/>
    <n v="2400"/>
    <n v="2400"/>
    <n v="2400"/>
    <n v="2250"/>
    <n v="2250"/>
    <n v="2250"/>
    <n v="2150"/>
    <n v="2150"/>
    <n v="2150"/>
    <n v="2150"/>
    <n v="2200"/>
    <n v="2200"/>
    <n v="2300"/>
    <n v="2300"/>
    <n v="2300"/>
    <n v="2450"/>
    <n v="2450"/>
    <n v="2450"/>
    <m/>
    <m/>
    <m/>
    <m/>
    <m/>
    <m/>
    <m/>
    <m/>
    <m/>
    <m/>
    <m/>
    <m/>
    <m/>
    <m/>
    <m/>
    <m/>
    <m/>
    <m/>
    <m/>
    <m/>
    <m/>
    <m/>
    <m/>
    <m/>
    <m/>
    <m/>
    <m/>
    <x v="22"/>
    <x v="8"/>
    <x v="0"/>
    <n v="2.4500000000000002"/>
    <n v="14.455000000000002"/>
    <n v="0.14176320000000001"/>
    <n v="1.8791500000000003"/>
    <n v="0"/>
    <n v="9.1999999999999998E-2"/>
    <x v="22"/>
    <x v="22"/>
    <n v="105"/>
    <n v="90"/>
    <x v="0"/>
    <n v="0.1237968388119377"/>
    <x v="22"/>
    <x v="22"/>
  </r>
  <r>
    <n v="10932"/>
    <x v="10"/>
    <x v="6"/>
    <x v="6"/>
    <s v="DP"/>
    <x v="4"/>
    <s v="CARTIERE 0399"/>
    <s v="beige"/>
    <m/>
    <m/>
    <m/>
    <s v="EU"/>
    <x v="1"/>
    <x v="0"/>
    <m/>
    <m/>
    <m/>
    <x v="0"/>
    <m/>
    <m/>
    <m/>
    <s v="ton"/>
    <x v="3"/>
    <x v="2"/>
    <n v="2370"/>
    <n v="2370"/>
    <n v="2370"/>
    <n v="2320"/>
    <n v="2320"/>
    <n v="2320"/>
    <n v="2170"/>
    <n v="2170"/>
    <n v="2170"/>
    <n v="2070"/>
    <n v="2070"/>
    <n v="2070"/>
    <n v="2070"/>
    <n v="2120"/>
    <n v="2120"/>
    <n v="2220"/>
    <n v="2220"/>
    <n v="2220"/>
    <n v="2370"/>
    <n v="2370"/>
    <n v="2370"/>
    <m/>
    <m/>
    <m/>
    <m/>
    <m/>
    <m/>
    <m/>
    <m/>
    <m/>
    <m/>
    <m/>
    <m/>
    <m/>
    <m/>
    <m/>
    <m/>
    <m/>
    <m/>
    <m/>
    <m/>
    <m/>
    <m/>
    <m/>
    <m/>
    <m/>
    <m/>
    <m/>
    <x v="23"/>
    <x v="8"/>
    <x v="0"/>
    <n v="2.37"/>
    <n v="13.983000000000002"/>
    <n v="0.14176320000000001"/>
    <n v="1.8177900000000005"/>
    <n v="0"/>
    <n v="9.1999999999999998E-2"/>
    <x v="23"/>
    <x v="23"/>
    <n v="105"/>
    <n v="90"/>
    <x v="0"/>
    <n v="0.11981152810010443"/>
    <x v="23"/>
    <x v="23"/>
  </r>
  <r>
    <n v="10937"/>
    <x v="1"/>
    <x v="0"/>
    <x v="0"/>
    <s v="FF"/>
    <x v="0"/>
    <s v="FF BRANCO"/>
    <s v="white"/>
    <m/>
    <m/>
    <m/>
    <s v="BR"/>
    <x v="0"/>
    <x v="0"/>
    <m/>
    <m/>
    <m/>
    <x v="0"/>
    <m/>
    <m/>
    <m/>
    <s v="ton"/>
    <x v="0"/>
    <x v="0"/>
    <m/>
    <m/>
    <m/>
    <m/>
    <m/>
    <m/>
    <m/>
    <m/>
    <m/>
    <m/>
    <m/>
    <m/>
    <m/>
    <m/>
    <m/>
    <m/>
    <m/>
    <m/>
    <m/>
    <m/>
    <m/>
    <m/>
    <m/>
    <m/>
    <m/>
    <m/>
    <m/>
    <m/>
    <m/>
    <n v="8864.4599999999991"/>
    <m/>
    <m/>
    <m/>
    <m/>
    <m/>
    <m/>
    <m/>
    <m/>
    <m/>
    <m/>
    <m/>
    <m/>
    <m/>
    <m/>
    <m/>
    <m/>
    <m/>
    <m/>
    <x v="24"/>
    <x v="9"/>
    <x v="0"/>
    <n v="8.8644599999999993"/>
    <n v="8.8644599999999993"/>
    <n v="0"/>
    <n v="0"/>
    <n v="0"/>
    <n v="0.2"/>
    <x v="24"/>
    <x v="24"/>
    <n v="45"/>
    <n v="30"/>
    <x v="0"/>
    <n v="6.773040635783012E-2"/>
    <x v="24"/>
    <x v="24"/>
  </r>
  <r>
    <n v="10945"/>
    <x v="11"/>
    <x v="2"/>
    <x v="7"/>
    <s v="IP"/>
    <x v="4"/>
    <s v="CARTIERE ARGILA REF932"/>
    <s v="beige"/>
    <s v="ARGILA"/>
    <m/>
    <m/>
    <s v="EU"/>
    <x v="1"/>
    <x v="0"/>
    <m/>
    <m/>
    <m/>
    <x v="0"/>
    <m/>
    <m/>
    <m/>
    <s v="ton"/>
    <x v="8"/>
    <x v="2"/>
    <n v="3100"/>
    <n v="3100"/>
    <n v="3100"/>
    <n v="2850"/>
    <n v="2850"/>
    <n v="2850"/>
    <n v="2700"/>
    <n v="2700"/>
    <n v="2700"/>
    <n v="2600"/>
    <n v="2600"/>
    <n v="2600"/>
    <n v="2600"/>
    <n v="2650"/>
    <n v="2650"/>
    <n v="2750"/>
    <n v="2750"/>
    <n v="2750"/>
    <n v="2900"/>
    <n v="2900"/>
    <n v="2900"/>
    <m/>
    <m/>
    <m/>
    <m/>
    <m/>
    <m/>
    <m/>
    <m/>
    <m/>
    <m/>
    <m/>
    <m/>
    <m/>
    <m/>
    <m/>
    <m/>
    <m/>
    <m/>
    <m/>
    <m/>
    <m/>
    <m/>
    <m/>
    <m/>
    <m/>
    <m/>
    <m/>
    <x v="25"/>
    <x v="8"/>
    <x v="0"/>
    <n v="2.9"/>
    <n v="17.11"/>
    <n v="0.14176320000000001"/>
    <n v="2.2242999999999999"/>
    <n v="0"/>
    <n v="9.1999999999999998E-2"/>
    <x v="25"/>
    <x v="25"/>
    <n v="105"/>
    <n v="90"/>
    <x v="0"/>
    <n v="0.14621421156601855"/>
    <x v="25"/>
    <x v="25"/>
  </r>
  <r>
    <n v="10945"/>
    <x v="11"/>
    <x v="2"/>
    <x v="7"/>
    <s v="IP"/>
    <x v="4"/>
    <s v="CARTIERE ARGILA REF932"/>
    <s v="beige"/>
    <s v="ARGILA"/>
    <m/>
    <m/>
    <s v="EU"/>
    <x v="1"/>
    <x v="0"/>
    <m/>
    <m/>
    <m/>
    <x v="0"/>
    <m/>
    <m/>
    <m/>
    <s v="ton"/>
    <x v="9"/>
    <x v="2"/>
    <n v="3850"/>
    <n v="3850"/>
    <n v="3850"/>
    <n v="3700"/>
    <n v="3700"/>
    <n v="3700"/>
    <n v="3550"/>
    <n v="3550"/>
    <n v="3550"/>
    <n v="3450"/>
    <n v="3450"/>
    <n v="3450"/>
    <n v="3450"/>
    <n v="3500"/>
    <n v="3500"/>
    <n v="3600"/>
    <n v="3600"/>
    <n v="3600"/>
    <n v="3750"/>
    <n v="3750"/>
    <n v="3750"/>
    <m/>
    <m/>
    <m/>
    <m/>
    <m/>
    <m/>
    <m/>
    <m/>
    <m/>
    <m/>
    <m/>
    <m/>
    <m/>
    <m/>
    <m/>
    <m/>
    <m/>
    <m/>
    <m/>
    <m/>
    <m/>
    <m/>
    <m/>
    <m/>
    <m/>
    <m/>
    <m/>
    <x v="26"/>
    <x v="8"/>
    <x v="0"/>
    <n v="3.75"/>
    <n v="22.125"/>
    <n v="0.14176320000000001"/>
    <n v="2.8762500000000002"/>
    <n v="0"/>
    <n v="9.1999999999999998E-2"/>
    <x v="26"/>
    <x v="26"/>
    <n v="105"/>
    <n v="90"/>
    <x v="0"/>
    <n v="0.18855813787928"/>
    <x v="26"/>
    <x v="26"/>
  </r>
  <r>
    <n v="10945"/>
    <x v="11"/>
    <x v="2"/>
    <x v="7"/>
    <s v="IP"/>
    <x v="4"/>
    <s v="CARTIERE ARGILA REF932"/>
    <s v="beige"/>
    <s v="ARGILA"/>
    <m/>
    <m/>
    <s v="EU"/>
    <x v="1"/>
    <x v="0"/>
    <m/>
    <m/>
    <m/>
    <x v="0"/>
    <m/>
    <m/>
    <m/>
    <s v="ton"/>
    <x v="2"/>
    <x v="2"/>
    <n v="2750"/>
    <n v="2750"/>
    <n v="2750"/>
    <n v="2500"/>
    <n v="2500"/>
    <n v="2500"/>
    <n v="2350"/>
    <n v="2350"/>
    <n v="2350"/>
    <n v="2250"/>
    <n v="2250"/>
    <n v="2250"/>
    <n v="2250"/>
    <n v="2300"/>
    <n v="2300"/>
    <n v="2400"/>
    <n v="2400"/>
    <n v="2400"/>
    <n v="2550"/>
    <n v="2550"/>
    <n v="2550"/>
    <m/>
    <m/>
    <m/>
    <m/>
    <m/>
    <m/>
    <m/>
    <m/>
    <m/>
    <m/>
    <m/>
    <m/>
    <m/>
    <m/>
    <m/>
    <m/>
    <m/>
    <m/>
    <m/>
    <m/>
    <m/>
    <m/>
    <m/>
    <m/>
    <m/>
    <m/>
    <m/>
    <x v="27"/>
    <x v="8"/>
    <x v="0"/>
    <n v="2.5499999999999998"/>
    <n v="15.045"/>
    <n v="0.14176320000000001"/>
    <n v="1.9558500000000001"/>
    <n v="0"/>
    <n v="9.1999999999999998E-2"/>
    <x v="27"/>
    <x v="27"/>
    <n v="105"/>
    <n v="90"/>
    <x v="0"/>
    <n v="0.12877847720173463"/>
    <x v="27"/>
    <x v="27"/>
  </r>
  <r>
    <n v="10945"/>
    <x v="11"/>
    <x v="2"/>
    <x v="7"/>
    <s v="IP"/>
    <x v="4"/>
    <s v="CARTIERE ARGILA REF932"/>
    <s v="beige"/>
    <s v="ARGILA"/>
    <m/>
    <m/>
    <s v="EU"/>
    <x v="1"/>
    <x v="0"/>
    <m/>
    <m/>
    <m/>
    <x v="0"/>
    <m/>
    <m/>
    <m/>
    <s v="ton"/>
    <x v="3"/>
    <x v="2"/>
    <n v="2650"/>
    <n v="2650"/>
    <n v="2650"/>
    <n v="2400"/>
    <n v="2400"/>
    <n v="2400"/>
    <n v="2250"/>
    <n v="2250"/>
    <n v="2250"/>
    <n v="2150"/>
    <n v="2150"/>
    <n v="2150"/>
    <n v="2150"/>
    <n v="2200"/>
    <n v="2200"/>
    <n v="2300"/>
    <n v="2300"/>
    <n v="2300"/>
    <n v="2450"/>
    <n v="2450"/>
    <n v="2450"/>
    <m/>
    <m/>
    <m/>
    <m/>
    <m/>
    <m/>
    <m/>
    <m/>
    <m/>
    <m/>
    <m/>
    <m/>
    <m/>
    <m/>
    <m/>
    <m/>
    <m/>
    <m/>
    <m/>
    <m/>
    <m/>
    <m/>
    <m/>
    <m/>
    <m/>
    <m/>
    <m/>
    <x v="22"/>
    <x v="8"/>
    <x v="0"/>
    <n v="2.4500000000000002"/>
    <n v="14.455000000000002"/>
    <n v="0.14176320000000001"/>
    <n v="1.8791500000000003"/>
    <n v="0"/>
    <n v="9.1999999999999998E-2"/>
    <x v="22"/>
    <x v="28"/>
    <n v="105"/>
    <n v="90"/>
    <x v="0"/>
    <n v="0.1237968388119377"/>
    <x v="22"/>
    <x v="28"/>
  </r>
  <r>
    <n v="10957"/>
    <x v="12"/>
    <x v="2"/>
    <x v="8"/>
    <s v="IP"/>
    <x v="4"/>
    <s v="CARTIERE BLACK U1137"/>
    <s v="black"/>
    <s v="U1137"/>
    <m/>
    <m/>
    <s v="EU"/>
    <x v="1"/>
    <x v="0"/>
    <m/>
    <m/>
    <m/>
    <x v="0"/>
    <m/>
    <m/>
    <m/>
    <s v="ton"/>
    <x v="3"/>
    <x v="2"/>
    <n v="2680"/>
    <n v="2680"/>
    <n v="2680"/>
    <n v="2590"/>
    <n v="2590"/>
    <n v="2590"/>
    <n v="2380"/>
    <n v="2380"/>
    <n v="2380"/>
    <n v="2330"/>
    <n v="2330"/>
    <n v="2330"/>
    <n v="2330"/>
    <n v="2380"/>
    <n v="2380"/>
    <n v="2480"/>
    <n v="2480"/>
    <n v="2480"/>
    <n v="2630"/>
    <n v="2630"/>
    <n v="2630"/>
    <m/>
    <m/>
    <m/>
    <m/>
    <m/>
    <m/>
    <m/>
    <m/>
    <m/>
    <m/>
    <m/>
    <m/>
    <m/>
    <m/>
    <m/>
    <m/>
    <m/>
    <m/>
    <m/>
    <m/>
    <m/>
    <m/>
    <m/>
    <m/>
    <m/>
    <m/>
    <m/>
    <x v="28"/>
    <x v="8"/>
    <x v="0"/>
    <n v="2.63"/>
    <n v="15.516999999999999"/>
    <n v="0.14176320000000001"/>
    <n v="2.0172099999999999"/>
    <n v="0"/>
    <n v="9.1999999999999998E-2"/>
    <x v="28"/>
    <x v="29"/>
    <n v="105"/>
    <n v="90"/>
    <x v="0"/>
    <n v="0.13276378791357146"/>
    <x v="28"/>
    <x v="29"/>
  </r>
  <r>
    <n v="10959"/>
    <x v="8"/>
    <x v="5"/>
    <x v="4"/>
    <s v="IP"/>
    <x v="4"/>
    <s v="Backer Brown 60g"/>
    <s v="brown"/>
    <m/>
    <m/>
    <m/>
    <s v="EU"/>
    <x v="1"/>
    <x v="0"/>
    <m/>
    <m/>
    <m/>
    <x v="0"/>
    <m/>
    <m/>
    <m/>
    <s v="ton"/>
    <x v="3"/>
    <x v="2"/>
    <m/>
    <m/>
    <m/>
    <m/>
    <m/>
    <m/>
    <m/>
    <m/>
    <m/>
    <m/>
    <m/>
    <m/>
    <m/>
    <m/>
    <m/>
    <m/>
    <m/>
    <m/>
    <m/>
    <m/>
    <m/>
    <m/>
    <m/>
    <m/>
    <m/>
    <m/>
    <m/>
    <n v="1230"/>
    <n v="1230"/>
    <n v="1230"/>
    <n v="1230"/>
    <n v="1230"/>
    <m/>
    <m/>
    <m/>
    <m/>
    <m/>
    <m/>
    <m/>
    <m/>
    <m/>
    <m/>
    <m/>
    <m/>
    <m/>
    <m/>
    <m/>
    <m/>
    <x v="29"/>
    <x v="10"/>
    <x v="0"/>
    <n v="1.23"/>
    <n v="7.2570000000000006"/>
    <n v="0.14176320000000001"/>
    <n v="0.94341000000000008"/>
    <n v="0"/>
    <n v="9.1999999999999998E-2"/>
    <x v="29"/>
    <x v="30"/>
    <n v="105"/>
    <n v="90"/>
    <x v="0"/>
    <n v="6.3020850456434019E-2"/>
    <x v="29"/>
    <x v="30"/>
  </r>
  <r>
    <n v="10960"/>
    <x v="8"/>
    <x v="7"/>
    <x v="4"/>
    <s v="IP"/>
    <x v="4"/>
    <s v="Backer Brown 50g"/>
    <s v="brown"/>
    <m/>
    <m/>
    <m/>
    <s v="EU"/>
    <x v="1"/>
    <x v="0"/>
    <m/>
    <m/>
    <m/>
    <x v="1"/>
    <m/>
    <m/>
    <m/>
    <s v="ton"/>
    <x v="3"/>
    <x v="2"/>
    <m/>
    <m/>
    <m/>
    <m/>
    <m/>
    <m/>
    <m/>
    <m/>
    <m/>
    <m/>
    <m/>
    <m/>
    <m/>
    <m/>
    <m/>
    <m/>
    <m/>
    <m/>
    <m/>
    <m/>
    <m/>
    <m/>
    <m/>
    <m/>
    <m/>
    <m/>
    <m/>
    <n v="1250"/>
    <n v="1250"/>
    <n v="1250"/>
    <n v="1250"/>
    <n v="1250"/>
    <m/>
    <m/>
    <m/>
    <m/>
    <m/>
    <m/>
    <m/>
    <m/>
    <m/>
    <m/>
    <m/>
    <m/>
    <m/>
    <m/>
    <m/>
    <m/>
    <x v="30"/>
    <x v="10"/>
    <x v="0"/>
    <n v="1.25"/>
    <n v="7.375"/>
    <n v="0.14176320000000001"/>
    <n v="0.95874999999999999"/>
    <n v="5.9000000000000004E-2"/>
    <n v="9.1999999999999998E-2"/>
    <x v="30"/>
    <x v="31"/>
    <n v="105"/>
    <n v="90"/>
    <x v="0"/>
    <n v="6.445803108924153E-2"/>
    <x v="30"/>
    <x v="31"/>
  </r>
  <r>
    <n v="10961"/>
    <x v="13"/>
    <x v="2"/>
    <x v="9"/>
    <s v="DP"/>
    <x v="4"/>
    <s v="CARTIERE SW0337"/>
    <s v="white"/>
    <s v="SW0337"/>
    <m/>
    <m/>
    <s v="EU"/>
    <x v="1"/>
    <x v="0"/>
    <m/>
    <m/>
    <m/>
    <x v="0"/>
    <m/>
    <m/>
    <m/>
    <s v="ton"/>
    <x v="3"/>
    <x v="2"/>
    <m/>
    <m/>
    <m/>
    <m/>
    <m/>
    <m/>
    <m/>
    <m/>
    <m/>
    <m/>
    <m/>
    <m/>
    <m/>
    <m/>
    <m/>
    <m/>
    <m/>
    <m/>
    <m/>
    <m/>
    <m/>
    <m/>
    <m/>
    <m/>
    <m/>
    <m/>
    <m/>
    <m/>
    <m/>
    <m/>
    <m/>
    <m/>
    <m/>
    <m/>
    <n v="2390"/>
    <n v="2390"/>
    <n v="2390"/>
    <m/>
    <m/>
    <m/>
    <m/>
    <m/>
    <m/>
    <m/>
    <m/>
    <m/>
    <m/>
    <m/>
    <x v="31"/>
    <x v="11"/>
    <x v="12"/>
    <n v="2.39"/>
    <n v="14.101000000000001"/>
    <n v="0.14176320000000001"/>
    <n v="1.8331300000000001"/>
    <n v="0"/>
    <n v="9.1999999999999998E-2"/>
    <x v="31"/>
    <x v="32"/>
    <n v="105"/>
    <n v="90"/>
    <x v="0"/>
    <n v="0.12080785577806097"/>
    <x v="31"/>
    <x v="32"/>
  </r>
  <r>
    <n v="10961"/>
    <x v="13"/>
    <x v="2"/>
    <x v="9"/>
    <s v="DP"/>
    <x v="4"/>
    <s v="CARTIERE SW0337"/>
    <s v="white"/>
    <s v="SW0337"/>
    <m/>
    <m/>
    <s v="EU"/>
    <x v="1"/>
    <x v="0"/>
    <m/>
    <m/>
    <m/>
    <x v="0"/>
    <m/>
    <m/>
    <m/>
    <s v="ton"/>
    <x v="2"/>
    <x v="2"/>
    <m/>
    <m/>
    <m/>
    <m/>
    <m/>
    <m/>
    <m/>
    <m/>
    <m/>
    <m/>
    <m/>
    <m/>
    <m/>
    <m/>
    <m/>
    <m/>
    <m/>
    <m/>
    <m/>
    <m/>
    <m/>
    <m/>
    <m/>
    <m/>
    <m/>
    <m/>
    <m/>
    <m/>
    <m/>
    <m/>
    <m/>
    <m/>
    <m/>
    <m/>
    <n v="2450"/>
    <n v="2450"/>
    <n v="2450"/>
    <m/>
    <m/>
    <m/>
    <m/>
    <m/>
    <m/>
    <m/>
    <m/>
    <m/>
    <m/>
    <m/>
    <x v="22"/>
    <x v="11"/>
    <x v="12"/>
    <n v="2.4500000000000002"/>
    <n v="14.455000000000002"/>
    <n v="0.14176320000000001"/>
    <n v="1.8791500000000003"/>
    <n v="0"/>
    <n v="9.1999999999999998E-2"/>
    <x v="22"/>
    <x v="28"/>
    <n v="105"/>
    <n v="90"/>
    <x v="0"/>
    <n v="0.1237968388119377"/>
    <x v="22"/>
    <x v="28"/>
  </r>
  <r>
    <n v="10961"/>
    <x v="13"/>
    <x v="2"/>
    <x v="9"/>
    <s v="DP"/>
    <x v="4"/>
    <s v="CARTIERE SW0337"/>
    <s v="white"/>
    <s v="SW0337"/>
    <m/>
    <m/>
    <s v="EU"/>
    <x v="1"/>
    <x v="0"/>
    <m/>
    <m/>
    <m/>
    <x v="0"/>
    <m/>
    <m/>
    <m/>
    <s v="ton"/>
    <x v="8"/>
    <x v="2"/>
    <m/>
    <m/>
    <m/>
    <m/>
    <m/>
    <m/>
    <m/>
    <m/>
    <m/>
    <m/>
    <m/>
    <m/>
    <m/>
    <m/>
    <m/>
    <m/>
    <m/>
    <m/>
    <m/>
    <m/>
    <m/>
    <m/>
    <m/>
    <m/>
    <m/>
    <m/>
    <m/>
    <m/>
    <m/>
    <m/>
    <m/>
    <m/>
    <m/>
    <m/>
    <n v="2890"/>
    <n v="2890"/>
    <n v="2890"/>
    <m/>
    <m/>
    <m/>
    <m/>
    <m/>
    <m/>
    <m/>
    <m/>
    <m/>
    <m/>
    <m/>
    <x v="32"/>
    <x v="11"/>
    <x v="12"/>
    <n v="2.89"/>
    <n v="17.051000000000002"/>
    <n v="0.14176320000000001"/>
    <n v="2.2166300000000003"/>
    <n v="0"/>
    <n v="9.1999999999999998E-2"/>
    <x v="32"/>
    <x v="33"/>
    <n v="105"/>
    <n v="90"/>
    <x v="0"/>
    <n v="0.1457160477270385"/>
    <x v="32"/>
    <x v="33"/>
  </r>
  <r>
    <n v="10962"/>
    <x v="14"/>
    <x v="3"/>
    <x v="6"/>
    <s v="DP"/>
    <x v="4"/>
    <s v="CARTIERE 0483"/>
    <s v="gray"/>
    <m/>
    <m/>
    <m/>
    <s v="EU"/>
    <x v="1"/>
    <x v="0"/>
    <m/>
    <m/>
    <m/>
    <x v="0"/>
    <m/>
    <m/>
    <m/>
    <s v="ton"/>
    <x v="10"/>
    <x v="2"/>
    <m/>
    <m/>
    <m/>
    <m/>
    <m/>
    <m/>
    <m/>
    <m/>
    <m/>
    <m/>
    <m/>
    <m/>
    <m/>
    <m/>
    <m/>
    <m/>
    <m/>
    <m/>
    <m/>
    <m/>
    <m/>
    <m/>
    <m/>
    <m/>
    <m/>
    <m/>
    <m/>
    <m/>
    <m/>
    <m/>
    <m/>
    <m/>
    <m/>
    <m/>
    <n v="1750"/>
    <n v="1750"/>
    <n v="1750"/>
    <m/>
    <m/>
    <m/>
    <m/>
    <m/>
    <m/>
    <m/>
    <m/>
    <m/>
    <m/>
    <m/>
    <x v="33"/>
    <x v="11"/>
    <x v="12"/>
    <n v="1.75"/>
    <n v="10.325000000000001"/>
    <n v="0.14176320000000001"/>
    <n v="1.3422500000000002"/>
    <n v="0"/>
    <n v="9.1999999999999998E-2"/>
    <x v="33"/>
    <x v="34"/>
    <n v="105"/>
    <n v="90"/>
    <x v="0"/>
    <n v="8.892537008336987E-2"/>
    <x v="33"/>
    <x v="34"/>
  </r>
  <r>
    <n v="10962"/>
    <x v="14"/>
    <x v="3"/>
    <x v="6"/>
    <s v="DP"/>
    <x v="4"/>
    <s v="CARTIERE 0483"/>
    <s v="gray"/>
    <m/>
    <m/>
    <m/>
    <s v="EU"/>
    <x v="1"/>
    <x v="0"/>
    <m/>
    <m/>
    <m/>
    <x v="0"/>
    <m/>
    <m/>
    <m/>
    <s v="ton"/>
    <x v="4"/>
    <x v="2"/>
    <m/>
    <m/>
    <m/>
    <m/>
    <m/>
    <m/>
    <m/>
    <m/>
    <m/>
    <m/>
    <m/>
    <m/>
    <m/>
    <m/>
    <m/>
    <m/>
    <m/>
    <m/>
    <m/>
    <m/>
    <m/>
    <m/>
    <m/>
    <m/>
    <m/>
    <m/>
    <m/>
    <m/>
    <m/>
    <m/>
    <m/>
    <m/>
    <m/>
    <m/>
    <n v="1790"/>
    <n v="1790"/>
    <n v="1790"/>
    <m/>
    <m/>
    <m/>
    <m/>
    <m/>
    <m/>
    <m/>
    <m/>
    <m/>
    <m/>
    <m/>
    <x v="34"/>
    <x v="11"/>
    <x v="12"/>
    <n v="1.79"/>
    <n v="10.561000000000002"/>
    <n v="0.14176320000000001"/>
    <n v="1.3729300000000002"/>
    <n v="0"/>
    <n v="9.1999999999999998E-2"/>
    <x v="34"/>
    <x v="35"/>
    <n v="105"/>
    <n v="90"/>
    <x v="0"/>
    <n v="9.0918025439288286E-2"/>
    <x v="34"/>
    <x v="35"/>
  </r>
  <r>
    <n v="10962"/>
    <x v="14"/>
    <x v="3"/>
    <x v="6"/>
    <s v="DP"/>
    <x v="4"/>
    <s v="CARTIERE 0483"/>
    <s v="gray"/>
    <m/>
    <m/>
    <m/>
    <s v="EU"/>
    <x v="1"/>
    <x v="0"/>
    <m/>
    <m/>
    <m/>
    <x v="0"/>
    <m/>
    <m/>
    <m/>
    <s v="ton"/>
    <x v="3"/>
    <x v="2"/>
    <m/>
    <m/>
    <m/>
    <m/>
    <m/>
    <m/>
    <m/>
    <m/>
    <m/>
    <m/>
    <m/>
    <m/>
    <m/>
    <m/>
    <m/>
    <m/>
    <m/>
    <m/>
    <m/>
    <m/>
    <m/>
    <m/>
    <m/>
    <m/>
    <m/>
    <m/>
    <m/>
    <m/>
    <m/>
    <m/>
    <m/>
    <m/>
    <m/>
    <m/>
    <n v="1900"/>
    <n v="1900"/>
    <n v="1900"/>
    <m/>
    <m/>
    <m/>
    <m/>
    <m/>
    <m/>
    <m/>
    <m/>
    <m/>
    <m/>
    <m/>
    <x v="35"/>
    <x v="11"/>
    <x v="12"/>
    <n v="1.9"/>
    <n v="11.21"/>
    <n v="0.14176320000000001"/>
    <n v="1.4573000000000003"/>
    <n v="0"/>
    <n v="9.1999999999999998E-2"/>
    <x v="35"/>
    <x v="36"/>
    <n v="105"/>
    <n v="90"/>
    <x v="0"/>
    <n v="9.6397827668063485E-2"/>
    <x v="35"/>
    <x v="36"/>
  </r>
  <r>
    <n v="10962"/>
    <x v="14"/>
    <x v="3"/>
    <x v="6"/>
    <s v="DP"/>
    <x v="4"/>
    <s v="CARTIERE 0483"/>
    <s v="gray"/>
    <m/>
    <m/>
    <m/>
    <s v="EU"/>
    <x v="1"/>
    <x v="0"/>
    <m/>
    <m/>
    <m/>
    <x v="0"/>
    <m/>
    <m/>
    <m/>
    <s v="ton"/>
    <x v="2"/>
    <x v="2"/>
    <m/>
    <m/>
    <m/>
    <m/>
    <m/>
    <m/>
    <m/>
    <m/>
    <m/>
    <m/>
    <m/>
    <m/>
    <m/>
    <m/>
    <m/>
    <m/>
    <m/>
    <m/>
    <m/>
    <m/>
    <m/>
    <m/>
    <m/>
    <m/>
    <m/>
    <m/>
    <m/>
    <m/>
    <m/>
    <m/>
    <m/>
    <m/>
    <m/>
    <m/>
    <n v="2050"/>
    <n v="2050"/>
    <n v="2050"/>
    <m/>
    <m/>
    <m/>
    <m/>
    <m/>
    <m/>
    <m/>
    <m/>
    <m/>
    <m/>
    <m/>
    <x v="36"/>
    <x v="11"/>
    <x v="12"/>
    <n v="2.0499999999999998"/>
    <n v="12.094999999999999"/>
    <n v="0.14176320000000001"/>
    <n v="1.5723499999999999"/>
    <n v="0"/>
    <n v="9.1999999999999998E-2"/>
    <x v="36"/>
    <x v="37"/>
    <n v="105"/>
    <n v="90"/>
    <x v="0"/>
    <n v="0.1038702852527571"/>
    <x v="36"/>
    <x v="37"/>
  </r>
  <r>
    <n v="10962"/>
    <x v="14"/>
    <x v="3"/>
    <x v="6"/>
    <s v="DP"/>
    <x v="4"/>
    <s v="CARTIERE 0483"/>
    <s v="gray"/>
    <m/>
    <m/>
    <m/>
    <s v="EU"/>
    <x v="1"/>
    <x v="0"/>
    <m/>
    <m/>
    <m/>
    <x v="0"/>
    <m/>
    <m/>
    <m/>
    <s v="ton"/>
    <x v="8"/>
    <x v="2"/>
    <m/>
    <m/>
    <m/>
    <m/>
    <m/>
    <m/>
    <m/>
    <m/>
    <m/>
    <m/>
    <m/>
    <m/>
    <m/>
    <m/>
    <m/>
    <m/>
    <m/>
    <m/>
    <m/>
    <m/>
    <m/>
    <m/>
    <m/>
    <m/>
    <m/>
    <m/>
    <m/>
    <m/>
    <m/>
    <m/>
    <m/>
    <m/>
    <m/>
    <m/>
    <n v="2350"/>
    <n v="2350"/>
    <n v="2350"/>
    <m/>
    <m/>
    <m/>
    <m/>
    <m/>
    <m/>
    <m/>
    <m/>
    <m/>
    <m/>
    <m/>
    <x v="37"/>
    <x v="11"/>
    <x v="12"/>
    <n v="2.35"/>
    <n v="13.865000000000002"/>
    <n v="0.14176320000000001"/>
    <n v="1.8024500000000003"/>
    <n v="0"/>
    <n v="9.1999999999999998E-2"/>
    <x v="37"/>
    <x v="38"/>
    <n v="105"/>
    <n v="90"/>
    <x v="0"/>
    <n v="0.11881520042214255"/>
    <x v="37"/>
    <x v="38"/>
  </r>
  <r>
    <n v="10963"/>
    <x v="15"/>
    <x v="3"/>
    <x v="6"/>
    <s v="DP"/>
    <x v="4"/>
    <s v="CARTIERE 689"/>
    <s v="dark gray"/>
    <m/>
    <m/>
    <m/>
    <s v="EU"/>
    <x v="1"/>
    <x v="0"/>
    <m/>
    <m/>
    <m/>
    <x v="0"/>
    <m/>
    <m/>
    <m/>
    <s v="ton"/>
    <x v="3"/>
    <x v="2"/>
    <m/>
    <m/>
    <m/>
    <m/>
    <m/>
    <m/>
    <m/>
    <m/>
    <m/>
    <m/>
    <m/>
    <m/>
    <m/>
    <m/>
    <m/>
    <m/>
    <m/>
    <m/>
    <m/>
    <m/>
    <m/>
    <m/>
    <m/>
    <m/>
    <m/>
    <m/>
    <m/>
    <m/>
    <m/>
    <m/>
    <m/>
    <m/>
    <m/>
    <m/>
    <n v="1790"/>
    <n v="1790"/>
    <n v="1790"/>
    <m/>
    <m/>
    <m/>
    <m/>
    <m/>
    <m/>
    <m/>
    <m/>
    <m/>
    <m/>
    <m/>
    <x v="34"/>
    <x v="11"/>
    <x v="12"/>
    <n v="1.79"/>
    <n v="10.561000000000002"/>
    <n v="0.14176320000000001"/>
    <n v="1.3729300000000002"/>
    <n v="0"/>
    <n v="9.1999999999999998E-2"/>
    <x v="34"/>
    <x v="35"/>
    <n v="105"/>
    <n v="90"/>
    <x v="0"/>
    <n v="9.0918025439288286E-2"/>
    <x v="34"/>
    <x v="35"/>
  </r>
  <r>
    <n v="10963"/>
    <x v="15"/>
    <x v="3"/>
    <x v="6"/>
    <s v="DP"/>
    <x v="4"/>
    <s v="CARTIERE 689"/>
    <s v="dark gray"/>
    <m/>
    <m/>
    <m/>
    <s v="EU"/>
    <x v="1"/>
    <x v="0"/>
    <m/>
    <m/>
    <m/>
    <x v="0"/>
    <m/>
    <m/>
    <m/>
    <s v="ton"/>
    <x v="2"/>
    <x v="2"/>
    <m/>
    <m/>
    <m/>
    <m/>
    <m/>
    <m/>
    <m/>
    <m/>
    <m/>
    <m/>
    <m/>
    <m/>
    <m/>
    <m/>
    <m/>
    <m/>
    <m/>
    <m/>
    <m/>
    <m/>
    <m/>
    <m/>
    <m/>
    <m/>
    <m/>
    <m/>
    <m/>
    <m/>
    <m/>
    <m/>
    <m/>
    <m/>
    <m/>
    <m/>
    <n v="1890"/>
    <n v="1890"/>
    <n v="1890"/>
    <m/>
    <m/>
    <m/>
    <m/>
    <m/>
    <m/>
    <m/>
    <m/>
    <m/>
    <m/>
    <m/>
    <x v="38"/>
    <x v="11"/>
    <x v="12"/>
    <n v="1.89"/>
    <n v="11.151"/>
    <n v="0.14176320000000001"/>
    <n v="1.44963"/>
    <n v="0"/>
    <n v="9.1999999999999998E-2"/>
    <x v="38"/>
    <x v="39"/>
    <n v="105"/>
    <n v="90"/>
    <x v="0"/>
    <n v="9.5899663829085213E-2"/>
    <x v="38"/>
    <x v="39"/>
  </r>
  <r>
    <n v="10963"/>
    <x v="15"/>
    <x v="3"/>
    <x v="6"/>
    <s v="DP"/>
    <x v="4"/>
    <s v="CARTIERE 689"/>
    <s v="dark gray"/>
    <m/>
    <m/>
    <m/>
    <s v="EU"/>
    <x v="1"/>
    <x v="0"/>
    <m/>
    <m/>
    <m/>
    <x v="0"/>
    <m/>
    <m/>
    <m/>
    <s v="ton"/>
    <x v="8"/>
    <x v="2"/>
    <m/>
    <m/>
    <m/>
    <m/>
    <m/>
    <m/>
    <m/>
    <m/>
    <m/>
    <m/>
    <m/>
    <m/>
    <m/>
    <m/>
    <m/>
    <m/>
    <m/>
    <m/>
    <m/>
    <m/>
    <m/>
    <m/>
    <m/>
    <m/>
    <m/>
    <m/>
    <m/>
    <m/>
    <m/>
    <m/>
    <m/>
    <m/>
    <m/>
    <m/>
    <n v="2350"/>
    <n v="2350"/>
    <n v="2350"/>
    <m/>
    <m/>
    <m/>
    <m/>
    <m/>
    <m/>
    <m/>
    <m/>
    <m/>
    <m/>
    <m/>
    <x v="37"/>
    <x v="11"/>
    <x v="12"/>
    <n v="2.35"/>
    <n v="13.865000000000002"/>
    <n v="0.14176320000000001"/>
    <n v="1.8024500000000003"/>
    <n v="0"/>
    <n v="9.1999999999999998E-2"/>
    <x v="37"/>
    <x v="38"/>
    <n v="105"/>
    <n v="90"/>
    <x v="0"/>
    <n v="0.11881520042214255"/>
    <x v="37"/>
    <x v="38"/>
  </r>
  <r>
    <n v="11205"/>
    <x v="12"/>
    <x v="2"/>
    <x v="10"/>
    <s v="IP"/>
    <x v="5"/>
    <s v="TECHNOCELL 3222"/>
    <s v="black"/>
    <n v="3222"/>
    <m/>
    <m/>
    <s v="EU"/>
    <x v="4"/>
    <x v="1"/>
    <m/>
    <m/>
    <m/>
    <x v="0"/>
    <m/>
    <m/>
    <m/>
    <s v="ton"/>
    <x v="0"/>
    <x v="2"/>
    <m/>
    <m/>
    <m/>
    <n v="2680"/>
    <n v="2680"/>
    <n v="2680"/>
    <m/>
    <m/>
    <m/>
    <n v="2110"/>
    <n v="2110"/>
    <n v="2110"/>
    <m/>
    <m/>
    <m/>
    <m/>
    <m/>
    <n v="2330"/>
    <m/>
    <m/>
    <m/>
    <n v="2540"/>
    <n v="2540"/>
    <n v="2540"/>
    <n v="2540"/>
    <n v="2540"/>
    <n v="2540"/>
    <n v="2320"/>
    <n v="2320"/>
    <n v="2320"/>
    <m/>
    <m/>
    <m/>
    <m/>
    <m/>
    <m/>
    <m/>
    <m/>
    <m/>
    <m/>
    <m/>
    <m/>
    <m/>
    <m/>
    <m/>
    <m/>
    <m/>
    <m/>
    <x v="39"/>
    <x v="9"/>
    <x v="0"/>
    <n v="2.3199999999999998"/>
    <n v="13.688000000000001"/>
    <n v="0.14176320000000001"/>
    <n v="1.7794400000000001"/>
    <n v="0"/>
    <n v="9.1999999999999998E-2"/>
    <x v="39"/>
    <x v="40"/>
    <n v="105"/>
    <n v="120"/>
    <x v="3"/>
    <n v="-0.11645058038896217"/>
    <x v="39"/>
    <x v="40"/>
  </r>
  <r>
    <n v="11207"/>
    <x v="12"/>
    <x v="3"/>
    <x v="8"/>
    <s v="IP"/>
    <x v="5"/>
    <s v="TECHNOCELL 3222"/>
    <s v="black"/>
    <n v="3222"/>
    <m/>
    <m/>
    <s v="EU"/>
    <x v="4"/>
    <x v="1"/>
    <m/>
    <m/>
    <m/>
    <x v="0"/>
    <m/>
    <m/>
    <m/>
    <s v="ton"/>
    <x v="0"/>
    <x v="2"/>
    <m/>
    <m/>
    <m/>
    <m/>
    <m/>
    <m/>
    <m/>
    <m/>
    <m/>
    <n v="2210"/>
    <n v="2210"/>
    <n v="2210"/>
    <m/>
    <m/>
    <m/>
    <m/>
    <m/>
    <m/>
    <m/>
    <m/>
    <m/>
    <m/>
    <m/>
    <m/>
    <m/>
    <m/>
    <m/>
    <m/>
    <m/>
    <m/>
    <m/>
    <m/>
    <m/>
    <m/>
    <m/>
    <m/>
    <m/>
    <m/>
    <m/>
    <m/>
    <m/>
    <m/>
    <m/>
    <m/>
    <m/>
    <m/>
    <m/>
    <m/>
    <x v="40"/>
    <x v="12"/>
    <x v="0"/>
    <n v="2.21"/>
    <n v="13.039"/>
    <n v="0.14176320000000001"/>
    <n v="1.6950700000000001"/>
    <n v="0"/>
    <n v="9.1999999999999998E-2"/>
    <x v="40"/>
    <x v="41"/>
    <n v="105"/>
    <n v="120"/>
    <x v="3"/>
    <n v="-0.11101142002322284"/>
    <x v="40"/>
    <x v="41"/>
  </r>
  <r>
    <n v="11214"/>
    <x v="16"/>
    <x v="2"/>
    <x v="10"/>
    <m/>
    <x v="5"/>
    <s v="TECHNOCELL 5481"/>
    <s v="white"/>
    <n v="5481"/>
    <m/>
    <m/>
    <s v="EU"/>
    <x v="4"/>
    <x v="1"/>
    <m/>
    <m/>
    <m/>
    <x v="0"/>
    <m/>
    <m/>
    <m/>
    <s v="ton"/>
    <x v="0"/>
    <x v="2"/>
    <m/>
    <m/>
    <m/>
    <n v="3010"/>
    <n v="3010"/>
    <n v="3010"/>
    <m/>
    <m/>
    <m/>
    <m/>
    <m/>
    <m/>
    <m/>
    <m/>
    <m/>
    <m/>
    <m/>
    <m/>
    <m/>
    <m/>
    <m/>
    <m/>
    <m/>
    <m/>
    <m/>
    <m/>
    <m/>
    <m/>
    <m/>
    <m/>
    <m/>
    <m/>
    <m/>
    <m/>
    <m/>
    <m/>
    <m/>
    <m/>
    <m/>
    <m/>
    <m/>
    <m/>
    <m/>
    <m/>
    <m/>
    <m/>
    <m/>
    <m/>
    <x v="5"/>
    <x v="13"/>
    <x v="0"/>
    <n v="3.01"/>
    <n v="17.759"/>
    <n v="0.14176320000000001"/>
    <n v="2.3086700000000002"/>
    <n v="0"/>
    <n v="9.1999999999999998E-2"/>
    <x v="5"/>
    <x v="5"/>
    <n v="105"/>
    <n v="120"/>
    <x v="3"/>
    <n v="-0.15056894995586845"/>
    <x v="41"/>
    <x v="42"/>
  </r>
  <r>
    <n v="11301"/>
    <x v="17"/>
    <x v="6"/>
    <x v="6"/>
    <s v="DP"/>
    <x v="5"/>
    <s v="TECHNOCELL 4478"/>
    <s v="gray"/>
    <n v="4478"/>
    <m/>
    <m/>
    <s v="EU"/>
    <x v="4"/>
    <x v="1"/>
    <m/>
    <m/>
    <m/>
    <x v="0"/>
    <m/>
    <m/>
    <m/>
    <s v="ton"/>
    <x v="2"/>
    <x v="2"/>
    <m/>
    <m/>
    <m/>
    <m/>
    <m/>
    <m/>
    <n v="2180"/>
    <n v="2180"/>
    <n v="2180"/>
    <n v="2030"/>
    <n v="2030"/>
    <n v="2030"/>
    <n v="2090"/>
    <n v="2090"/>
    <n v="2090"/>
    <n v="2220"/>
    <n v="2220"/>
    <n v="2220"/>
    <n v="2370"/>
    <n v="2370"/>
    <n v="2370"/>
    <n v="2370"/>
    <n v="2370"/>
    <n v="2370"/>
    <n v="2290"/>
    <n v="2290"/>
    <n v="2290"/>
    <n v="2050"/>
    <n v="2050"/>
    <n v="2350"/>
    <n v="2350"/>
    <n v="2350"/>
    <n v="2350"/>
    <n v="2250"/>
    <n v="2250"/>
    <n v="2250"/>
    <n v="2270"/>
    <n v="2270"/>
    <n v="2270"/>
    <n v="2370"/>
    <n v="2370"/>
    <n v="2370"/>
    <n v="2450"/>
    <n v="2450"/>
    <n v="2450"/>
    <m/>
    <m/>
    <m/>
    <x v="22"/>
    <x v="2"/>
    <x v="13"/>
    <n v="2.4500000000000002"/>
    <n v="14.455000000000002"/>
    <n v="0.14176320000000001"/>
    <n v="1.8791500000000003"/>
    <n v="0"/>
    <n v="9.1999999999999998E-2"/>
    <x v="22"/>
    <x v="22"/>
    <n v="105"/>
    <n v="120"/>
    <x v="3"/>
    <n v="-0.12287867900301563"/>
    <x v="42"/>
    <x v="43"/>
  </r>
  <r>
    <n v="11301"/>
    <x v="17"/>
    <x v="6"/>
    <x v="6"/>
    <s v="DP"/>
    <x v="5"/>
    <s v="TECHNOCELL 4478"/>
    <s v="gray"/>
    <n v="4478"/>
    <m/>
    <m/>
    <s v="EU"/>
    <x v="4"/>
    <x v="1"/>
    <m/>
    <m/>
    <m/>
    <x v="0"/>
    <m/>
    <m/>
    <m/>
    <s v="ton"/>
    <x v="11"/>
    <x v="2"/>
    <m/>
    <m/>
    <m/>
    <m/>
    <m/>
    <m/>
    <n v="2230"/>
    <n v="2230"/>
    <n v="2230"/>
    <n v="2080"/>
    <n v="2080"/>
    <n v="2080"/>
    <n v="2140"/>
    <n v="2140"/>
    <n v="2140"/>
    <n v="2270"/>
    <n v="2270"/>
    <n v="2270"/>
    <n v="2420"/>
    <n v="2420"/>
    <n v="2420"/>
    <n v="2420"/>
    <n v="2420"/>
    <n v="2420"/>
    <n v="2340"/>
    <n v="2340"/>
    <n v="2340"/>
    <n v="2100"/>
    <n v="2100"/>
    <n v="2400"/>
    <n v="2400"/>
    <n v="2400"/>
    <n v="2400"/>
    <n v="2300"/>
    <n v="2300"/>
    <n v="2300"/>
    <n v="2320"/>
    <n v="2320"/>
    <n v="2320"/>
    <n v="2420"/>
    <n v="2420"/>
    <n v="2420"/>
    <n v="2500"/>
    <n v="2500"/>
    <n v="2500"/>
    <m/>
    <m/>
    <m/>
    <x v="41"/>
    <x v="2"/>
    <x v="14"/>
    <n v="2.5"/>
    <n v="14.75"/>
    <n v="0.14176320000000001"/>
    <n v="1.9175"/>
    <n v="0"/>
    <n v="9.1999999999999998E-2"/>
    <x v="41"/>
    <x v="42"/>
    <n v="105"/>
    <n v="120"/>
    <x v="3"/>
    <n v="-0.12535102462380721"/>
    <x v="43"/>
    <x v="44"/>
  </r>
  <r>
    <n v="11301"/>
    <x v="17"/>
    <x v="6"/>
    <x v="6"/>
    <s v="DP"/>
    <x v="5"/>
    <s v="TECHNOCELL 4478"/>
    <s v="gray"/>
    <n v="4478"/>
    <m/>
    <m/>
    <s v="EU"/>
    <x v="4"/>
    <x v="1"/>
    <m/>
    <m/>
    <m/>
    <x v="0"/>
    <m/>
    <m/>
    <m/>
    <s v="ton"/>
    <x v="1"/>
    <x v="2"/>
    <m/>
    <m/>
    <m/>
    <m/>
    <m/>
    <m/>
    <n v="2280"/>
    <n v="2280"/>
    <n v="2280"/>
    <n v="2130"/>
    <n v="2130"/>
    <n v="2130"/>
    <n v="2190"/>
    <n v="2190"/>
    <n v="2190"/>
    <n v="2320"/>
    <n v="2320"/>
    <n v="2320"/>
    <n v="2470"/>
    <n v="2470"/>
    <n v="2470"/>
    <n v="2470"/>
    <n v="2470"/>
    <n v="2470"/>
    <n v="2390"/>
    <n v="2390"/>
    <n v="2390"/>
    <n v="2150"/>
    <n v="2150"/>
    <n v="2450"/>
    <n v="2450"/>
    <n v="2450"/>
    <n v="2450"/>
    <n v="2350"/>
    <n v="2350"/>
    <n v="2350"/>
    <n v="2370"/>
    <n v="2370"/>
    <n v="2370"/>
    <n v="2470"/>
    <n v="2470"/>
    <n v="2470"/>
    <n v="2550"/>
    <n v="2550"/>
    <n v="2550"/>
    <m/>
    <m/>
    <m/>
    <x v="27"/>
    <x v="2"/>
    <x v="15"/>
    <n v="2.5499999999999998"/>
    <n v="15.045"/>
    <n v="0.14176320000000001"/>
    <n v="1.9558500000000001"/>
    <n v="0"/>
    <n v="9.1999999999999998E-2"/>
    <x v="27"/>
    <x v="43"/>
    <n v="105"/>
    <n v="120"/>
    <x v="3"/>
    <n v="-0.12782337024459878"/>
    <x v="44"/>
    <x v="45"/>
  </r>
  <r>
    <n v="11301"/>
    <x v="17"/>
    <x v="6"/>
    <x v="6"/>
    <s v="DP"/>
    <x v="5"/>
    <s v="TECHNOCELL 4478"/>
    <s v="gray"/>
    <n v="4478"/>
    <m/>
    <m/>
    <s v="EU"/>
    <x v="4"/>
    <x v="1"/>
    <m/>
    <m/>
    <m/>
    <x v="0"/>
    <m/>
    <m/>
    <m/>
    <s v="ton"/>
    <x v="12"/>
    <x v="2"/>
    <m/>
    <m/>
    <m/>
    <m/>
    <m/>
    <m/>
    <n v="2360"/>
    <n v="2360"/>
    <n v="2360"/>
    <n v="2210"/>
    <n v="2210"/>
    <n v="2210"/>
    <n v="2270"/>
    <n v="2270"/>
    <n v="2270"/>
    <n v="2400"/>
    <n v="2400"/>
    <n v="2400"/>
    <n v="2550"/>
    <n v="2550"/>
    <n v="2550"/>
    <n v="2550"/>
    <n v="2550"/>
    <n v="2550"/>
    <n v="2470"/>
    <n v="2470"/>
    <n v="2470"/>
    <n v="2230"/>
    <n v="2230"/>
    <n v="2530"/>
    <n v="2530"/>
    <n v="2530"/>
    <n v="2530"/>
    <n v="2430"/>
    <n v="2430"/>
    <n v="2430"/>
    <n v="2450"/>
    <n v="2450"/>
    <n v="2450"/>
    <n v="2550"/>
    <n v="2550"/>
    <n v="2550"/>
    <n v="2630"/>
    <n v="2630"/>
    <n v="2630"/>
    <m/>
    <m/>
    <m/>
    <x v="28"/>
    <x v="2"/>
    <x v="16"/>
    <n v="2.63"/>
    <n v="15.516999999999999"/>
    <n v="0.14176320000000001"/>
    <n v="2.0172099999999999"/>
    <n v="0"/>
    <n v="9.1999999999999998E-2"/>
    <x v="28"/>
    <x v="44"/>
    <n v="105"/>
    <n v="120"/>
    <x v="3"/>
    <n v="-0.13177912323786245"/>
    <x v="45"/>
    <x v="46"/>
  </r>
  <r>
    <n v="11304"/>
    <x v="8"/>
    <x v="5"/>
    <x v="4"/>
    <s v="IP"/>
    <x v="5"/>
    <s v="TECHNOCELL 4108"/>
    <s v="brown"/>
    <m/>
    <m/>
    <m/>
    <s v="EU"/>
    <x v="4"/>
    <x v="1"/>
    <m/>
    <m/>
    <m/>
    <x v="0"/>
    <m/>
    <m/>
    <m/>
    <s v="ton"/>
    <x v="0"/>
    <x v="2"/>
    <m/>
    <m/>
    <m/>
    <m/>
    <m/>
    <m/>
    <m/>
    <m/>
    <m/>
    <m/>
    <m/>
    <m/>
    <m/>
    <m/>
    <m/>
    <m/>
    <m/>
    <m/>
    <m/>
    <m/>
    <m/>
    <m/>
    <m/>
    <n v="1350"/>
    <m/>
    <m/>
    <m/>
    <m/>
    <m/>
    <m/>
    <m/>
    <m/>
    <m/>
    <m/>
    <m/>
    <m/>
    <m/>
    <m/>
    <m/>
    <m/>
    <m/>
    <m/>
    <m/>
    <m/>
    <m/>
    <m/>
    <m/>
    <m/>
    <x v="42"/>
    <x v="5"/>
    <x v="0"/>
    <n v="1.35"/>
    <n v="7.9650000000000007"/>
    <n v="0.14176320000000001"/>
    <n v="1.0354500000000002"/>
    <n v="0"/>
    <n v="9.1999999999999998E-2"/>
    <x v="42"/>
    <x v="45"/>
    <n v="105"/>
    <n v="120"/>
    <x v="3"/>
    <n v="-6.8487075345627701E-2"/>
    <x v="46"/>
    <x v="47"/>
  </r>
  <r>
    <n v="11305"/>
    <x v="12"/>
    <x v="2"/>
    <x v="8"/>
    <m/>
    <x v="5"/>
    <s v="TECHNOCELL MPK8222"/>
    <s v="black"/>
    <n v="8222"/>
    <m/>
    <m/>
    <s v="EU"/>
    <x v="4"/>
    <x v="1"/>
    <m/>
    <m/>
    <m/>
    <x v="0"/>
    <m/>
    <m/>
    <m/>
    <s v="ton"/>
    <x v="3"/>
    <x v="2"/>
    <m/>
    <m/>
    <m/>
    <m/>
    <m/>
    <m/>
    <m/>
    <m/>
    <m/>
    <m/>
    <m/>
    <m/>
    <m/>
    <m/>
    <m/>
    <m/>
    <m/>
    <m/>
    <m/>
    <m/>
    <m/>
    <m/>
    <m/>
    <m/>
    <m/>
    <m/>
    <m/>
    <n v="2470"/>
    <n v="2470"/>
    <n v="2470"/>
    <m/>
    <m/>
    <m/>
    <m/>
    <m/>
    <m/>
    <m/>
    <m/>
    <m/>
    <m/>
    <m/>
    <m/>
    <m/>
    <m/>
    <m/>
    <m/>
    <m/>
    <m/>
    <x v="43"/>
    <x v="9"/>
    <x v="0"/>
    <n v="2.4700000000000002"/>
    <n v="14.573000000000002"/>
    <n v="0.14176320000000001"/>
    <n v="1.8944900000000005"/>
    <n v="0"/>
    <n v="9.1999999999999998E-2"/>
    <x v="43"/>
    <x v="46"/>
    <n v="105"/>
    <n v="120"/>
    <x v="3"/>
    <n v="-0.12386761725133155"/>
    <x v="47"/>
    <x v="48"/>
  </r>
  <r>
    <n v="13844"/>
    <x v="18"/>
    <x v="6"/>
    <x v="11"/>
    <s v="DP"/>
    <x v="6"/>
    <s v="DEKORPRINT BEIGE 756"/>
    <s v="beige"/>
    <n v="756"/>
    <m/>
    <s v="yes"/>
    <s v="BR"/>
    <x v="3"/>
    <x v="0"/>
    <m/>
    <n v="3"/>
    <s v="monthly"/>
    <x v="0"/>
    <n v="0.12"/>
    <s v="Sim"/>
    <n v="9.2499999999999999E-2"/>
    <s v="ton"/>
    <x v="2"/>
    <x v="0"/>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n v="20008"/>
    <n v="20008"/>
    <n v="20008"/>
    <m/>
    <m/>
    <m/>
    <x v="44"/>
    <x v="2"/>
    <x v="17"/>
    <n v="20.007999999999999"/>
    <n v="20.007999999999999"/>
    <n v="0"/>
    <n v="0"/>
    <n v="0"/>
    <n v="0.2"/>
    <x v="44"/>
    <x v="47"/>
    <n v="45"/>
    <n v="0"/>
    <x v="2"/>
    <n v="0.45638081117398954"/>
    <x v="48"/>
    <x v="49"/>
  </r>
  <r>
    <n v="14106"/>
    <x v="19"/>
    <x v="6"/>
    <x v="5"/>
    <s v="DP"/>
    <x v="7"/>
    <s v="KOEHLER 0104"/>
    <s v="white"/>
    <n v="32113"/>
    <m/>
    <m/>
    <s v="EU"/>
    <x v="4"/>
    <x v="0"/>
    <m/>
    <m/>
    <m/>
    <x v="2"/>
    <m/>
    <m/>
    <m/>
    <s v="ton"/>
    <x v="3"/>
    <x v="2"/>
    <n v="2570"/>
    <n v="2570"/>
    <n v="2570"/>
    <n v="2470"/>
    <n v="2470"/>
    <n v="2470"/>
    <n v="2250"/>
    <n v="2250"/>
    <n v="2250"/>
    <n v="2130"/>
    <n v="2130"/>
    <n v="2130"/>
    <n v="2130"/>
    <n v="2160"/>
    <n v="2160"/>
    <n v="2160"/>
    <n v="2280"/>
    <n v="2280"/>
    <n v="2280"/>
    <n v="2280"/>
    <n v="2280"/>
    <n v="2280"/>
    <n v="2220"/>
    <n v="2220"/>
    <n v="2180"/>
    <n v="2180"/>
    <n v="2180"/>
    <n v="2260"/>
    <n v="2260"/>
    <n v="2260"/>
    <n v="2260"/>
    <n v="2260"/>
    <n v="2260"/>
    <n v="2160"/>
    <n v="2160"/>
    <n v="2160"/>
    <n v="2160"/>
    <n v="2160"/>
    <n v="2160"/>
    <n v="2250"/>
    <n v="2250"/>
    <n v="2250"/>
    <n v="2330"/>
    <n v="2330"/>
    <n v="2330"/>
    <m/>
    <m/>
    <m/>
    <x v="45"/>
    <x v="2"/>
    <x v="18"/>
    <n v="2.33"/>
    <n v="13.747000000000002"/>
    <n v="0.14176320000000001"/>
    <n v="1.7871100000000002"/>
    <n v="-0.17699999999999999"/>
    <n v="9.1999999999999998E-2"/>
    <x v="45"/>
    <x v="48"/>
    <n v="105"/>
    <n v="120"/>
    <x v="3"/>
    <n v="-0.11563229962597354"/>
    <x v="49"/>
    <x v="50"/>
  </r>
  <r>
    <n v="14106"/>
    <x v="19"/>
    <x v="6"/>
    <x v="5"/>
    <s v="DP"/>
    <x v="7"/>
    <s v="KOEHLER 0104"/>
    <s v="white"/>
    <n v="32113"/>
    <m/>
    <m/>
    <s v="EU"/>
    <x v="4"/>
    <x v="0"/>
    <m/>
    <m/>
    <m/>
    <x v="2"/>
    <m/>
    <m/>
    <m/>
    <s v="ton"/>
    <x v="13"/>
    <x v="2"/>
    <n v="2510"/>
    <n v="2510"/>
    <n v="2510"/>
    <n v="2410"/>
    <n v="2410"/>
    <n v="2410"/>
    <n v="2190"/>
    <n v="2190"/>
    <n v="2190"/>
    <n v="2070"/>
    <n v="2070"/>
    <n v="2070"/>
    <n v="2070"/>
    <n v="2140"/>
    <n v="2140"/>
    <n v="2140"/>
    <n v="2220"/>
    <n v="2220"/>
    <n v="2220"/>
    <n v="2220"/>
    <n v="2220"/>
    <n v="2220"/>
    <n v="2160"/>
    <n v="2160"/>
    <n v="2120"/>
    <n v="2120"/>
    <n v="2120"/>
    <n v="2200"/>
    <n v="2200"/>
    <n v="2200"/>
    <n v="2200"/>
    <n v="2200"/>
    <n v="2200"/>
    <n v="2100"/>
    <n v="2100"/>
    <n v="2100"/>
    <n v="2100"/>
    <n v="2100"/>
    <n v="2100"/>
    <n v="2190"/>
    <n v="2190"/>
    <n v="2190"/>
    <n v="2270"/>
    <n v="2270"/>
    <n v="2270"/>
    <m/>
    <m/>
    <m/>
    <x v="46"/>
    <x v="2"/>
    <x v="19"/>
    <n v="2.27"/>
    <n v="13.393000000000001"/>
    <n v="0.14176320000000001"/>
    <n v="1.7410900000000002"/>
    <n v="-0.17699999999999999"/>
    <n v="9.1999999999999998E-2"/>
    <x v="46"/>
    <x v="49"/>
    <n v="105"/>
    <n v="120"/>
    <x v="3"/>
    <n v="-0.11266548488102579"/>
    <x v="50"/>
    <x v="51"/>
  </r>
  <r>
    <n v="14106"/>
    <x v="19"/>
    <x v="6"/>
    <x v="5"/>
    <s v="DP"/>
    <x v="7"/>
    <s v="KOEHLER 0104"/>
    <s v="white"/>
    <n v="32113"/>
    <m/>
    <m/>
    <s v="EU"/>
    <x v="4"/>
    <x v="0"/>
    <m/>
    <m/>
    <m/>
    <x v="2"/>
    <m/>
    <m/>
    <m/>
    <s v="ton"/>
    <x v="14"/>
    <x v="2"/>
    <n v="2520"/>
    <n v="2520"/>
    <n v="2520"/>
    <n v="2420"/>
    <n v="2420"/>
    <n v="2420"/>
    <n v="2200"/>
    <n v="2200"/>
    <n v="2200"/>
    <n v="2080"/>
    <n v="2080"/>
    <n v="2080"/>
    <n v="2080"/>
    <n v="2150"/>
    <n v="2150"/>
    <n v="2150"/>
    <n v="2230"/>
    <n v="2230"/>
    <n v="2230"/>
    <n v="2230"/>
    <n v="2230"/>
    <n v="2230"/>
    <n v="2170"/>
    <n v="2170"/>
    <n v="2130"/>
    <n v="2130"/>
    <n v="2130"/>
    <n v="2210"/>
    <n v="2210"/>
    <n v="2210"/>
    <n v="2210"/>
    <n v="2210"/>
    <n v="2210"/>
    <n v="2110"/>
    <n v="2110"/>
    <n v="2110"/>
    <n v="2110"/>
    <n v="2110"/>
    <n v="2110"/>
    <n v="2200"/>
    <n v="2200"/>
    <n v="2200"/>
    <n v="2280"/>
    <n v="2280"/>
    <n v="2280"/>
    <m/>
    <m/>
    <m/>
    <x v="47"/>
    <x v="2"/>
    <x v="20"/>
    <n v="2.2799999999999998"/>
    <n v="13.452"/>
    <n v="0.14176320000000001"/>
    <n v="1.7487600000000001"/>
    <n v="-0.17699999999999999"/>
    <n v="9.1999999999999998E-2"/>
    <x v="47"/>
    <x v="50"/>
    <n v="105"/>
    <n v="120"/>
    <x v="3"/>
    <n v="-0.11315995400518375"/>
    <x v="51"/>
    <x v="52"/>
  </r>
  <r>
    <n v="14106"/>
    <x v="19"/>
    <x v="6"/>
    <x v="5"/>
    <s v="DP"/>
    <x v="7"/>
    <s v="KOEHLER 0104"/>
    <s v="white"/>
    <n v="32113"/>
    <m/>
    <m/>
    <s v="EU"/>
    <x v="4"/>
    <x v="0"/>
    <m/>
    <m/>
    <m/>
    <x v="2"/>
    <m/>
    <m/>
    <m/>
    <s v="ton"/>
    <x v="15"/>
    <x v="2"/>
    <n v="2530"/>
    <n v="2530"/>
    <n v="2530"/>
    <n v="2430"/>
    <n v="2430"/>
    <n v="2430"/>
    <n v="2210"/>
    <n v="2210"/>
    <n v="2210"/>
    <n v="2090"/>
    <n v="2090"/>
    <n v="2090"/>
    <n v="2090"/>
    <n v="2160"/>
    <n v="2160"/>
    <n v="2160"/>
    <n v="2260"/>
    <n v="2260"/>
    <n v="2260"/>
    <n v="2260"/>
    <n v="2260"/>
    <n v="2260"/>
    <n v="2180"/>
    <n v="2180"/>
    <n v="2140"/>
    <n v="2140"/>
    <n v="2140"/>
    <n v="2220"/>
    <n v="2220"/>
    <n v="2220"/>
    <n v="2220"/>
    <n v="2220"/>
    <n v="2220"/>
    <n v="2120"/>
    <n v="2120"/>
    <n v="2120"/>
    <n v="2120"/>
    <n v="2120"/>
    <n v="2120"/>
    <n v="2210"/>
    <n v="2210"/>
    <n v="2210"/>
    <n v="2290"/>
    <n v="2290"/>
    <n v="2290"/>
    <m/>
    <m/>
    <m/>
    <x v="48"/>
    <x v="2"/>
    <x v="21"/>
    <n v="2.29"/>
    <n v="13.511000000000001"/>
    <n v="0.14176320000000001"/>
    <n v="1.7564300000000002"/>
    <n v="-0.17699999999999999"/>
    <n v="9.1999999999999998E-2"/>
    <x v="48"/>
    <x v="51"/>
    <n v="105"/>
    <n v="120"/>
    <x v="3"/>
    <n v="-0.11365442312934171"/>
    <x v="52"/>
    <x v="53"/>
  </r>
  <r>
    <n v="14106"/>
    <x v="19"/>
    <x v="6"/>
    <x v="5"/>
    <s v="DP"/>
    <x v="7"/>
    <s v="KOEHLER 0104"/>
    <s v="white"/>
    <n v="32113"/>
    <m/>
    <m/>
    <s v="EU"/>
    <x v="4"/>
    <x v="0"/>
    <m/>
    <m/>
    <m/>
    <x v="2"/>
    <m/>
    <m/>
    <m/>
    <s v="ton"/>
    <x v="4"/>
    <x v="2"/>
    <n v="2550"/>
    <n v="2550"/>
    <n v="2550"/>
    <n v="2450"/>
    <n v="2450"/>
    <n v="2450"/>
    <n v="2230"/>
    <n v="2230"/>
    <n v="2230"/>
    <n v="2110"/>
    <n v="2110"/>
    <n v="2110"/>
    <n v="2110"/>
    <n v="2180"/>
    <n v="2180"/>
    <n v="2180"/>
    <n v="2260"/>
    <n v="2260"/>
    <n v="2260"/>
    <n v="2260"/>
    <n v="2260"/>
    <n v="2260"/>
    <n v="2200"/>
    <n v="2200"/>
    <n v="2160"/>
    <n v="2160"/>
    <n v="2160"/>
    <n v="2240"/>
    <n v="2240"/>
    <n v="2240"/>
    <n v="2240"/>
    <n v="2240"/>
    <n v="2240"/>
    <n v="2140"/>
    <n v="2140"/>
    <n v="2140"/>
    <n v="2140"/>
    <n v="2140"/>
    <n v="2140"/>
    <n v="2230"/>
    <n v="2230"/>
    <n v="2230"/>
    <n v="2310"/>
    <n v="2310"/>
    <n v="2310"/>
    <m/>
    <m/>
    <m/>
    <x v="49"/>
    <x v="2"/>
    <x v="22"/>
    <n v="2.31"/>
    <n v="13.629000000000001"/>
    <n v="0.14176320000000001"/>
    <n v="1.7717700000000003"/>
    <n v="-0.17699999999999999"/>
    <n v="9.1999999999999998E-2"/>
    <x v="49"/>
    <x v="52"/>
    <n v="105"/>
    <n v="120"/>
    <x v="3"/>
    <n v="-0.11464336137765763"/>
    <x v="53"/>
    <x v="54"/>
  </r>
  <r>
    <n v="14106"/>
    <x v="19"/>
    <x v="6"/>
    <x v="5"/>
    <s v="DP"/>
    <x v="7"/>
    <s v="KOEHLER 0104"/>
    <s v="white"/>
    <n v="32113"/>
    <m/>
    <m/>
    <s v="EU"/>
    <x v="4"/>
    <x v="0"/>
    <m/>
    <m/>
    <m/>
    <x v="2"/>
    <m/>
    <m/>
    <m/>
    <s v="ton"/>
    <x v="16"/>
    <x v="2"/>
    <n v="2590"/>
    <n v="2590"/>
    <n v="2590"/>
    <n v="2490"/>
    <n v="2490"/>
    <n v="2490"/>
    <n v="2270"/>
    <n v="2270"/>
    <n v="2270"/>
    <n v="2150"/>
    <n v="2150"/>
    <n v="2150"/>
    <n v="2150"/>
    <n v="2220"/>
    <n v="2220"/>
    <n v="2220"/>
    <n v="2300"/>
    <n v="2300"/>
    <n v="2300"/>
    <n v="2300"/>
    <n v="2300"/>
    <n v="2300"/>
    <n v="2240"/>
    <n v="2240"/>
    <n v="2200"/>
    <n v="2200"/>
    <n v="2200"/>
    <n v="2280"/>
    <n v="2280"/>
    <n v="2280"/>
    <n v="2280"/>
    <n v="2280"/>
    <n v="2280"/>
    <n v="2180"/>
    <n v="2180"/>
    <n v="2180"/>
    <n v="2180"/>
    <n v="2180"/>
    <n v="2180"/>
    <n v="2270"/>
    <n v="2270"/>
    <n v="2270"/>
    <n v="2350"/>
    <n v="2350"/>
    <n v="2350"/>
    <m/>
    <m/>
    <m/>
    <x v="37"/>
    <x v="2"/>
    <x v="23"/>
    <n v="2.35"/>
    <n v="13.865000000000002"/>
    <n v="0.14176320000000001"/>
    <n v="1.8024500000000003"/>
    <n v="-0.17699999999999999"/>
    <n v="9.1999999999999998E-2"/>
    <x v="50"/>
    <x v="53"/>
    <n v="105"/>
    <n v="120"/>
    <x v="3"/>
    <n v="-0.11662123787429124"/>
    <x v="54"/>
    <x v="55"/>
  </r>
  <r>
    <n v="14106"/>
    <x v="19"/>
    <x v="6"/>
    <x v="5"/>
    <s v="DP"/>
    <x v="7"/>
    <s v="KOEHLER 0104"/>
    <s v="white"/>
    <n v="32113"/>
    <m/>
    <m/>
    <s v="EU"/>
    <x v="4"/>
    <x v="0"/>
    <m/>
    <m/>
    <m/>
    <x v="2"/>
    <m/>
    <m/>
    <m/>
    <s v="ton"/>
    <x v="2"/>
    <x v="2"/>
    <n v="2620"/>
    <n v="2620"/>
    <n v="2620"/>
    <n v="2520"/>
    <n v="2520"/>
    <n v="2520"/>
    <n v="2300"/>
    <n v="2300"/>
    <n v="2300"/>
    <n v="2180"/>
    <n v="2180"/>
    <n v="2180"/>
    <n v="2180"/>
    <n v="2250"/>
    <n v="2250"/>
    <n v="2250"/>
    <n v="2330"/>
    <n v="2330"/>
    <n v="2330"/>
    <n v="2330"/>
    <n v="2330"/>
    <n v="2330"/>
    <n v="2270"/>
    <n v="2270"/>
    <n v="2230"/>
    <n v="2230"/>
    <n v="2230"/>
    <n v="2310"/>
    <n v="2310"/>
    <n v="2310"/>
    <n v="2310"/>
    <n v="2310"/>
    <n v="2310"/>
    <n v="2210"/>
    <n v="2210"/>
    <n v="2210"/>
    <n v="2210"/>
    <n v="2210"/>
    <n v="2210"/>
    <n v="2300"/>
    <n v="2300"/>
    <n v="2300"/>
    <n v="2380"/>
    <n v="2380"/>
    <n v="2380"/>
    <m/>
    <m/>
    <m/>
    <x v="50"/>
    <x v="2"/>
    <x v="24"/>
    <n v="2.38"/>
    <n v="14.042"/>
    <n v="0.14176320000000001"/>
    <n v="1.8254600000000001"/>
    <n v="-0.17699999999999999"/>
    <n v="9.1999999999999998E-2"/>
    <x v="51"/>
    <x v="54"/>
    <n v="105"/>
    <n v="120"/>
    <x v="3"/>
    <n v="-0.11810464524676512"/>
    <x v="55"/>
    <x v="56"/>
  </r>
  <r>
    <n v="14106"/>
    <x v="19"/>
    <x v="6"/>
    <x v="5"/>
    <s v="DP"/>
    <x v="7"/>
    <s v="KOEHLER 0104"/>
    <s v="white"/>
    <n v="32113"/>
    <m/>
    <m/>
    <s v="EU"/>
    <x v="4"/>
    <x v="0"/>
    <m/>
    <m/>
    <m/>
    <x v="2"/>
    <m/>
    <m/>
    <m/>
    <s v="ton"/>
    <x v="11"/>
    <x v="2"/>
    <n v="2670"/>
    <n v="2670"/>
    <n v="2670"/>
    <n v="2570"/>
    <n v="2570"/>
    <n v="2570"/>
    <n v="2350"/>
    <n v="2350"/>
    <n v="2350"/>
    <n v="2230"/>
    <n v="2230"/>
    <n v="2230"/>
    <n v="2230"/>
    <n v="2300"/>
    <n v="2300"/>
    <n v="2300"/>
    <n v="2380"/>
    <n v="2380"/>
    <n v="2380"/>
    <n v="2380"/>
    <n v="2380"/>
    <n v="2380"/>
    <n v="2320"/>
    <n v="2320"/>
    <n v="2280"/>
    <n v="2280"/>
    <n v="2280"/>
    <n v="2360"/>
    <n v="2360"/>
    <n v="2360"/>
    <n v="2360"/>
    <n v="2360"/>
    <n v="2360"/>
    <n v="2260"/>
    <n v="2260"/>
    <n v="2260"/>
    <n v="2260"/>
    <n v="2260"/>
    <n v="2260"/>
    <n v="2350"/>
    <n v="2350"/>
    <n v="2350"/>
    <n v="2430"/>
    <n v="2430"/>
    <n v="2430"/>
    <m/>
    <m/>
    <m/>
    <x v="51"/>
    <x v="2"/>
    <x v="25"/>
    <n v="2.4300000000000002"/>
    <n v="14.337000000000002"/>
    <n v="0.14176320000000001"/>
    <n v="1.8638100000000002"/>
    <n v="-0.17699999999999999"/>
    <n v="9.1999999999999998E-2"/>
    <x v="52"/>
    <x v="55"/>
    <n v="105"/>
    <n v="120"/>
    <x v="3"/>
    <n v="-0.12057699086755491"/>
    <x v="56"/>
    <x v="57"/>
  </r>
  <r>
    <n v="14108"/>
    <x v="18"/>
    <x v="6"/>
    <x v="6"/>
    <s v="DP"/>
    <x v="7"/>
    <s v="KOEHLER 8269 ECO"/>
    <s v="beige"/>
    <n v="32102"/>
    <m/>
    <m/>
    <s v="EU"/>
    <x v="4"/>
    <x v="0"/>
    <m/>
    <m/>
    <m/>
    <x v="2"/>
    <m/>
    <m/>
    <m/>
    <s v="ton"/>
    <x v="3"/>
    <x v="2"/>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n v="2180"/>
    <n v="2180"/>
    <n v="2180"/>
    <m/>
    <m/>
    <m/>
    <x v="52"/>
    <x v="2"/>
    <x v="26"/>
    <n v="2.1800000000000002"/>
    <n v="12.862000000000002"/>
    <n v="0.14176320000000001"/>
    <n v="1.6720600000000003"/>
    <n v="-0.17699999999999999"/>
    <n v="9.1999999999999998E-2"/>
    <x v="53"/>
    <x v="56"/>
    <n v="105"/>
    <n v="120"/>
    <x v="3"/>
    <n v="-0.10821526276360238"/>
    <x v="57"/>
    <x v="58"/>
  </r>
  <r>
    <n v="14108"/>
    <x v="18"/>
    <x v="6"/>
    <x v="6"/>
    <s v="DP"/>
    <x v="7"/>
    <s v="KOEHLER 8269 ECO"/>
    <s v="beige"/>
    <n v="32102"/>
    <m/>
    <m/>
    <s v="EU"/>
    <x v="4"/>
    <x v="0"/>
    <m/>
    <m/>
    <m/>
    <x v="2"/>
    <m/>
    <m/>
    <m/>
    <s v="ton"/>
    <x v="16"/>
    <x v="2"/>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n v="2200"/>
    <n v="2200"/>
    <n v="2200"/>
    <m/>
    <m/>
    <m/>
    <x v="53"/>
    <x v="2"/>
    <x v="27"/>
    <n v="2.2000000000000002"/>
    <n v="12.980000000000002"/>
    <n v="0.14176320000000001"/>
    <n v="1.6874000000000002"/>
    <n v="-0.17699999999999999"/>
    <n v="9.1999999999999998E-2"/>
    <x v="54"/>
    <x v="57"/>
    <n v="105"/>
    <n v="120"/>
    <x v="3"/>
    <n v="-0.1092042010119183"/>
    <x v="58"/>
    <x v="59"/>
  </r>
  <r>
    <n v="14108"/>
    <x v="18"/>
    <x v="6"/>
    <x v="6"/>
    <s v="DP"/>
    <x v="7"/>
    <s v="KOEHLER 8269 ECO"/>
    <s v="beige"/>
    <n v="32102"/>
    <m/>
    <m/>
    <s v="EU"/>
    <x v="4"/>
    <x v="0"/>
    <m/>
    <m/>
    <m/>
    <x v="2"/>
    <m/>
    <m/>
    <m/>
    <s v="ton"/>
    <x v="2"/>
    <x v="2"/>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n v="2230"/>
    <n v="2230"/>
    <n v="2230"/>
    <m/>
    <m/>
    <m/>
    <x v="54"/>
    <x v="2"/>
    <x v="28"/>
    <n v="2.23"/>
    <n v="13.157"/>
    <n v="0.14176320000000001"/>
    <n v="1.71041"/>
    <n v="-0.17699999999999999"/>
    <n v="9.1999999999999998E-2"/>
    <x v="55"/>
    <x v="58"/>
    <n v="105"/>
    <n v="120"/>
    <x v="3"/>
    <n v="-0.11068760838439395"/>
    <x v="59"/>
    <x v="60"/>
  </r>
  <r>
    <n v="14108"/>
    <x v="18"/>
    <x v="6"/>
    <x v="6"/>
    <s v="DP"/>
    <x v="7"/>
    <s v="KOEHLER 8269 ECO"/>
    <s v="beige"/>
    <n v="32102"/>
    <m/>
    <m/>
    <s v="EU"/>
    <x v="4"/>
    <x v="0"/>
    <m/>
    <m/>
    <m/>
    <x v="2"/>
    <m/>
    <m/>
    <m/>
    <s v="ton"/>
    <x v="11"/>
    <x v="2"/>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n v="2280"/>
    <n v="2280"/>
    <n v="2280"/>
    <m/>
    <m/>
    <m/>
    <x v="47"/>
    <x v="2"/>
    <x v="29"/>
    <n v="2.2799999999999998"/>
    <n v="13.452"/>
    <n v="0.14176320000000001"/>
    <n v="1.7487600000000001"/>
    <n v="-0.17699999999999999"/>
    <n v="9.1999999999999998E-2"/>
    <x v="47"/>
    <x v="50"/>
    <n v="105"/>
    <n v="120"/>
    <x v="3"/>
    <n v="-0.11315995400518375"/>
    <x v="51"/>
    <x v="52"/>
  </r>
  <r>
    <n v="14113"/>
    <x v="20"/>
    <x v="8"/>
    <x v="6"/>
    <s v="DP"/>
    <x v="7"/>
    <s v="KOEHLER 8291 LOP"/>
    <s v="white"/>
    <n v="32126"/>
    <m/>
    <m/>
    <s v="EU"/>
    <x v="4"/>
    <x v="0"/>
    <m/>
    <m/>
    <m/>
    <x v="2"/>
    <m/>
    <m/>
    <m/>
    <s v="ton"/>
    <x v="3"/>
    <x v="2"/>
    <n v="2260"/>
    <n v="2260"/>
    <n v="2260"/>
    <n v="2140"/>
    <n v="2140"/>
    <n v="2140"/>
    <n v="1920"/>
    <n v="1920"/>
    <n v="1920"/>
    <n v="1800"/>
    <n v="1800"/>
    <n v="1800"/>
    <n v="1800"/>
    <n v="1850"/>
    <n v="1850"/>
    <n v="1850"/>
    <n v="1970"/>
    <n v="1970"/>
    <n v="1970"/>
    <n v="1970"/>
    <n v="1970"/>
    <n v="1970"/>
    <n v="1910"/>
    <n v="1910"/>
    <n v="1850"/>
    <n v="1850"/>
    <n v="1850"/>
    <n v="1930"/>
    <n v="1930"/>
    <n v="1930"/>
    <n v="1930"/>
    <n v="1930"/>
    <n v="1930"/>
    <n v="1830"/>
    <n v="1830"/>
    <n v="1830"/>
    <n v="1830"/>
    <n v="1830"/>
    <n v="1830"/>
    <n v="1920"/>
    <n v="1920"/>
    <n v="1920"/>
    <n v="2000"/>
    <n v="2000"/>
    <n v="2000"/>
    <m/>
    <m/>
    <m/>
    <x v="55"/>
    <x v="2"/>
    <x v="30"/>
    <n v="2"/>
    <n v="11.8"/>
    <n v="0.14176320000000001"/>
    <n v="1.5340000000000003"/>
    <n v="-0.17699999999999999"/>
    <n v="9.1999999999999998E-2"/>
    <x v="56"/>
    <x v="59"/>
    <n v="105"/>
    <n v="120"/>
    <x v="3"/>
    <n v="-9.9314818528757343E-2"/>
    <x v="60"/>
    <x v="61"/>
  </r>
  <r>
    <n v="14113"/>
    <x v="20"/>
    <x v="8"/>
    <x v="6"/>
    <s v="DP"/>
    <x v="7"/>
    <s v="KOEHLER 8291 LOP"/>
    <s v="white"/>
    <n v="32126"/>
    <m/>
    <m/>
    <s v="EU"/>
    <x v="4"/>
    <x v="0"/>
    <m/>
    <m/>
    <m/>
    <x v="2"/>
    <m/>
    <m/>
    <m/>
    <s v="ton"/>
    <x v="16"/>
    <x v="2"/>
    <n v="2280"/>
    <n v="2280"/>
    <n v="2280"/>
    <n v="2160"/>
    <n v="2160"/>
    <n v="2160"/>
    <n v="1940"/>
    <n v="1940"/>
    <n v="1940"/>
    <n v="1820"/>
    <n v="1820"/>
    <n v="1820"/>
    <n v="1820"/>
    <n v="1910"/>
    <n v="1910"/>
    <n v="1910"/>
    <n v="1990"/>
    <n v="1990"/>
    <n v="1990"/>
    <n v="1990"/>
    <n v="1990"/>
    <n v="1990"/>
    <n v="1930"/>
    <n v="1930"/>
    <n v="1870"/>
    <n v="1870"/>
    <n v="1870"/>
    <n v="1950"/>
    <n v="1950"/>
    <n v="1950"/>
    <n v="1950"/>
    <n v="1950"/>
    <n v="1950"/>
    <n v="1850"/>
    <n v="1850"/>
    <n v="1850"/>
    <n v="1850"/>
    <n v="1850"/>
    <n v="1850"/>
    <n v="1940"/>
    <n v="1940"/>
    <n v="1940"/>
    <n v="2020"/>
    <n v="2020"/>
    <n v="2020"/>
    <m/>
    <m/>
    <m/>
    <x v="56"/>
    <x v="2"/>
    <x v="31"/>
    <n v="2.02"/>
    <n v="11.918000000000001"/>
    <n v="0.14176320000000001"/>
    <n v="1.5493400000000002"/>
    <n v="-0.17699999999999999"/>
    <n v="9.1999999999999998E-2"/>
    <x v="57"/>
    <x v="60"/>
    <n v="105"/>
    <n v="120"/>
    <x v="3"/>
    <n v="-0.10030375677707326"/>
    <x v="61"/>
    <x v="62"/>
  </r>
  <r>
    <n v="14113"/>
    <x v="20"/>
    <x v="8"/>
    <x v="6"/>
    <s v="DP"/>
    <x v="7"/>
    <s v="KOEHLER 8291 LOP"/>
    <s v="white"/>
    <n v="32126"/>
    <m/>
    <m/>
    <s v="EU"/>
    <x v="4"/>
    <x v="0"/>
    <m/>
    <m/>
    <m/>
    <x v="2"/>
    <m/>
    <m/>
    <m/>
    <s v="ton"/>
    <x v="2"/>
    <x v="2"/>
    <n v="2310"/>
    <n v="2310"/>
    <n v="2310"/>
    <n v="2190"/>
    <n v="2190"/>
    <n v="2190"/>
    <n v="1970"/>
    <n v="1970"/>
    <n v="1970"/>
    <n v="1850"/>
    <n v="1850"/>
    <n v="1850"/>
    <n v="1850"/>
    <n v="1940"/>
    <n v="1940"/>
    <n v="1940"/>
    <n v="2020"/>
    <n v="2020"/>
    <n v="2020"/>
    <n v="2020"/>
    <n v="2020"/>
    <n v="2020"/>
    <n v="1960"/>
    <n v="1960"/>
    <n v="1900"/>
    <n v="1900"/>
    <n v="1900"/>
    <n v="1980"/>
    <n v="1980"/>
    <n v="1980"/>
    <n v="1980"/>
    <n v="1980"/>
    <n v="1980"/>
    <n v="1880"/>
    <n v="1880"/>
    <n v="1880"/>
    <n v="1880"/>
    <n v="1880"/>
    <n v="1880"/>
    <n v="1970"/>
    <n v="1970"/>
    <n v="1970"/>
    <n v="2050"/>
    <n v="2050"/>
    <n v="2050"/>
    <m/>
    <m/>
    <m/>
    <x v="36"/>
    <x v="2"/>
    <x v="32"/>
    <n v="2.0499999999999998"/>
    <n v="12.094999999999999"/>
    <n v="0.14176320000000001"/>
    <n v="1.5723499999999999"/>
    <n v="-0.17699999999999999"/>
    <n v="9.1999999999999998E-2"/>
    <x v="58"/>
    <x v="61"/>
    <n v="105"/>
    <n v="120"/>
    <x v="3"/>
    <n v="-0.10178716414954714"/>
    <x v="62"/>
    <x v="63"/>
  </r>
  <r>
    <n v="14113"/>
    <x v="20"/>
    <x v="8"/>
    <x v="6"/>
    <s v="DP"/>
    <x v="7"/>
    <s v="KOEHLER 8291 LOP"/>
    <s v="white"/>
    <n v="32126"/>
    <m/>
    <m/>
    <s v="EU"/>
    <x v="4"/>
    <x v="0"/>
    <m/>
    <m/>
    <m/>
    <x v="2"/>
    <m/>
    <m/>
    <m/>
    <s v="ton"/>
    <x v="11"/>
    <x v="2"/>
    <n v="2360"/>
    <n v="2360"/>
    <n v="2360"/>
    <n v="2240"/>
    <n v="2240"/>
    <n v="2240"/>
    <n v="2020"/>
    <n v="2020"/>
    <n v="2020"/>
    <n v="1900"/>
    <n v="1900"/>
    <n v="1900"/>
    <n v="1900"/>
    <n v="1990"/>
    <n v="1990"/>
    <n v="1990"/>
    <n v="2070"/>
    <n v="2070"/>
    <n v="2070"/>
    <n v="2070"/>
    <n v="2070"/>
    <n v="2070"/>
    <n v="2010"/>
    <n v="2010"/>
    <n v="1950"/>
    <n v="1950"/>
    <n v="1950"/>
    <n v="2030"/>
    <n v="2030"/>
    <n v="2030"/>
    <n v="2030"/>
    <n v="2030"/>
    <n v="2030"/>
    <n v="1930"/>
    <n v="1930"/>
    <n v="1930"/>
    <n v="1930"/>
    <n v="1930"/>
    <n v="1930"/>
    <n v="2020"/>
    <n v="2020"/>
    <n v="2020"/>
    <n v="2100"/>
    <n v="2100"/>
    <n v="2100"/>
    <m/>
    <m/>
    <m/>
    <x v="57"/>
    <x v="2"/>
    <x v="33"/>
    <n v="2.1"/>
    <n v="12.39"/>
    <n v="0.14176320000000001"/>
    <n v="1.6107"/>
    <n v="-0.17699999999999999"/>
    <n v="9.1999999999999998E-2"/>
    <x v="59"/>
    <x v="62"/>
    <n v="105"/>
    <n v="120"/>
    <x v="3"/>
    <n v="-0.10425950977033871"/>
    <x v="63"/>
    <x v="64"/>
  </r>
  <r>
    <n v="14120"/>
    <x v="14"/>
    <x v="6"/>
    <x v="6"/>
    <s v="DP"/>
    <x v="7"/>
    <s v="KOEHLER 0483"/>
    <s v="gray"/>
    <n v="32165"/>
    <m/>
    <m/>
    <s v="EU"/>
    <x v="4"/>
    <x v="0"/>
    <m/>
    <m/>
    <m/>
    <x v="2"/>
    <m/>
    <m/>
    <m/>
    <s v="ton"/>
    <x v="15"/>
    <x v="2"/>
    <n v="2280"/>
    <n v="2280"/>
    <n v="2280"/>
    <n v="2180"/>
    <n v="2180"/>
    <n v="2180"/>
    <n v="1890"/>
    <n v="1890"/>
    <n v="1890"/>
    <n v="1860"/>
    <n v="1860"/>
    <n v="1860"/>
    <n v="1860"/>
    <n v="1890"/>
    <n v="1890"/>
    <n v="1890"/>
    <n v="1940"/>
    <n v="1940"/>
    <n v="1940"/>
    <n v="1940"/>
    <n v="1940"/>
    <n v="1940"/>
    <n v="1870"/>
    <n v="1870"/>
    <n v="1830"/>
    <n v="1830"/>
    <n v="1830"/>
    <n v="1910"/>
    <n v="1910"/>
    <n v="1910"/>
    <n v="1910"/>
    <n v="1910"/>
    <n v="1910"/>
    <n v="1810"/>
    <n v="1810"/>
    <n v="1810"/>
    <n v="1810"/>
    <n v="1810"/>
    <n v="1810"/>
    <n v="1890"/>
    <n v="1890"/>
    <n v="1770"/>
    <n v="1730"/>
    <n v="1730"/>
    <n v="1730"/>
    <m/>
    <m/>
    <m/>
    <x v="58"/>
    <x v="2"/>
    <x v="34"/>
    <n v="1.73"/>
    <n v="10.207000000000001"/>
    <n v="0.14176320000000001"/>
    <n v="1.32691"/>
    <n v="-0.17699999999999999"/>
    <n v="9.1999999999999998E-2"/>
    <x v="60"/>
    <x v="63"/>
    <n v="105"/>
    <n v="120"/>
    <x v="3"/>
    <n v="-8.5964152176488895E-2"/>
    <x v="64"/>
    <x v="65"/>
  </r>
  <r>
    <n v="14123"/>
    <x v="21"/>
    <x v="6"/>
    <x v="12"/>
    <s v="DP"/>
    <x v="7"/>
    <s v="KOEHLER 1410"/>
    <s v="brown"/>
    <m/>
    <m/>
    <m/>
    <s v="EU"/>
    <x v="4"/>
    <x v="0"/>
    <m/>
    <m/>
    <m/>
    <x v="2"/>
    <m/>
    <m/>
    <m/>
    <s v="ton"/>
    <x v="3"/>
    <x v="2"/>
    <m/>
    <m/>
    <m/>
    <m/>
    <m/>
    <m/>
    <m/>
    <m/>
    <n v="2410"/>
    <n v="2410"/>
    <n v="2410"/>
    <n v="2410"/>
    <m/>
    <m/>
    <m/>
    <m/>
    <m/>
    <m/>
    <m/>
    <m/>
    <m/>
    <m/>
    <m/>
    <m/>
    <m/>
    <m/>
    <m/>
    <m/>
    <m/>
    <m/>
    <m/>
    <m/>
    <m/>
    <m/>
    <m/>
    <m/>
    <m/>
    <m/>
    <m/>
    <m/>
    <m/>
    <m/>
    <m/>
    <m/>
    <m/>
    <m/>
    <m/>
    <m/>
    <x v="59"/>
    <x v="12"/>
    <x v="0"/>
    <n v="2.41"/>
    <n v="14.219000000000001"/>
    <n v="0.14176320000000001"/>
    <n v="1.8484700000000003"/>
    <n v="-0.17699999999999999"/>
    <n v="9.1999999999999998E-2"/>
    <x v="61"/>
    <x v="64"/>
    <n v="105"/>
    <n v="120"/>
    <x v="3"/>
    <n v="-0.11958805261923899"/>
    <x v="65"/>
    <x v="66"/>
  </r>
  <r>
    <n v="14125"/>
    <x v="22"/>
    <x v="6"/>
    <x v="6"/>
    <s v="DP"/>
    <x v="7"/>
    <s v="KOEHLER 1430"/>
    <s v="brown"/>
    <m/>
    <m/>
    <m/>
    <s v="EU"/>
    <x v="4"/>
    <x v="0"/>
    <m/>
    <m/>
    <m/>
    <x v="2"/>
    <m/>
    <m/>
    <m/>
    <s v="ton"/>
    <x v="3"/>
    <x v="2"/>
    <m/>
    <m/>
    <m/>
    <m/>
    <m/>
    <m/>
    <m/>
    <m/>
    <n v="2410"/>
    <n v="2410"/>
    <n v="2410"/>
    <n v="2410"/>
    <m/>
    <m/>
    <m/>
    <m/>
    <m/>
    <m/>
    <m/>
    <m/>
    <m/>
    <m/>
    <m/>
    <m/>
    <m/>
    <m/>
    <m/>
    <m/>
    <m/>
    <m/>
    <m/>
    <m/>
    <m/>
    <m/>
    <m/>
    <m/>
    <m/>
    <m/>
    <m/>
    <m/>
    <m/>
    <m/>
    <m/>
    <m/>
    <m/>
    <m/>
    <m/>
    <m/>
    <x v="59"/>
    <x v="12"/>
    <x v="0"/>
    <n v="2.41"/>
    <n v="14.219000000000001"/>
    <n v="0.14176320000000001"/>
    <n v="1.8484700000000003"/>
    <n v="-0.17699999999999999"/>
    <n v="9.1999999999999998E-2"/>
    <x v="61"/>
    <x v="64"/>
    <n v="105"/>
    <n v="120"/>
    <x v="3"/>
    <n v="-0.11958805261923899"/>
    <x v="65"/>
    <x v="66"/>
  </r>
  <r>
    <n v="14127"/>
    <x v="23"/>
    <x v="3"/>
    <x v="6"/>
    <s v="DP"/>
    <x v="7"/>
    <s v="KOEHLER 8292 LOP"/>
    <s v="beige"/>
    <n v="32129"/>
    <m/>
    <m/>
    <s v="EU"/>
    <x v="4"/>
    <x v="0"/>
    <m/>
    <m/>
    <m/>
    <x v="2"/>
    <m/>
    <m/>
    <m/>
    <s v="ton"/>
    <x v="3"/>
    <x v="2"/>
    <n v="2170"/>
    <n v="2170"/>
    <n v="2170"/>
    <n v="2080"/>
    <n v="2080"/>
    <n v="2080"/>
    <n v="1870"/>
    <n v="1870"/>
    <n v="1870"/>
    <n v="1760"/>
    <n v="1760"/>
    <n v="1760"/>
    <n v="1760"/>
    <n v="1790"/>
    <n v="1790"/>
    <n v="1790"/>
    <n v="1870"/>
    <n v="1870"/>
    <n v="1870"/>
    <n v="1870"/>
    <n v="1870"/>
    <n v="1870"/>
    <n v="1800"/>
    <n v="1800"/>
    <n v="1740"/>
    <n v="1740"/>
    <n v="1740"/>
    <n v="1820"/>
    <n v="1820"/>
    <n v="1820"/>
    <n v="1820"/>
    <n v="1820"/>
    <n v="1820"/>
    <n v="1720"/>
    <n v="1720"/>
    <n v="1720"/>
    <n v="1720"/>
    <n v="1720"/>
    <n v="1720"/>
    <n v="1800"/>
    <n v="1800"/>
    <n v="1800"/>
    <n v="1880"/>
    <n v="1880"/>
    <n v="1880"/>
    <m/>
    <m/>
    <m/>
    <x v="60"/>
    <x v="2"/>
    <x v="35"/>
    <n v="1.88"/>
    <n v="11.092000000000001"/>
    <n v="0.14176320000000001"/>
    <n v="1.4419600000000001"/>
    <n v="-0.17699999999999999"/>
    <n v="9.1999999999999998E-2"/>
    <x v="62"/>
    <x v="65"/>
    <n v="105"/>
    <n v="120"/>
    <x v="3"/>
    <n v="-9.3381189038860057E-2"/>
    <x v="66"/>
    <x v="67"/>
  </r>
  <r>
    <n v="14127"/>
    <x v="23"/>
    <x v="3"/>
    <x v="6"/>
    <s v="DP"/>
    <x v="7"/>
    <s v="KOEHLER 8292 LOP"/>
    <s v="beige"/>
    <n v="32129"/>
    <m/>
    <m/>
    <s v="EU"/>
    <x v="4"/>
    <x v="0"/>
    <m/>
    <m/>
    <m/>
    <x v="2"/>
    <m/>
    <m/>
    <m/>
    <s v="ton"/>
    <x v="16"/>
    <x v="2"/>
    <n v="2190"/>
    <n v="2190"/>
    <n v="2190"/>
    <n v="2100"/>
    <n v="2100"/>
    <n v="2100"/>
    <n v="1890"/>
    <n v="1890"/>
    <n v="1890"/>
    <n v="1780"/>
    <n v="1780"/>
    <n v="1780"/>
    <n v="1780"/>
    <n v="1850"/>
    <n v="1850"/>
    <n v="1850"/>
    <n v="1890"/>
    <n v="1890"/>
    <n v="1890"/>
    <n v="1890"/>
    <n v="1890"/>
    <n v="1890"/>
    <n v="1820"/>
    <n v="1820"/>
    <n v="1760"/>
    <n v="1760"/>
    <n v="1760"/>
    <n v="1840"/>
    <n v="1840"/>
    <n v="1840"/>
    <n v="1840"/>
    <n v="1840"/>
    <n v="1840"/>
    <n v="1740"/>
    <n v="1740"/>
    <n v="1740"/>
    <n v="1740"/>
    <n v="1740"/>
    <n v="1740"/>
    <n v="1820"/>
    <n v="1820"/>
    <n v="1820"/>
    <n v="1900"/>
    <n v="1900"/>
    <n v="1900"/>
    <m/>
    <m/>
    <m/>
    <x v="35"/>
    <x v="2"/>
    <x v="36"/>
    <n v="1.9"/>
    <n v="11.21"/>
    <n v="0.14176320000000001"/>
    <n v="1.4573000000000003"/>
    <n v="-0.17699999999999999"/>
    <n v="9.1999999999999998E-2"/>
    <x v="63"/>
    <x v="66"/>
    <n v="105"/>
    <n v="120"/>
    <x v="3"/>
    <n v="-9.4370127287175976E-2"/>
    <x v="67"/>
    <x v="68"/>
  </r>
  <r>
    <n v="14127"/>
    <x v="23"/>
    <x v="3"/>
    <x v="6"/>
    <s v="DP"/>
    <x v="7"/>
    <s v="KOEHLER 8292 LOP"/>
    <s v="beige"/>
    <n v="32129"/>
    <m/>
    <m/>
    <s v="EU"/>
    <x v="4"/>
    <x v="0"/>
    <m/>
    <m/>
    <m/>
    <x v="2"/>
    <m/>
    <m/>
    <m/>
    <s v="ton"/>
    <x v="2"/>
    <x v="2"/>
    <n v="2220"/>
    <n v="2220"/>
    <n v="2220"/>
    <n v="2130"/>
    <n v="2130"/>
    <n v="2130"/>
    <n v="1920"/>
    <n v="1920"/>
    <n v="1920"/>
    <n v="1810"/>
    <n v="1810"/>
    <n v="1810"/>
    <n v="1810"/>
    <n v="1880"/>
    <n v="1880"/>
    <n v="1880"/>
    <n v="1920"/>
    <n v="1920"/>
    <n v="1920"/>
    <n v="1920"/>
    <n v="1920"/>
    <n v="1920"/>
    <n v="1850"/>
    <n v="1850"/>
    <n v="1790"/>
    <n v="1790"/>
    <n v="1790"/>
    <n v="1870"/>
    <n v="1870"/>
    <n v="1870"/>
    <n v="1870"/>
    <n v="1870"/>
    <n v="1870"/>
    <n v="1770"/>
    <n v="1770"/>
    <n v="1770"/>
    <n v="1770"/>
    <n v="1770"/>
    <n v="1770"/>
    <n v="1850"/>
    <n v="1850"/>
    <n v="1850"/>
    <n v="1930"/>
    <n v="1930"/>
    <n v="1930"/>
    <m/>
    <m/>
    <m/>
    <x v="61"/>
    <x v="2"/>
    <x v="37"/>
    <n v="1.93"/>
    <n v="11.387"/>
    <n v="0.14176320000000001"/>
    <n v="1.48031"/>
    <n v="-0.17699999999999999"/>
    <n v="9.1999999999999998E-2"/>
    <x v="64"/>
    <x v="67"/>
    <n v="105"/>
    <n v="120"/>
    <x v="3"/>
    <n v="-9.5853534659651629E-2"/>
    <x v="68"/>
    <x v="69"/>
  </r>
  <r>
    <n v="14127"/>
    <x v="23"/>
    <x v="3"/>
    <x v="6"/>
    <s v="DP"/>
    <x v="7"/>
    <s v="KOEHLER 8292 LOP"/>
    <s v="beige"/>
    <n v="32129"/>
    <m/>
    <m/>
    <s v="EU"/>
    <x v="4"/>
    <x v="0"/>
    <m/>
    <m/>
    <m/>
    <x v="2"/>
    <m/>
    <m/>
    <m/>
    <s v="ton"/>
    <x v="11"/>
    <x v="2"/>
    <n v="2270"/>
    <n v="2270"/>
    <n v="2270"/>
    <n v="2180"/>
    <n v="2180"/>
    <n v="2180"/>
    <n v="1970"/>
    <n v="1970"/>
    <n v="1970"/>
    <n v="1860"/>
    <n v="1860"/>
    <n v="1860"/>
    <n v="1860"/>
    <n v="1930"/>
    <n v="1930"/>
    <n v="1930"/>
    <n v="1970"/>
    <n v="1970"/>
    <n v="1970"/>
    <n v="1970"/>
    <n v="1970"/>
    <n v="1970"/>
    <n v="1900"/>
    <n v="1900"/>
    <n v="1840"/>
    <n v="1840"/>
    <n v="1840"/>
    <n v="1920"/>
    <n v="1920"/>
    <n v="1920"/>
    <n v="1920"/>
    <n v="1920"/>
    <n v="1920"/>
    <n v="1820"/>
    <n v="1820"/>
    <n v="1820"/>
    <n v="1820"/>
    <n v="1820"/>
    <n v="1820"/>
    <n v="1900"/>
    <n v="1900"/>
    <n v="1900"/>
    <n v="1980"/>
    <n v="1980"/>
    <n v="1980"/>
    <m/>
    <m/>
    <m/>
    <x v="62"/>
    <x v="2"/>
    <x v="38"/>
    <n v="1.98"/>
    <n v="11.682"/>
    <n v="0.14176320000000001"/>
    <n v="1.5186600000000001"/>
    <n v="-0.17699999999999999"/>
    <n v="9.1999999999999998E-2"/>
    <x v="65"/>
    <x v="68"/>
    <n v="105"/>
    <n v="120"/>
    <x v="3"/>
    <n v="-9.8325880280441424E-2"/>
    <x v="69"/>
    <x v="70"/>
  </r>
  <r>
    <n v="14134"/>
    <x v="18"/>
    <x v="6"/>
    <x v="5"/>
    <s v="DP"/>
    <x v="7"/>
    <s v="KOEHLER 8269 ECO"/>
    <s v="beige"/>
    <n v="32102"/>
    <m/>
    <m/>
    <s v="EU"/>
    <x v="4"/>
    <x v="0"/>
    <m/>
    <m/>
    <m/>
    <x v="2"/>
    <m/>
    <m/>
    <m/>
    <s v="ton"/>
    <x v="3"/>
    <x v="2"/>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n v="2180"/>
    <n v="2180"/>
    <n v="2180"/>
    <m/>
    <m/>
    <m/>
    <x v="52"/>
    <x v="2"/>
    <x v="26"/>
    <n v="2.1800000000000002"/>
    <n v="12.862000000000002"/>
    <n v="0.14176320000000001"/>
    <n v="1.6720600000000003"/>
    <n v="-0.17699999999999999"/>
    <n v="9.1999999999999998E-2"/>
    <x v="53"/>
    <x v="56"/>
    <n v="105"/>
    <n v="120"/>
    <x v="3"/>
    <n v="-0.10821526276360238"/>
    <x v="57"/>
    <x v="58"/>
  </r>
  <r>
    <n v="14134"/>
    <x v="18"/>
    <x v="6"/>
    <x v="5"/>
    <s v="DP"/>
    <x v="7"/>
    <s v="KOEHLER 8269 ECO"/>
    <s v="beige"/>
    <n v="32102"/>
    <m/>
    <m/>
    <s v="EU"/>
    <x v="4"/>
    <x v="0"/>
    <m/>
    <m/>
    <m/>
    <x v="2"/>
    <m/>
    <m/>
    <m/>
    <s v="ton"/>
    <x v="16"/>
    <x v="2"/>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n v="2200"/>
    <n v="2200"/>
    <n v="2200"/>
    <m/>
    <m/>
    <m/>
    <x v="53"/>
    <x v="2"/>
    <x v="27"/>
    <n v="2.2000000000000002"/>
    <n v="12.980000000000002"/>
    <n v="0.14176320000000001"/>
    <n v="1.6874000000000002"/>
    <n v="-0.17699999999999999"/>
    <n v="9.1999999999999998E-2"/>
    <x v="54"/>
    <x v="57"/>
    <n v="105"/>
    <n v="120"/>
    <x v="3"/>
    <n v="-0.1092042010119183"/>
    <x v="58"/>
    <x v="59"/>
  </r>
  <r>
    <n v="14134"/>
    <x v="18"/>
    <x v="6"/>
    <x v="5"/>
    <s v="DP"/>
    <x v="7"/>
    <s v="KOEHLER 8269 ECO"/>
    <s v="beige"/>
    <n v="32102"/>
    <m/>
    <m/>
    <s v="EU"/>
    <x v="4"/>
    <x v="0"/>
    <m/>
    <m/>
    <m/>
    <x v="2"/>
    <m/>
    <m/>
    <m/>
    <s v="ton"/>
    <x v="2"/>
    <x v="2"/>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n v="2230"/>
    <n v="2230"/>
    <n v="2230"/>
    <m/>
    <m/>
    <m/>
    <x v="54"/>
    <x v="2"/>
    <x v="28"/>
    <n v="2.23"/>
    <n v="13.157"/>
    <n v="0.14176320000000001"/>
    <n v="1.71041"/>
    <n v="-0.17699999999999999"/>
    <n v="9.1999999999999998E-2"/>
    <x v="55"/>
    <x v="58"/>
    <n v="105"/>
    <n v="120"/>
    <x v="3"/>
    <n v="-0.11068760838439395"/>
    <x v="59"/>
    <x v="60"/>
  </r>
  <r>
    <n v="14134"/>
    <x v="18"/>
    <x v="6"/>
    <x v="5"/>
    <s v="DP"/>
    <x v="7"/>
    <s v="KOEHLER 8269 ECO"/>
    <s v="beige"/>
    <n v="32102"/>
    <m/>
    <m/>
    <s v="EU"/>
    <x v="4"/>
    <x v="0"/>
    <m/>
    <m/>
    <m/>
    <x v="2"/>
    <m/>
    <m/>
    <m/>
    <s v="ton"/>
    <x v="11"/>
    <x v="2"/>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n v="2280"/>
    <n v="2280"/>
    <n v="2280"/>
    <m/>
    <m/>
    <m/>
    <x v="47"/>
    <x v="2"/>
    <x v="29"/>
    <n v="2.2799999999999998"/>
    <n v="13.452"/>
    <n v="0.14176320000000001"/>
    <n v="1.7487600000000001"/>
    <n v="-0.17699999999999999"/>
    <n v="9.1999999999999998E-2"/>
    <x v="47"/>
    <x v="50"/>
    <n v="105"/>
    <n v="120"/>
    <x v="3"/>
    <n v="-0.11315995400518375"/>
    <x v="51"/>
    <x v="52"/>
  </r>
  <r>
    <n v="14137"/>
    <x v="24"/>
    <x v="6"/>
    <x v="5"/>
    <s v="DP"/>
    <x v="7"/>
    <s v="KOEHLER 8269 F ECO"/>
    <s v="beige"/>
    <n v="32102"/>
    <m/>
    <m/>
    <s v="EU"/>
    <x v="4"/>
    <x v="0"/>
    <m/>
    <m/>
    <m/>
    <x v="2"/>
    <m/>
    <m/>
    <m/>
    <s v="ton"/>
    <x v="3"/>
    <x v="2"/>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m/>
    <m/>
    <m/>
    <m/>
    <m/>
    <m/>
    <m/>
    <m/>
    <m/>
    <x v="56"/>
    <x v="14"/>
    <x v="12"/>
    <n v="2.02"/>
    <n v="11.918000000000001"/>
    <n v="0.14176320000000001"/>
    <n v="1.5493400000000002"/>
    <n v="-0.17699999999999999"/>
    <n v="9.1999999999999998E-2"/>
    <x v="57"/>
    <x v="69"/>
    <n v="105"/>
    <n v="120"/>
    <x v="3"/>
    <n v="-0.10030375677707326"/>
    <x v="61"/>
    <x v="71"/>
  </r>
  <r>
    <n v="14137"/>
    <x v="24"/>
    <x v="6"/>
    <x v="5"/>
    <s v="DP"/>
    <x v="7"/>
    <s v="KOEHLER 8269 F ECO"/>
    <s v="beige"/>
    <n v="32102"/>
    <m/>
    <m/>
    <s v="EU"/>
    <x v="4"/>
    <x v="0"/>
    <m/>
    <m/>
    <m/>
    <x v="2"/>
    <m/>
    <m/>
    <m/>
    <s v="ton"/>
    <x v="16"/>
    <x v="2"/>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m/>
    <m/>
    <m/>
    <m/>
    <m/>
    <m/>
    <m/>
    <m/>
    <m/>
    <x v="63"/>
    <x v="14"/>
    <x v="12"/>
    <n v="2.04"/>
    <n v="12.036000000000001"/>
    <n v="0.14176320000000001"/>
    <n v="1.5646800000000003"/>
    <n v="-0.17699999999999999"/>
    <n v="9.1999999999999998E-2"/>
    <x v="66"/>
    <x v="70"/>
    <n v="105"/>
    <n v="120"/>
    <x v="3"/>
    <n v="-0.10129269502538918"/>
    <x v="70"/>
    <x v="72"/>
  </r>
  <r>
    <n v="14137"/>
    <x v="24"/>
    <x v="6"/>
    <x v="5"/>
    <s v="DP"/>
    <x v="7"/>
    <s v="KOEHLER 8269 F ECO"/>
    <s v="beige"/>
    <n v="32102"/>
    <m/>
    <m/>
    <s v="EU"/>
    <x v="4"/>
    <x v="0"/>
    <m/>
    <m/>
    <m/>
    <x v="2"/>
    <m/>
    <m/>
    <m/>
    <s v="ton"/>
    <x v="2"/>
    <x v="2"/>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m/>
    <m/>
    <m/>
    <m/>
    <m/>
    <m/>
    <m/>
    <m/>
    <m/>
    <x v="64"/>
    <x v="14"/>
    <x v="12"/>
    <n v="2.0699999999999998"/>
    <n v="12.212999999999999"/>
    <n v="0.14176320000000001"/>
    <n v="1.58769"/>
    <n v="-0.17699999999999999"/>
    <n v="9.1999999999999998E-2"/>
    <x v="67"/>
    <x v="71"/>
    <n v="105"/>
    <n v="120"/>
    <x v="3"/>
    <n v="-0.10277610239786483"/>
    <x v="71"/>
    <x v="73"/>
  </r>
  <r>
    <n v="14137"/>
    <x v="24"/>
    <x v="6"/>
    <x v="5"/>
    <s v="DP"/>
    <x v="7"/>
    <s v="KOEHLER 8269 F ECO"/>
    <s v="beige"/>
    <n v="32102"/>
    <m/>
    <m/>
    <s v="EU"/>
    <x v="4"/>
    <x v="0"/>
    <m/>
    <m/>
    <m/>
    <x v="2"/>
    <m/>
    <m/>
    <m/>
    <s v="ton"/>
    <x v="11"/>
    <x v="2"/>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m/>
    <m/>
    <m/>
    <m/>
    <m/>
    <m/>
    <m/>
    <m/>
    <m/>
    <x v="65"/>
    <x v="14"/>
    <x v="12"/>
    <n v="2.12"/>
    <n v="12.508000000000001"/>
    <n v="0.14176320000000001"/>
    <n v="1.6260400000000002"/>
    <n v="-0.17699999999999999"/>
    <n v="9.1999999999999998E-2"/>
    <x v="68"/>
    <x v="72"/>
    <n v="105"/>
    <n v="120"/>
    <x v="3"/>
    <n v="-0.10524844801865463"/>
    <x v="72"/>
    <x v="74"/>
  </r>
  <r>
    <n v="14139"/>
    <x v="15"/>
    <x v="6"/>
    <x v="6"/>
    <s v="DP"/>
    <x v="7"/>
    <s v="KOEHLER 689"/>
    <s v="gray"/>
    <n v="32166"/>
    <m/>
    <m/>
    <s v="EU"/>
    <x v="4"/>
    <x v="0"/>
    <m/>
    <m/>
    <m/>
    <x v="2"/>
    <m/>
    <m/>
    <m/>
    <s v="ton"/>
    <x v="3"/>
    <x v="2"/>
    <n v="2280"/>
    <n v="2280"/>
    <n v="2280"/>
    <n v="2090"/>
    <n v="2090"/>
    <n v="2090"/>
    <n v="1790"/>
    <n v="1790"/>
    <n v="1790"/>
    <n v="1770"/>
    <n v="1770"/>
    <n v="1770"/>
    <n v="1770"/>
    <n v="1800"/>
    <n v="1800"/>
    <n v="1800"/>
    <n v="1880"/>
    <n v="1880"/>
    <n v="1880"/>
    <n v="1880"/>
    <n v="1880"/>
    <n v="1880"/>
    <n v="1810"/>
    <n v="1810"/>
    <n v="1770"/>
    <n v="1770"/>
    <n v="1770"/>
    <n v="1850"/>
    <n v="1850"/>
    <n v="1850"/>
    <n v="1850"/>
    <n v="1850"/>
    <n v="1850"/>
    <n v="1750"/>
    <n v="1750"/>
    <n v="1750"/>
    <n v="1750"/>
    <n v="1750"/>
    <m/>
    <m/>
    <m/>
    <m/>
    <n v="1730"/>
    <n v="1730"/>
    <n v="1730"/>
    <m/>
    <m/>
    <m/>
    <x v="58"/>
    <x v="2"/>
    <x v="39"/>
    <n v="1.73"/>
    <n v="10.207000000000001"/>
    <n v="0.14176320000000001"/>
    <n v="1.32691"/>
    <n v="-0.17699999999999999"/>
    <n v="9.1999999999999998E-2"/>
    <x v="60"/>
    <x v="63"/>
    <n v="105"/>
    <n v="120"/>
    <x v="3"/>
    <n v="-8.5964152176488895E-2"/>
    <x v="64"/>
    <x v="65"/>
  </r>
  <r>
    <n v="14139"/>
    <x v="15"/>
    <x v="6"/>
    <x v="6"/>
    <s v="DP"/>
    <x v="7"/>
    <s v="KOEHLER 689"/>
    <s v="gray"/>
    <n v="32166"/>
    <m/>
    <m/>
    <s v="EU"/>
    <x v="4"/>
    <x v="0"/>
    <m/>
    <m/>
    <m/>
    <x v="2"/>
    <m/>
    <m/>
    <m/>
    <s v="ton"/>
    <x v="16"/>
    <x v="2"/>
    <n v="2300"/>
    <n v="2300"/>
    <n v="2300"/>
    <n v="2110"/>
    <n v="2110"/>
    <n v="2110"/>
    <n v="1810"/>
    <n v="1810"/>
    <n v="1810"/>
    <n v="1790"/>
    <n v="1790"/>
    <n v="1790"/>
    <n v="1790"/>
    <n v="1860"/>
    <n v="1860"/>
    <n v="1860"/>
    <n v="1900"/>
    <n v="1900"/>
    <n v="1900"/>
    <n v="1900"/>
    <n v="1900"/>
    <n v="1900"/>
    <n v="1830"/>
    <n v="1830"/>
    <n v="1790"/>
    <n v="1790"/>
    <n v="1790"/>
    <n v="1870"/>
    <n v="1870"/>
    <n v="1870"/>
    <n v="1870"/>
    <n v="1870"/>
    <n v="1870"/>
    <n v="1770"/>
    <n v="1770"/>
    <n v="1770"/>
    <n v="1770"/>
    <n v="1770"/>
    <m/>
    <m/>
    <m/>
    <m/>
    <n v="1750"/>
    <n v="1750"/>
    <n v="1750"/>
    <m/>
    <m/>
    <m/>
    <x v="33"/>
    <x v="2"/>
    <x v="40"/>
    <n v="1.75"/>
    <n v="10.325000000000001"/>
    <n v="0.14176320000000001"/>
    <n v="1.3422500000000002"/>
    <n v="-0.17699999999999999"/>
    <n v="9.1999999999999998E-2"/>
    <x v="69"/>
    <x v="73"/>
    <n v="105"/>
    <n v="120"/>
    <x v="3"/>
    <n v="-8.6953090424804813E-2"/>
    <x v="73"/>
    <x v="75"/>
  </r>
  <r>
    <n v="14139"/>
    <x v="15"/>
    <x v="6"/>
    <x v="6"/>
    <s v="DP"/>
    <x v="7"/>
    <s v="KOEHLER 689"/>
    <s v="gray"/>
    <n v="32166"/>
    <m/>
    <m/>
    <s v="EU"/>
    <x v="4"/>
    <x v="0"/>
    <m/>
    <m/>
    <m/>
    <x v="2"/>
    <m/>
    <m/>
    <m/>
    <s v="ton"/>
    <x v="2"/>
    <x v="2"/>
    <n v="2330"/>
    <n v="2330"/>
    <n v="2330"/>
    <n v="2140"/>
    <n v="2140"/>
    <n v="2140"/>
    <n v="1840"/>
    <n v="1840"/>
    <n v="1840"/>
    <n v="1820"/>
    <n v="1820"/>
    <n v="1820"/>
    <n v="1820"/>
    <n v="1890"/>
    <n v="1890"/>
    <n v="1890"/>
    <n v="1930"/>
    <n v="1930"/>
    <n v="1930"/>
    <n v="1930"/>
    <n v="1930"/>
    <n v="1930"/>
    <n v="1860"/>
    <n v="1860"/>
    <n v="1820"/>
    <n v="1820"/>
    <n v="1820"/>
    <n v="1900"/>
    <n v="1900"/>
    <n v="1900"/>
    <n v="1900"/>
    <n v="1900"/>
    <n v="1900"/>
    <n v="1800"/>
    <n v="1800"/>
    <n v="1800"/>
    <n v="1800"/>
    <n v="1800"/>
    <m/>
    <m/>
    <m/>
    <m/>
    <n v="1780"/>
    <n v="1780"/>
    <n v="1780"/>
    <m/>
    <m/>
    <m/>
    <x v="66"/>
    <x v="2"/>
    <x v="41"/>
    <n v="1.78"/>
    <n v="10.502000000000001"/>
    <n v="0.14176320000000001"/>
    <n v="1.3652600000000001"/>
    <n v="-0.17699999999999999"/>
    <n v="9.1999999999999998E-2"/>
    <x v="70"/>
    <x v="74"/>
    <n v="105"/>
    <n v="120"/>
    <x v="3"/>
    <n v="-8.8436497797280467E-2"/>
    <x v="74"/>
    <x v="76"/>
  </r>
  <r>
    <n v="14139"/>
    <x v="15"/>
    <x v="6"/>
    <x v="6"/>
    <s v="DP"/>
    <x v="7"/>
    <s v="KOEHLER 689"/>
    <s v="gray"/>
    <n v="32166"/>
    <m/>
    <m/>
    <s v="EU"/>
    <x v="4"/>
    <x v="0"/>
    <m/>
    <m/>
    <m/>
    <x v="2"/>
    <m/>
    <m/>
    <m/>
    <s v="ton"/>
    <x v="11"/>
    <x v="2"/>
    <n v="2380"/>
    <n v="2380"/>
    <n v="2380"/>
    <n v="2190"/>
    <n v="2190"/>
    <n v="2190"/>
    <n v="1890"/>
    <n v="1890"/>
    <n v="1890"/>
    <n v="1870"/>
    <n v="1870"/>
    <n v="1870"/>
    <n v="1870"/>
    <n v="1940"/>
    <n v="1940"/>
    <n v="1940"/>
    <n v="1980"/>
    <n v="1980"/>
    <n v="1980"/>
    <n v="1980"/>
    <n v="1980"/>
    <n v="1980"/>
    <n v="1910"/>
    <n v="1910"/>
    <n v="1870"/>
    <n v="1870"/>
    <n v="1870"/>
    <n v="1950"/>
    <n v="1950"/>
    <n v="1950"/>
    <n v="1950"/>
    <n v="1950"/>
    <n v="1950"/>
    <n v="1850"/>
    <n v="1850"/>
    <n v="1850"/>
    <n v="1850"/>
    <n v="1850"/>
    <m/>
    <m/>
    <m/>
    <m/>
    <n v="1830"/>
    <n v="1830"/>
    <n v="1830"/>
    <m/>
    <m/>
    <m/>
    <x v="67"/>
    <x v="2"/>
    <x v="42"/>
    <n v="1.83"/>
    <n v="10.797000000000001"/>
    <n v="0.14176320000000001"/>
    <n v="1.40361"/>
    <n v="-0.17699999999999999"/>
    <n v="9.1999999999999998E-2"/>
    <x v="71"/>
    <x v="75"/>
    <n v="105"/>
    <n v="120"/>
    <x v="3"/>
    <n v="-9.0908843418070262E-2"/>
    <x v="75"/>
    <x v="77"/>
  </r>
  <r>
    <n v="14140"/>
    <x v="19"/>
    <x v="2"/>
    <x v="6"/>
    <s v="DP"/>
    <x v="7"/>
    <s v="KOEHLER 0104"/>
    <s v="white"/>
    <n v="32113"/>
    <m/>
    <m/>
    <s v="EU"/>
    <x v="4"/>
    <x v="0"/>
    <m/>
    <m/>
    <m/>
    <x v="2"/>
    <m/>
    <m/>
    <m/>
    <s v="ton"/>
    <x v="3"/>
    <x v="2"/>
    <n v="2570"/>
    <n v="2570"/>
    <n v="2570"/>
    <n v="2470"/>
    <n v="2470"/>
    <n v="2470"/>
    <n v="2250"/>
    <n v="2250"/>
    <n v="2250"/>
    <n v="2130"/>
    <n v="2130"/>
    <n v="2130"/>
    <n v="2130"/>
    <n v="2160"/>
    <n v="2160"/>
    <n v="2160"/>
    <n v="2280"/>
    <n v="2280"/>
    <n v="2280"/>
    <n v="2280"/>
    <n v="2280"/>
    <n v="2280"/>
    <n v="2220"/>
    <n v="2220"/>
    <n v="2180"/>
    <n v="2180"/>
    <n v="2180"/>
    <n v="2260"/>
    <n v="2260"/>
    <n v="2260"/>
    <n v="2260"/>
    <n v="2260"/>
    <n v="2260"/>
    <n v="2160"/>
    <n v="2160"/>
    <n v="2160"/>
    <n v="2160"/>
    <n v="2160"/>
    <n v="2160"/>
    <n v="2250"/>
    <n v="2250"/>
    <n v="2250"/>
    <n v="2330"/>
    <n v="2330"/>
    <n v="2330"/>
    <m/>
    <m/>
    <m/>
    <x v="45"/>
    <x v="2"/>
    <x v="18"/>
    <n v="2.33"/>
    <n v="13.747000000000002"/>
    <n v="0.14176320000000001"/>
    <n v="1.7871100000000002"/>
    <n v="-0.17699999999999999"/>
    <n v="9.1999999999999998E-2"/>
    <x v="45"/>
    <x v="76"/>
    <n v="105"/>
    <n v="120"/>
    <x v="3"/>
    <n v="-0.11563229962597354"/>
    <x v="49"/>
    <x v="78"/>
  </r>
  <r>
    <n v="14140"/>
    <x v="19"/>
    <x v="2"/>
    <x v="6"/>
    <s v="DP"/>
    <x v="7"/>
    <s v="KOEHLER 0104"/>
    <s v="white"/>
    <n v="32113"/>
    <m/>
    <m/>
    <s v="EU"/>
    <x v="4"/>
    <x v="0"/>
    <m/>
    <m/>
    <m/>
    <x v="2"/>
    <m/>
    <m/>
    <m/>
    <s v="ton"/>
    <x v="13"/>
    <x v="2"/>
    <n v="2510"/>
    <n v="2510"/>
    <n v="2510"/>
    <n v="2410"/>
    <n v="2410"/>
    <n v="2410"/>
    <n v="2190"/>
    <n v="2190"/>
    <n v="2190"/>
    <n v="2070"/>
    <n v="2070"/>
    <n v="2070"/>
    <n v="2070"/>
    <n v="2140"/>
    <n v="2140"/>
    <n v="2140"/>
    <n v="2220"/>
    <n v="2220"/>
    <n v="2220"/>
    <n v="2220"/>
    <n v="2220"/>
    <n v="2220"/>
    <n v="2160"/>
    <n v="2160"/>
    <n v="2120"/>
    <n v="2120"/>
    <n v="2120"/>
    <n v="2200"/>
    <n v="2200"/>
    <n v="2200"/>
    <n v="2200"/>
    <n v="2200"/>
    <n v="2200"/>
    <n v="2100"/>
    <n v="2100"/>
    <n v="2100"/>
    <n v="2100"/>
    <n v="2100"/>
    <n v="2100"/>
    <n v="2190"/>
    <n v="2190"/>
    <n v="2190"/>
    <n v="2270"/>
    <n v="2270"/>
    <n v="2270"/>
    <m/>
    <m/>
    <m/>
    <x v="46"/>
    <x v="2"/>
    <x v="19"/>
    <n v="2.27"/>
    <n v="13.393000000000001"/>
    <n v="0.14176320000000001"/>
    <n v="1.7410900000000002"/>
    <n v="-0.17699999999999999"/>
    <n v="9.1999999999999998E-2"/>
    <x v="46"/>
    <x v="77"/>
    <n v="105"/>
    <n v="120"/>
    <x v="3"/>
    <n v="-0.11266548488102579"/>
    <x v="50"/>
    <x v="79"/>
  </r>
  <r>
    <n v="14140"/>
    <x v="19"/>
    <x v="2"/>
    <x v="6"/>
    <s v="DP"/>
    <x v="7"/>
    <s v="KOEHLER 0104"/>
    <s v="white"/>
    <n v="32113"/>
    <m/>
    <m/>
    <s v="EU"/>
    <x v="4"/>
    <x v="0"/>
    <m/>
    <m/>
    <m/>
    <x v="2"/>
    <m/>
    <m/>
    <m/>
    <s v="ton"/>
    <x v="14"/>
    <x v="2"/>
    <n v="2520"/>
    <n v="2520"/>
    <n v="2520"/>
    <n v="2420"/>
    <n v="2420"/>
    <n v="2420"/>
    <n v="2200"/>
    <n v="2200"/>
    <n v="2200"/>
    <n v="2080"/>
    <n v="2080"/>
    <n v="2080"/>
    <n v="2080"/>
    <n v="2150"/>
    <n v="2150"/>
    <n v="2150"/>
    <n v="2230"/>
    <n v="2230"/>
    <n v="2230"/>
    <n v="2230"/>
    <n v="2230"/>
    <n v="2230"/>
    <n v="2170"/>
    <n v="2170"/>
    <n v="2130"/>
    <n v="2130"/>
    <n v="2130"/>
    <n v="2210"/>
    <n v="2210"/>
    <n v="2210"/>
    <n v="2210"/>
    <n v="2210"/>
    <n v="2210"/>
    <n v="2110"/>
    <n v="2110"/>
    <n v="2110"/>
    <n v="2110"/>
    <n v="2110"/>
    <n v="2110"/>
    <n v="2200"/>
    <n v="2200"/>
    <n v="2200"/>
    <n v="2280"/>
    <n v="2280"/>
    <n v="2280"/>
    <m/>
    <m/>
    <m/>
    <x v="47"/>
    <x v="2"/>
    <x v="20"/>
    <n v="2.2799999999999998"/>
    <n v="13.452"/>
    <n v="0.14176320000000001"/>
    <n v="1.7487600000000001"/>
    <n v="-0.17699999999999999"/>
    <n v="9.1999999999999998E-2"/>
    <x v="47"/>
    <x v="78"/>
    <n v="105"/>
    <n v="120"/>
    <x v="3"/>
    <n v="-0.11315995400518375"/>
    <x v="51"/>
    <x v="80"/>
  </r>
  <r>
    <n v="14140"/>
    <x v="19"/>
    <x v="2"/>
    <x v="6"/>
    <s v="DP"/>
    <x v="7"/>
    <s v="KOEHLER 0104"/>
    <s v="white"/>
    <n v="32113"/>
    <m/>
    <m/>
    <s v="EU"/>
    <x v="4"/>
    <x v="0"/>
    <m/>
    <m/>
    <m/>
    <x v="2"/>
    <m/>
    <m/>
    <m/>
    <s v="ton"/>
    <x v="15"/>
    <x v="2"/>
    <n v="2530"/>
    <n v="2530"/>
    <n v="2530"/>
    <n v="2430"/>
    <n v="2430"/>
    <n v="2430"/>
    <n v="2210"/>
    <n v="2210"/>
    <n v="2210"/>
    <n v="2090"/>
    <n v="2090"/>
    <n v="2090"/>
    <n v="2090"/>
    <n v="2160"/>
    <n v="2160"/>
    <n v="2160"/>
    <n v="2260"/>
    <n v="2260"/>
    <n v="2260"/>
    <n v="2260"/>
    <n v="2260"/>
    <n v="2260"/>
    <n v="2180"/>
    <n v="2180"/>
    <n v="2140"/>
    <n v="2140"/>
    <n v="2140"/>
    <n v="2220"/>
    <n v="2220"/>
    <n v="2220"/>
    <n v="2220"/>
    <n v="2220"/>
    <n v="2220"/>
    <n v="2120"/>
    <n v="2120"/>
    <n v="2120"/>
    <n v="2120"/>
    <n v="2120"/>
    <n v="2120"/>
    <n v="2210"/>
    <n v="2210"/>
    <n v="2210"/>
    <n v="2290"/>
    <n v="2290"/>
    <n v="2290"/>
    <m/>
    <m/>
    <m/>
    <x v="48"/>
    <x v="2"/>
    <x v="21"/>
    <n v="2.29"/>
    <n v="13.511000000000001"/>
    <n v="0.14176320000000001"/>
    <n v="1.7564300000000002"/>
    <n v="-0.17699999999999999"/>
    <n v="9.1999999999999998E-2"/>
    <x v="48"/>
    <x v="79"/>
    <n v="105"/>
    <n v="120"/>
    <x v="3"/>
    <n v="-0.11365442312934171"/>
    <x v="52"/>
    <x v="81"/>
  </r>
  <r>
    <n v="14140"/>
    <x v="19"/>
    <x v="2"/>
    <x v="6"/>
    <s v="DP"/>
    <x v="7"/>
    <s v="KOEHLER 0104"/>
    <s v="white"/>
    <n v="32113"/>
    <m/>
    <m/>
    <s v="EU"/>
    <x v="4"/>
    <x v="0"/>
    <m/>
    <m/>
    <m/>
    <x v="2"/>
    <m/>
    <m/>
    <m/>
    <s v="ton"/>
    <x v="4"/>
    <x v="2"/>
    <n v="2550"/>
    <n v="2550"/>
    <n v="2550"/>
    <n v="2450"/>
    <n v="2450"/>
    <n v="2450"/>
    <n v="2230"/>
    <n v="2230"/>
    <n v="2230"/>
    <n v="2110"/>
    <n v="2110"/>
    <n v="2110"/>
    <n v="2110"/>
    <n v="2180"/>
    <n v="2180"/>
    <n v="2180"/>
    <n v="2260"/>
    <n v="2260"/>
    <n v="2260"/>
    <n v="2260"/>
    <n v="2260"/>
    <n v="2260"/>
    <n v="2200"/>
    <n v="2200"/>
    <n v="2160"/>
    <n v="2160"/>
    <n v="2160"/>
    <n v="2240"/>
    <n v="2240"/>
    <n v="2240"/>
    <n v="2240"/>
    <n v="2240"/>
    <n v="2240"/>
    <n v="2140"/>
    <n v="2140"/>
    <n v="2140"/>
    <n v="2140"/>
    <n v="2140"/>
    <n v="2140"/>
    <n v="2230"/>
    <n v="2230"/>
    <n v="2230"/>
    <n v="2310"/>
    <n v="2310"/>
    <n v="2310"/>
    <m/>
    <m/>
    <m/>
    <x v="49"/>
    <x v="2"/>
    <x v="22"/>
    <n v="2.31"/>
    <n v="13.629000000000001"/>
    <n v="0.14176320000000001"/>
    <n v="1.7717700000000003"/>
    <n v="-0.17699999999999999"/>
    <n v="9.1999999999999998E-2"/>
    <x v="49"/>
    <x v="80"/>
    <n v="105"/>
    <n v="120"/>
    <x v="3"/>
    <n v="-0.11464336137765763"/>
    <x v="53"/>
    <x v="82"/>
  </r>
  <r>
    <n v="14140"/>
    <x v="19"/>
    <x v="2"/>
    <x v="6"/>
    <s v="DP"/>
    <x v="7"/>
    <s v="KOEHLER 0104"/>
    <s v="white"/>
    <n v="32113"/>
    <m/>
    <m/>
    <s v="EU"/>
    <x v="4"/>
    <x v="0"/>
    <m/>
    <m/>
    <m/>
    <x v="2"/>
    <m/>
    <m/>
    <m/>
    <s v="ton"/>
    <x v="16"/>
    <x v="2"/>
    <n v="2590"/>
    <n v="2590"/>
    <n v="2590"/>
    <n v="2490"/>
    <n v="2490"/>
    <n v="2490"/>
    <n v="2270"/>
    <n v="2270"/>
    <n v="2270"/>
    <n v="2150"/>
    <n v="2150"/>
    <n v="2150"/>
    <n v="2150"/>
    <n v="2220"/>
    <n v="2220"/>
    <n v="2220"/>
    <n v="2300"/>
    <n v="2300"/>
    <n v="2300"/>
    <n v="2300"/>
    <n v="2300"/>
    <n v="2300"/>
    <n v="2240"/>
    <n v="2240"/>
    <n v="2200"/>
    <n v="2200"/>
    <n v="2200"/>
    <n v="2280"/>
    <n v="2280"/>
    <n v="2280"/>
    <n v="2280"/>
    <n v="2280"/>
    <n v="2280"/>
    <n v="2180"/>
    <n v="2180"/>
    <n v="2180"/>
    <n v="2180"/>
    <n v="2180"/>
    <n v="2180"/>
    <n v="2270"/>
    <n v="2270"/>
    <n v="2270"/>
    <n v="2350"/>
    <n v="2350"/>
    <n v="2350"/>
    <m/>
    <m/>
    <m/>
    <x v="37"/>
    <x v="2"/>
    <x v="23"/>
    <n v="2.35"/>
    <n v="13.865000000000002"/>
    <n v="0.14176320000000001"/>
    <n v="1.8024500000000003"/>
    <n v="-0.17699999999999999"/>
    <n v="9.1999999999999998E-2"/>
    <x v="50"/>
    <x v="81"/>
    <n v="105"/>
    <n v="120"/>
    <x v="3"/>
    <n v="-0.11662123787429124"/>
    <x v="54"/>
    <x v="83"/>
  </r>
  <r>
    <n v="14140"/>
    <x v="19"/>
    <x v="2"/>
    <x v="6"/>
    <s v="DP"/>
    <x v="7"/>
    <s v="KOEHLER 0104"/>
    <s v="white"/>
    <n v="32113"/>
    <m/>
    <m/>
    <s v="EU"/>
    <x v="4"/>
    <x v="0"/>
    <m/>
    <m/>
    <m/>
    <x v="2"/>
    <m/>
    <m/>
    <m/>
    <s v="ton"/>
    <x v="2"/>
    <x v="2"/>
    <n v="2620"/>
    <n v="2620"/>
    <n v="2620"/>
    <n v="2520"/>
    <n v="2520"/>
    <n v="2520"/>
    <n v="2300"/>
    <n v="2300"/>
    <n v="2300"/>
    <n v="2180"/>
    <n v="2180"/>
    <n v="2180"/>
    <n v="2180"/>
    <n v="2250"/>
    <n v="2250"/>
    <n v="2250"/>
    <n v="2330"/>
    <n v="2330"/>
    <n v="2330"/>
    <n v="2330"/>
    <n v="2330"/>
    <n v="2330"/>
    <n v="2270"/>
    <n v="2270"/>
    <n v="2230"/>
    <n v="2230"/>
    <n v="2230"/>
    <n v="2310"/>
    <n v="2310"/>
    <n v="2310"/>
    <n v="2310"/>
    <n v="2310"/>
    <n v="2310"/>
    <n v="2210"/>
    <n v="2210"/>
    <n v="2210"/>
    <n v="2210"/>
    <n v="2210"/>
    <n v="2210"/>
    <n v="2300"/>
    <n v="2300"/>
    <n v="2300"/>
    <n v="2380"/>
    <n v="2380"/>
    <n v="2380"/>
    <m/>
    <m/>
    <m/>
    <x v="50"/>
    <x v="2"/>
    <x v="24"/>
    <n v="2.38"/>
    <n v="14.042"/>
    <n v="0.14176320000000001"/>
    <n v="1.8254600000000001"/>
    <n v="-0.17699999999999999"/>
    <n v="9.1999999999999998E-2"/>
    <x v="51"/>
    <x v="82"/>
    <n v="105"/>
    <n v="120"/>
    <x v="3"/>
    <n v="-0.11810464524676512"/>
    <x v="55"/>
    <x v="84"/>
  </r>
  <r>
    <n v="14140"/>
    <x v="19"/>
    <x v="2"/>
    <x v="6"/>
    <s v="DP"/>
    <x v="7"/>
    <s v="KOEHLER 0104"/>
    <s v="white"/>
    <n v="32113"/>
    <m/>
    <m/>
    <s v="EU"/>
    <x v="4"/>
    <x v="0"/>
    <m/>
    <m/>
    <m/>
    <x v="2"/>
    <m/>
    <m/>
    <m/>
    <s v="ton"/>
    <x v="11"/>
    <x v="2"/>
    <n v="2670"/>
    <n v="2670"/>
    <n v="2670"/>
    <n v="2570"/>
    <n v="2570"/>
    <n v="2570"/>
    <n v="2350"/>
    <n v="2350"/>
    <n v="2350"/>
    <n v="2230"/>
    <n v="2230"/>
    <n v="2230"/>
    <n v="2230"/>
    <n v="2300"/>
    <n v="2300"/>
    <n v="2300"/>
    <n v="2380"/>
    <n v="2380"/>
    <n v="2380"/>
    <n v="2380"/>
    <n v="2380"/>
    <n v="2380"/>
    <n v="2320"/>
    <n v="2320"/>
    <n v="2280"/>
    <n v="2280"/>
    <n v="2280"/>
    <n v="2360"/>
    <n v="2360"/>
    <n v="2360"/>
    <n v="2360"/>
    <n v="2360"/>
    <n v="2360"/>
    <n v="2260"/>
    <n v="2260"/>
    <n v="2260"/>
    <n v="2260"/>
    <n v="2260"/>
    <n v="2260"/>
    <n v="2350"/>
    <n v="2350"/>
    <n v="2350"/>
    <n v="2430"/>
    <n v="2430"/>
    <n v="2430"/>
    <m/>
    <m/>
    <m/>
    <x v="51"/>
    <x v="2"/>
    <x v="25"/>
    <n v="2.4300000000000002"/>
    <n v="14.337000000000002"/>
    <n v="0.14176320000000001"/>
    <n v="1.8638100000000002"/>
    <n v="-0.17699999999999999"/>
    <n v="9.1999999999999998E-2"/>
    <x v="52"/>
    <x v="83"/>
    <n v="105"/>
    <n v="120"/>
    <x v="3"/>
    <n v="-0.12057699086755491"/>
    <x v="56"/>
    <x v="85"/>
  </r>
  <r>
    <n v="14143"/>
    <x v="18"/>
    <x v="6"/>
    <x v="13"/>
    <s v="DP"/>
    <x v="7"/>
    <s v="KOEHLER 8269 ECO"/>
    <s v="beige"/>
    <n v="32102"/>
    <m/>
    <m/>
    <s v="EU"/>
    <x v="4"/>
    <x v="0"/>
    <m/>
    <m/>
    <m/>
    <x v="2"/>
    <m/>
    <m/>
    <m/>
    <s v="ton"/>
    <x v="3"/>
    <x v="2"/>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n v="2180"/>
    <n v="2180"/>
    <n v="2180"/>
    <m/>
    <m/>
    <m/>
    <x v="52"/>
    <x v="2"/>
    <x v="26"/>
    <n v="2.1800000000000002"/>
    <n v="12.862000000000002"/>
    <n v="0.14176320000000001"/>
    <n v="1.6720600000000003"/>
    <n v="-0.17699999999999999"/>
    <n v="9.1999999999999998E-2"/>
    <x v="53"/>
    <x v="56"/>
    <n v="105"/>
    <n v="120"/>
    <x v="3"/>
    <n v="-0.10821526276360238"/>
    <x v="57"/>
    <x v="58"/>
  </r>
  <r>
    <n v="14143"/>
    <x v="18"/>
    <x v="6"/>
    <x v="13"/>
    <s v="DP"/>
    <x v="7"/>
    <s v="KOEHLER 8269 ECO"/>
    <s v="beige"/>
    <n v="32102"/>
    <m/>
    <m/>
    <s v="EU"/>
    <x v="4"/>
    <x v="0"/>
    <m/>
    <m/>
    <m/>
    <x v="2"/>
    <m/>
    <m/>
    <m/>
    <s v="ton"/>
    <x v="16"/>
    <x v="2"/>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n v="2200"/>
    <n v="2200"/>
    <n v="2200"/>
    <m/>
    <m/>
    <m/>
    <x v="53"/>
    <x v="2"/>
    <x v="27"/>
    <n v="2.2000000000000002"/>
    <n v="12.980000000000002"/>
    <n v="0.14176320000000001"/>
    <n v="1.6874000000000002"/>
    <n v="-0.17699999999999999"/>
    <n v="9.1999999999999998E-2"/>
    <x v="54"/>
    <x v="57"/>
    <n v="105"/>
    <n v="120"/>
    <x v="3"/>
    <n v="-0.1092042010119183"/>
    <x v="58"/>
    <x v="59"/>
  </r>
  <r>
    <n v="14143"/>
    <x v="18"/>
    <x v="6"/>
    <x v="13"/>
    <s v="DP"/>
    <x v="7"/>
    <s v="KOEHLER 8269 ECO"/>
    <s v="beige"/>
    <n v="32102"/>
    <m/>
    <m/>
    <s v="EU"/>
    <x v="4"/>
    <x v="0"/>
    <m/>
    <m/>
    <m/>
    <x v="2"/>
    <m/>
    <m/>
    <m/>
    <s v="ton"/>
    <x v="2"/>
    <x v="2"/>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n v="2230"/>
    <n v="2230"/>
    <n v="2230"/>
    <m/>
    <m/>
    <m/>
    <x v="54"/>
    <x v="2"/>
    <x v="28"/>
    <n v="2.23"/>
    <n v="13.157"/>
    <n v="0.14176320000000001"/>
    <n v="1.71041"/>
    <n v="-0.17699999999999999"/>
    <n v="9.1999999999999998E-2"/>
    <x v="55"/>
    <x v="58"/>
    <n v="105"/>
    <n v="120"/>
    <x v="3"/>
    <n v="-0.11068760838439395"/>
    <x v="59"/>
    <x v="60"/>
  </r>
  <r>
    <n v="14143"/>
    <x v="18"/>
    <x v="6"/>
    <x v="13"/>
    <s v="DP"/>
    <x v="7"/>
    <s v="KOEHLER 8269 ECO"/>
    <s v="beige"/>
    <n v="32102"/>
    <m/>
    <m/>
    <s v="EU"/>
    <x v="4"/>
    <x v="0"/>
    <m/>
    <m/>
    <m/>
    <x v="2"/>
    <m/>
    <m/>
    <m/>
    <s v="ton"/>
    <x v="11"/>
    <x v="2"/>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n v="2280"/>
    <n v="2280"/>
    <n v="2280"/>
    <m/>
    <m/>
    <m/>
    <x v="47"/>
    <x v="2"/>
    <x v="29"/>
    <n v="2.2799999999999998"/>
    <n v="13.452"/>
    <n v="0.14176320000000001"/>
    <n v="1.7487600000000001"/>
    <n v="-0.17699999999999999"/>
    <n v="9.1999999999999998E-2"/>
    <x v="47"/>
    <x v="50"/>
    <n v="105"/>
    <n v="120"/>
    <x v="3"/>
    <n v="-0.11315995400518375"/>
    <x v="51"/>
    <x v="52"/>
  </r>
  <r>
    <n v="14144"/>
    <x v="25"/>
    <x v="9"/>
    <x v="6"/>
    <s v="DP"/>
    <x v="7"/>
    <s v="KOEHLER 0248"/>
    <s v="gray"/>
    <n v="32153"/>
    <m/>
    <m/>
    <s v="EU"/>
    <x v="4"/>
    <x v="0"/>
    <m/>
    <m/>
    <m/>
    <x v="2"/>
    <m/>
    <m/>
    <m/>
    <s v="ton"/>
    <x v="3"/>
    <x v="2"/>
    <n v="2740"/>
    <n v="2740"/>
    <n v="2740"/>
    <n v="2650"/>
    <n v="2650"/>
    <n v="2650"/>
    <n v="2440"/>
    <n v="2440"/>
    <n v="2440"/>
    <n v="2330"/>
    <n v="2330"/>
    <n v="2330"/>
    <n v="2330"/>
    <n v="2360"/>
    <n v="2360"/>
    <n v="2360"/>
    <n v="2380"/>
    <n v="2380"/>
    <n v="2380"/>
    <n v="2380"/>
    <n v="2380"/>
    <n v="2380"/>
    <n v="2330"/>
    <n v="2330"/>
    <n v="2290"/>
    <n v="2290"/>
    <n v="2290"/>
    <n v="2370"/>
    <n v="2370"/>
    <n v="2370"/>
    <n v="2370"/>
    <n v="2370"/>
    <n v="2370"/>
    <n v="2270"/>
    <n v="2270"/>
    <n v="2270"/>
    <n v="2270"/>
    <n v="2270"/>
    <n v="2270"/>
    <n v="2350"/>
    <n v="2350"/>
    <n v="2350"/>
    <m/>
    <m/>
    <m/>
    <m/>
    <m/>
    <m/>
    <x v="37"/>
    <x v="4"/>
    <x v="43"/>
    <n v="2.35"/>
    <n v="13.865000000000002"/>
    <n v="0.14176320000000001"/>
    <n v="1.8024500000000003"/>
    <n v="-0.17699999999999999"/>
    <n v="9.1999999999999998E-2"/>
    <x v="50"/>
    <x v="84"/>
    <n v="105"/>
    <n v="120"/>
    <x v="3"/>
    <n v="-0.11662123787429124"/>
    <x v="54"/>
    <x v="86"/>
  </r>
  <r>
    <n v="14144"/>
    <x v="25"/>
    <x v="9"/>
    <x v="6"/>
    <s v="DP"/>
    <x v="7"/>
    <s v="KOEHLER 0248"/>
    <s v="gray"/>
    <n v="32153"/>
    <m/>
    <m/>
    <s v="EU"/>
    <x v="4"/>
    <x v="0"/>
    <m/>
    <m/>
    <m/>
    <x v="2"/>
    <m/>
    <m/>
    <m/>
    <s v="ton"/>
    <x v="16"/>
    <x v="2"/>
    <n v="2760"/>
    <n v="2760"/>
    <n v="2760"/>
    <n v="2670"/>
    <n v="2670"/>
    <n v="2670"/>
    <n v="2460"/>
    <n v="2460"/>
    <n v="2460"/>
    <n v="2350"/>
    <n v="2350"/>
    <n v="2350"/>
    <n v="2350"/>
    <n v="2420"/>
    <n v="2420"/>
    <n v="2420"/>
    <n v="2400"/>
    <n v="2400"/>
    <n v="2400"/>
    <n v="2400"/>
    <n v="2400"/>
    <n v="2400"/>
    <n v="2350"/>
    <n v="2350"/>
    <n v="2310"/>
    <n v="2310"/>
    <n v="2310"/>
    <n v="2390"/>
    <n v="2390"/>
    <n v="2390"/>
    <n v="2390"/>
    <n v="2390"/>
    <n v="2390"/>
    <n v="2290"/>
    <n v="2290"/>
    <n v="2290"/>
    <n v="2290"/>
    <n v="2290"/>
    <n v="2290"/>
    <n v="2370"/>
    <n v="2370"/>
    <n v="2370"/>
    <m/>
    <m/>
    <m/>
    <m/>
    <m/>
    <m/>
    <x v="23"/>
    <x v="4"/>
    <x v="44"/>
    <n v="2.37"/>
    <n v="13.983000000000002"/>
    <n v="0.14176320000000001"/>
    <n v="1.8177900000000005"/>
    <n v="-0.17699999999999999"/>
    <n v="9.1999999999999998E-2"/>
    <x v="72"/>
    <x v="85"/>
    <n v="105"/>
    <n v="120"/>
    <x v="3"/>
    <n v="-0.11761017612260716"/>
    <x v="76"/>
    <x v="87"/>
  </r>
  <r>
    <n v="14144"/>
    <x v="25"/>
    <x v="9"/>
    <x v="6"/>
    <s v="DP"/>
    <x v="7"/>
    <s v="KOEHLER 0248"/>
    <s v="gray"/>
    <n v="32153"/>
    <m/>
    <m/>
    <s v="EU"/>
    <x v="4"/>
    <x v="0"/>
    <m/>
    <m/>
    <m/>
    <x v="2"/>
    <m/>
    <m/>
    <m/>
    <s v="ton"/>
    <x v="2"/>
    <x v="2"/>
    <n v="2790"/>
    <n v="2790"/>
    <n v="2790"/>
    <n v="2700"/>
    <n v="2700"/>
    <n v="2700"/>
    <n v="2490"/>
    <n v="2490"/>
    <n v="2490"/>
    <n v="2380"/>
    <n v="2380"/>
    <n v="2380"/>
    <n v="2380"/>
    <n v="2450"/>
    <n v="2450"/>
    <n v="2450"/>
    <n v="2430"/>
    <n v="2430"/>
    <n v="2430"/>
    <n v="2430"/>
    <n v="2430"/>
    <n v="2430"/>
    <n v="2380"/>
    <n v="2380"/>
    <n v="2340"/>
    <n v="2340"/>
    <n v="2340"/>
    <n v="2420"/>
    <n v="2420"/>
    <n v="2420"/>
    <n v="2420"/>
    <n v="2420"/>
    <n v="2420"/>
    <n v="2320"/>
    <n v="2320"/>
    <n v="2320"/>
    <n v="2320"/>
    <n v="2320"/>
    <n v="2320"/>
    <n v="2400"/>
    <n v="2400"/>
    <n v="2400"/>
    <m/>
    <m/>
    <m/>
    <m/>
    <m/>
    <m/>
    <x v="68"/>
    <x v="4"/>
    <x v="45"/>
    <n v="2.4"/>
    <n v="14.16"/>
    <n v="0.14176320000000001"/>
    <n v="1.8408"/>
    <n v="-0.17699999999999999"/>
    <n v="9.1999999999999998E-2"/>
    <x v="73"/>
    <x v="86"/>
    <n v="105"/>
    <n v="120"/>
    <x v="3"/>
    <n v="-0.11909358349508103"/>
    <x v="77"/>
    <x v="88"/>
  </r>
  <r>
    <n v="14144"/>
    <x v="25"/>
    <x v="9"/>
    <x v="6"/>
    <s v="DP"/>
    <x v="7"/>
    <s v="KOEHLER 0248"/>
    <s v="gray"/>
    <n v="32153"/>
    <m/>
    <m/>
    <s v="EU"/>
    <x v="4"/>
    <x v="0"/>
    <m/>
    <m/>
    <m/>
    <x v="2"/>
    <m/>
    <m/>
    <m/>
    <s v="ton"/>
    <x v="11"/>
    <x v="2"/>
    <n v="2840"/>
    <n v="2840"/>
    <n v="2840"/>
    <n v="2750"/>
    <n v="2750"/>
    <n v="2750"/>
    <n v="2540"/>
    <n v="2540"/>
    <n v="2540"/>
    <n v="2430"/>
    <n v="2430"/>
    <n v="2430"/>
    <n v="2430"/>
    <n v="2500"/>
    <n v="2500"/>
    <n v="2500"/>
    <n v="2480"/>
    <n v="2480"/>
    <n v="2480"/>
    <n v="2480"/>
    <n v="2480"/>
    <n v="2480"/>
    <n v="2430"/>
    <n v="2430"/>
    <n v="2390"/>
    <n v="2390"/>
    <n v="2390"/>
    <n v="2470"/>
    <n v="2470"/>
    <n v="2470"/>
    <n v="2470"/>
    <n v="2470"/>
    <n v="2470"/>
    <n v="2370"/>
    <n v="2370"/>
    <n v="2370"/>
    <n v="2370"/>
    <n v="2370"/>
    <n v="2370"/>
    <n v="2450"/>
    <n v="2450"/>
    <n v="2450"/>
    <m/>
    <m/>
    <m/>
    <m/>
    <m/>
    <m/>
    <x v="22"/>
    <x v="4"/>
    <x v="46"/>
    <n v="2.4500000000000002"/>
    <n v="14.455000000000002"/>
    <n v="0.14176320000000001"/>
    <n v="1.8791500000000003"/>
    <n v="-0.17699999999999999"/>
    <n v="9.1999999999999998E-2"/>
    <x v="74"/>
    <x v="87"/>
    <n v="105"/>
    <n v="120"/>
    <x v="3"/>
    <n v="-0.12156592911587083"/>
    <x v="78"/>
    <x v="89"/>
  </r>
  <r>
    <n v="14145"/>
    <x v="26"/>
    <x v="9"/>
    <x v="6"/>
    <s v="DP"/>
    <x v="7"/>
    <s v="KOEHLER 0244"/>
    <s v="beige"/>
    <n v="32150"/>
    <m/>
    <m/>
    <s v="EU"/>
    <x v="4"/>
    <x v="0"/>
    <m/>
    <m/>
    <m/>
    <x v="2"/>
    <m/>
    <m/>
    <m/>
    <s v="ton"/>
    <x v="3"/>
    <x v="2"/>
    <n v="2470"/>
    <n v="2470"/>
    <n v="2470"/>
    <n v="2380"/>
    <n v="2380"/>
    <n v="2380"/>
    <n v="2170"/>
    <n v="2170"/>
    <n v="2170"/>
    <n v="2060"/>
    <n v="2060"/>
    <n v="2060"/>
    <n v="2060"/>
    <n v="2090"/>
    <n v="2090"/>
    <n v="2090"/>
    <n v="2240"/>
    <n v="2240"/>
    <n v="2240"/>
    <n v="2240"/>
    <n v="2240"/>
    <n v="2240"/>
    <n v="2170"/>
    <n v="2170"/>
    <n v="2130"/>
    <n v="2130"/>
    <n v="2130"/>
    <n v="2210"/>
    <n v="2210"/>
    <n v="2210"/>
    <n v="2210"/>
    <n v="2210"/>
    <n v="2210"/>
    <n v="2110"/>
    <n v="2110"/>
    <n v="2110"/>
    <n v="2110"/>
    <n v="2110"/>
    <n v="2110"/>
    <n v="2190"/>
    <n v="2190"/>
    <n v="2190"/>
    <n v="2270"/>
    <n v="2270"/>
    <n v="2270"/>
    <m/>
    <m/>
    <m/>
    <x v="46"/>
    <x v="2"/>
    <x v="47"/>
    <n v="2.27"/>
    <n v="13.393000000000001"/>
    <n v="0.14176320000000001"/>
    <n v="1.7410900000000002"/>
    <n v="-0.17699999999999999"/>
    <n v="9.1999999999999998E-2"/>
    <x v="46"/>
    <x v="88"/>
    <n v="105"/>
    <n v="120"/>
    <x v="3"/>
    <n v="-0.11266548488102579"/>
    <x v="50"/>
    <x v="90"/>
  </r>
  <r>
    <n v="14145"/>
    <x v="26"/>
    <x v="9"/>
    <x v="6"/>
    <s v="DP"/>
    <x v="7"/>
    <s v="KOEHLER 0244"/>
    <s v="beige"/>
    <n v="32150"/>
    <m/>
    <m/>
    <s v="EU"/>
    <x v="4"/>
    <x v="0"/>
    <m/>
    <m/>
    <m/>
    <x v="2"/>
    <m/>
    <m/>
    <m/>
    <s v="ton"/>
    <x v="16"/>
    <x v="2"/>
    <n v="2490"/>
    <n v="2490"/>
    <n v="2490"/>
    <n v="2400"/>
    <n v="2400"/>
    <n v="2400"/>
    <n v="2190"/>
    <n v="2190"/>
    <n v="2190"/>
    <n v="2080"/>
    <n v="2080"/>
    <n v="2080"/>
    <n v="2080"/>
    <n v="2150"/>
    <n v="2150"/>
    <n v="2150"/>
    <n v="2260"/>
    <n v="2260"/>
    <n v="2260"/>
    <n v="2260"/>
    <n v="2260"/>
    <n v="2260"/>
    <n v="2190"/>
    <n v="2190"/>
    <n v="2150"/>
    <n v="2150"/>
    <n v="2150"/>
    <n v="2230"/>
    <n v="2230"/>
    <n v="2230"/>
    <n v="2230"/>
    <n v="2230"/>
    <n v="2230"/>
    <n v="2130"/>
    <n v="2130"/>
    <n v="2130"/>
    <n v="2130"/>
    <n v="2130"/>
    <n v="2130"/>
    <n v="2210"/>
    <n v="2210"/>
    <n v="2210"/>
    <n v="2290"/>
    <n v="2290"/>
    <n v="2290"/>
    <m/>
    <m/>
    <m/>
    <x v="48"/>
    <x v="2"/>
    <x v="48"/>
    <n v="2.29"/>
    <n v="13.511000000000001"/>
    <n v="0.14176320000000001"/>
    <n v="1.7564300000000002"/>
    <n v="-0.17699999999999999"/>
    <n v="9.1999999999999998E-2"/>
    <x v="48"/>
    <x v="89"/>
    <n v="105"/>
    <n v="120"/>
    <x v="3"/>
    <n v="-0.11365442312934171"/>
    <x v="52"/>
    <x v="91"/>
  </r>
  <r>
    <n v="14145"/>
    <x v="26"/>
    <x v="9"/>
    <x v="6"/>
    <s v="DP"/>
    <x v="7"/>
    <s v="KOEHLER 0244"/>
    <s v="beige"/>
    <n v="32150"/>
    <m/>
    <m/>
    <s v="EU"/>
    <x v="4"/>
    <x v="0"/>
    <m/>
    <m/>
    <m/>
    <x v="2"/>
    <m/>
    <m/>
    <m/>
    <s v="ton"/>
    <x v="2"/>
    <x v="2"/>
    <n v="2520"/>
    <n v="2520"/>
    <n v="2520"/>
    <n v="2430"/>
    <n v="2430"/>
    <n v="2430"/>
    <n v="2220"/>
    <n v="2220"/>
    <n v="2220"/>
    <n v="2110"/>
    <n v="2110"/>
    <n v="2110"/>
    <n v="2110"/>
    <n v="2180"/>
    <n v="2180"/>
    <n v="2180"/>
    <n v="2290"/>
    <n v="2290"/>
    <n v="2290"/>
    <n v="2290"/>
    <n v="2290"/>
    <n v="2290"/>
    <n v="2220"/>
    <n v="2220"/>
    <n v="2180"/>
    <n v="2180"/>
    <n v="2180"/>
    <n v="2260"/>
    <n v="2260"/>
    <n v="2260"/>
    <n v="2260"/>
    <n v="2260"/>
    <n v="2260"/>
    <n v="2160"/>
    <n v="2160"/>
    <n v="2160"/>
    <n v="2160"/>
    <n v="2160"/>
    <n v="2160"/>
    <n v="2240"/>
    <n v="2240"/>
    <n v="2240"/>
    <n v="2320"/>
    <n v="2320"/>
    <n v="2320"/>
    <m/>
    <m/>
    <m/>
    <x v="39"/>
    <x v="2"/>
    <x v="49"/>
    <n v="2.3199999999999998"/>
    <n v="13.688000000000001"/>
    <n v="0.14176320000000001"/>
    <n v="1.7794400000000001"/>
    <n v="-0.17699999999999999"/>
    <n v="9.1999999999999998E-2"/>
    <x v="75"/>
    <x v="90"/>
    <n v="105"/>
    <n v="120"/>
    <x v="3"/>
    <n v="-0.11513783050181559"/>
    <x v="79"/>
    <x v="92"/>
  </r>
  <r>
    <n v="14145"/>
    <x v="26"/>
    <x v="9"/>
    <x v="6"/>
    <s v="DP"/>
    <x v="7"/>
    <s v="KOEHLER 0244"/>
    <s v="beige"/>
    <n v="32150"/>
    <m/>
    <m/>
    <s v="EU"/>
    <x v="4"/>
    <x v="0"/>
    <m/>
    <m/>
    <m/>
    <x v="2"/>
    <m/>
    <m/>
    <m/>
    <s v="ton"/>
    <x v="11"/>
    <x v="2"/>
    <n v="2570"/>
    <n v="2570"/>
    <n v="2570"/>
    <n v="2480"/>
    <n v="2480"/>
    <n v="2480"/>
    <n v="2270"/>
    <n v="2270"/>
    <n v="2270"/>
    <n v="2160"/>
    <n v="2160"/>
    <n v="2160"/>
    <n v="2160"/>
    <n v="2230"/>
    <n v="2230"/>
    <n v="2230"/>
    <n v="2340"/>
    <n v="2340"/>
    <n v="2340"/>
    <n v="2340"/>
    <n v="2340"/>
    <n v="2340"/>
    <n v="2270"/>
    <n v="2270"/>
    <n v="2230"/>
    <n v="2230"/>
    <n v="2230"/>
    <n v="2310"/>
    <n v="2310"/>
    <n v="2310"/>
    <n v="2310"/>
    <n v="2310"/>
    <n v="2310"/>
    <n v="2210"/>
    <n v="2210"/>
    <n v="2210"/>
    <n v="2210"/>
    <n v="2210"/>
    <n v="2210"/>
    <n v="2290"/>
    <n v="2290"/>
    <n v="2290"/>
    <n v="2370"/>
    <n v="2370"/>
    <n v="2370"/>
    <m/>
    <m/>
    <m/>
    <x v="23"/>
    <x v="2"/>
    <x v="50"/>
    <n v="2.37"/>
    <n v="13.983000000000002"/>
    <n v="0.14176320000000001"/>
    <n v="1.8177900000000005"/>
    <n v="-0.17699999999999999"/>
    <n v="9.1999999999999998E-2"/>
    <x v="72"/>
    <x v="85"/>
    <n v="105"/>
    <n v="120"/>
    <x v="3"/>
    <n v="-0.11761017612260716"/>
    <x v="76"/>
    <x v="87"/>
  </r>
  <r>
    <n v="15432"/>
    <x v="27"/>
    <x v="10"/>
    <x v="6"/>
    <s v="DP"/>
    <x v="6"/>
    <s v="DEKORPRINT BEIGE 752"/>
    <s v="beige"/>
    <n v="752"/>
    <m/>
    <m/>
    <s v="BR"/>
    <x v="3"/>
    <x v="0"/>
    <m/>
    <n v="3"/>
    <s v="monthly"/>
    <x v="0"/>
    <n v="0.12"/>
    <s v="Sim"/>
    <n v="9.2499999999999999E-2"/>
    <s v="ton"/>
    <x v="2"/>
    <x v="0"/>
    <n v="21810.44"/>
    <n v="21810.44"/>
    <n v="21810.44"/>
    <n v="17000"/>
    <n v="17000"/>
    <n v="17000"/>
    <n v="16320"/>
    <n v="16320"/>
    <n v="16320"/>
    <n v="15505"/>
    <n v="15505"/>
    <n v="15505"/>
    <n v="15040"/>
    <n v="15040"/>
    <n v="15040"/>
    <n v="15040"/>
    <n v="15040"/>
    <n v="15040"/>
    <n v="16303"/>
    <n v="16303"/>
    <n v="16303"/>
    <n v="16792"/>
    <n v="17118"/>
    <n v="17118"/>
    <n v="17118"/>
    <n v="17118"/>
    <n v="17118"/>
    <n v="17118"/>
    <n v="17118"/>
    <n v="17118"/>
    <n v="17118"/>
    <n v="17118"/>
    <n v="17118"/>
    <n v="17118"/>
    <n v="17118"/>
    <n v="17118"/>
    <n v="17118"/>
    <n v="17118"/>
    <n v="17118"/>
    <n v="18111"/>
    <n v="18111"/>
    <n v="18111"/>
    <n v="18889"/>
    <n v="18889"/>
    <n v="18889"/>
    <m/>
    <m/>
    <m/>
    <x v="69"/>
    <x v="2"/>
    <x v="51"/>
    <n v="18.888999999999999"/>
    <n v="18.888999999999999"/>
    <n v="0"/>
    <n v="0"/>
    <n v="0"/>
    <n v="0.2"/>
    <x v="76"/>
    <x v="91"/>
    <n v="45"/>
    <n v="0"/>
    <x v="2"/>
    <n v="0.43110913027020459"/>
    <x v="80"/>
    <x v="93"/>
  </r>
  <r>
    <n v="15434"/>
    <x v="10"/>
    <x v="10"/>
    <x v="14"/>
    <s v="DP"/>
    <x v="6"/>
    <s v="DEKORPRINT BEIGE 751"/>
    <s v="beige"/>
    <n v="751"/>
    <m/>
    <m/>
    <s v="BR"/>
    <x v="3"/>
    <x v="0"/>
    <m/>
    <n v="3"/>
    <s v="monthly"/>
    <x v="0"/>
    <n v="0.12"/>
    <s v="Sim"/>
    <n v="9.2499999999999999E-2"/>
    <s v="ton"/>
    <x v="2"/>
    <x v="0"/>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n v="18337"/>
    <n v="18337"/>
    <n v="18337"/>
    <m/>
    <m/>
    <m/>
    <x v="70"/>
    <x v="2"/>
    <x v="52"/>
    <n v="18.337"/>
    <n v="18.337"/>
    <n v="0"/>
    <n v="0"/>
    <n v="0"/>
    <n v="0.2"/>
    <x v="77"/>
    <x v="92"/>
    <n v="45"/>
    <n v="0"/>
    <x v="2"/>
    <n v="0.41864267105761499"/>
    <x v="81"/>
    <x v="94"/>
  </r>
  <r>
    <n v="15434"/>
    <x v="10"/>
    <x v="10"/>
    <x v="6"/>
    <s v="DP"/>
    <x v="6"/>
    <s v="DEKORPRINT BEIGE 751"/>
    <s v="beige"/>
    <n v="751"/>
    <m/>
    <m/>
    <s v="BR"/>
    <x v="3"/>
    <x v="0"/>
    <m/>
    <n v="3"/>
    <s v="monthly"/>
    <x v="0"/>
    <n v="0.12"/>
    <s v="Sim"/>
    <n v="9.2499999999999999E-2"/>
    <s v="ton"/>
    <x v="2"/>
    <x v="0"/>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n v="18337"/>
    <n v="18337"/>
    <n v="18337"/>
    <m/>
    <m/>
    <m/>
    <x v="70"/>
    <x v="2"/>
    <x v="52"/>
    <n v="18.337"/>
    <n v="18.337"/>
    <n v="0"/>
    <n v="0"/>
    <n v="0"/>
    <n v="0.2"/>
    <x v="77"/>
    <x v="92"/>
    <n v="45"/>
    <n v="0"/>
    <x v="2"/>
    <n v="0.41864267105761499"/>
    <x v="81"/>
    <x v="94"/>
  </r>
  <r>
    <n v="15440"/>
    <x v="18"/>
    <x v="6"/>
    <x v="5"/>
    <s v="DP"/>
    <x v="6"/>
    <s v="DEKORPRINT BEIGE 756"/>
    <s v="beige"/>
    <n v="756"/>
    <m/>
    <m/>
    <s v="BR"/>
    <x v="3"/>
    <x v="0"/>
    <m/>
    <n v="3"/>
    <s v="monthly"/>
    <x v="0"/>
    <n v="0.12"/>
    <s v="Sim"/>
    <n v="9.2499999999999999E-2"/>
    <s v="ton"/>
    <x v="2"/>
    <x v="0"/>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n v="20008"/>
    <n v="20008"/>
    <n v="20008"/>
    <m/>
    <m/>
    <m/>
    <x v="44"/>
    <x v="2"/>
    <x v="17"/>
    <n v="20.007999999999999"/>
    <n v="20.007999999999999"/>
    <n v="0"/>
    <n v="0"/>
    <n v="0"/>
    <n v="0.2"/>
    <x v="44"/>
    <x v="47"/>
    <n v="45"/>
    <n v="0"/>
    <x v="2"/>
    <n v="0.45638081117398954"/>
    <x v="48"/>
    <x v="49"/>
  </r>
  <r>
    <n v="15440"/>
    <x v="18"/>
    <x v="6"/>
    <x v="6"/>
    <s v="DP"/>
    <x v="6"/>
    <s v="DEKORPRINT BEIGE 756"/>
    <s v="beige"/>
    <n v="756"/>
    <m/>
    <m/>
    <s v="BR"/>
    <x v="3"/>
    <x v="0"/>
    <m/>
    <n v="3"/>
    <s v="monthly"/>
    <x v="0"/>
    <n v="0.12"/>
    <s v="Sim"/>
    <n v="9.2499999999999999E-2"/>
    <s v="ton"/>
    <x v="2"/>
    <x v="0"/>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n v="20008"/>
    <n v="20008"/>
    <n v="20008"/>
    <m/>
    <m/>
    <m/>
    <x v="44"/>
    <x v="2"/>
    <x v="17"/>
    <n v="20.007999999999999"/>
    <n v="20.007999999999999"/>
    <n v="0"/>
    <n v="0"/>
    <n v="0"/>
    <n v="0.2"/>
    <x v="44"/>
    <x v="47"/>
    <n v="45"/>
    <n v="0"/>
    <x v="2"/>
    <n v="0.45638081117398954"/>
    <x v="48"/>
    <x v="49"/>
  </r>
  <r>
    <n v="15440"/>
    <x v="18"/>
    <x v="6"/>
    <x v="13"/>
    <s v="DP"/>
    <x v="6"/>
    <s v="DEKORPRINT BEIGE 756"/>
    <s v="beige"/>
    <n v="756"/>
    <m/>
    <m/>
    <s v="BR"/>
    <x v="3"/>
    <x v="0"/>
    <m/>
    <n v="3"/>
    <s v="monthly"/>
    <x v="0"/>
    <n v="0.12"/>
    <s v="Sim"/>
    <n v="9.2499999999999999E-2"/>
    <s v="ton"/>
    <x v="2"/>
    <x v="0"/>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n v="20008"/>
    <n v="20008"/>
    <n v="20008"/>
    <m/>
    <m/>
    <m/>
    <x v="44"/>
    <x v="2"/>
    <x v="17"/>
    <n v="20.007999999999999"/>
    <n v="20.007999999999999"/>
    <n v="0"/>
    <n v="0"/>
    <n v="0"/>
    <n v="0.2"/>
    <x v="44"/>
    <x v="47"/>
    <n v="45"/>
    <n v="0"/>
    <x v="2"/>
    <n v="0.45638081117398954"/>
    <x v="48"/>
    <x v="49"/>
  </r>
  <r>
    <n v="15441"/>
    <x v="18"/>
    <x v="6"/>
    <x v="13"/>
    <s v="DP"/>
    <x v="6"/>
    <s v="DEKORPRINT BEIGE 756"/>
    <s v="beige"/>
    <n v="756"/>
    <m/>
    <s v="yes"/>
    <s v="BR"/>
    <x v="3"/>
    <x v="0"/>
    <m/>
    <n v="3"/>
    <s v="monthly"/>
    <x v="0"/>
    <n v="0.12"/>
    <s v="Sim"/>
    <n v="9.2499999999999999E-2"/>
    <s v="ton"/>
    <x v="2"/>
    <x v="0"/>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n v="20008"/>
    <n v="20008"/>
    <n v="20008"/>
    <m/>
    <m/>
    <m/>
    <x v="44"/>
    <x v="2"/>
    <x v="17"/>
    <n v="20.007999999999999"/>
    <n v="20.007999999999999"/>
    <n v="0"/>
    <n v="0"/>
    <n v="0"/>
    <n v="0.2"/>
    <x v="44"/>
    <x v="47"/>
    <n v="45"/>
    <n v="0"/>
    <x v="2"/>
    <n v="0.45638081117398954"/>
    <x v="48"/>
    <x v="49"/>
  </r>
  <r>
    <n v="15442"/>
    <x v="27"/>
    <x v="10"/>
    <x v="5"/>
    <s v="DP"/>
    <x v="6"/>
    <s v="DEKORPRINT BEIGE 752"/>
    <s v="beige"/>
    <n v="752"/>
    <m/>
    <m/>
    <s v="BR"/>
    <x v="3"/>
    <x v="0"/>
    <m/>
    <n v="3"/>
    <s v="monthly"/>
    <x v="0"/>
    <n v="0.12"/>
    <s v="Sim"/>
    <n v="9.2499999999999999E-2"/>
    <s v="ton"/>
    <x v="2"/>
    <x v="0"/>
    <n v="21810.44"/>
    <n v="21810.44"/>
    <n v="21810.44"/>
    <n v="17000"/>
    <n v="17000"/>
    <n v="17000"/>
    <n v="16320"/>
    <n v="16320"/>
    <n v="16320"/>
    <n v="15505"/>
    <n v="15505"/>
    <n v="15505"/>
    <n v="15040"/>
    <n v="15040"/>
    <n v="15040"/>
    <n v="15040"/>
    <n v="15040"/>
    <n v="15040"/>
    <n v="16303"/>
    <n v="16303"/>
    <n v="16303"/>
    <n v="16792"/>
    <n v="17118"/>
    <n v="17118"/>
    <n v="17118"/>
    <n v="17118"/>
    <n v="17118"/>
    <n v="17118"/>
    <n v="17118"/>
    <n v="17118"/>
    <n v="17118"/>
    <n v="17118"/>
    <n v="17118"/>
    <n v="17118"/>
    <n v="17118"/>
    <n v="17118"/>
    <n v="17118"/>
    <n v="17118"/>
    <n v="17118"/>
    <n v="18111"/>
    <n v="18111"/>
    <n v="18111"/>
    <n v="18889"/>
    <n v="18889"/>
    <n v="18889"/>
    <m/>
    <m/>
    <m/>
    <x v="69"/>
    <x v="2"/>
    <x v="51"/>
    <n v="18.888999999999999"/>
    <n v="18.888999999999999"/>
    <n v="0"/>
    <n v="0"/>
    <n v="0"/>
    <n v="0.2"/>
    <x v="76"/>
    <x v="91"/>
    <n v="45"/>
    <n v="0"/>
    <x v="2"/>
    <n v="0.43110913027020459"/>
    <x v="80"/>
    <x v="93"/>
  </r>
  <r>
    <n v="15444"/>
    <x v="18"/>
    <x v="6"/>
    <x v="5"/>
    <s v="DP"/>
    <x v="6"/>
    <s v="DEKORPRINT BEIGE 756"/>
    <s v="beige"/>
    <n v="756"/>
    <m/>
    <s v="yes"/>
    <s v="BR"/>
    <x v="3"/>
    <x v="0"/>
    <m/>
    <n v="3"/>
    <s v="monthly"/>
    <x v="0"/>
    <n v="0.12"/>
    <s v="Sim"/>
    <n v="9.2499999999999999E-2"/>
    <s v="ton"/>
    <x v="2"/>
    <x v="0"/>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n v="20008"/>
    <n v="20008"/>
    <n v="20008"/>
    <m/>
    <m/>
    <m/>
    <x v="44"/>
    <x v="2"/>
    <x v="17"/>
    <n v="20.007999999999999"/>
    <n v="20.007999999999999"/>
    <n v="0"/>
    <n v="0"/>
    <n v="0"/>
    <n v="0.2"/>
    <x v="44"/>
    <x v="47"/>
    <n v="45"/>
    <n v="0"/>
    <x v="2"/>
    <n v="0.45638081117398954"/>
    <x v="48"/>
    <x v="49"/>
  </r>
  <r>
    <n v="15448"/>
    <x v="10"/>
    <x v="10"/>
    <x v="5"/>
    <s v="DP"/>
    <x v="6"/>
    <s v="DEKORPRINT BEIGE 751"/>
    <s v="beige"/>
    <n v="751"/>
    <m/>
    <m/>
    <s v="BR"/>
    <x v="3"/>
    <x v="0"/>
    <m/>
    <n v="3"/>
    <s v="monthly"/>
    <x v="0"/>
    <n v="0.12"/>
    <s v="Sim"/>
    <n v="9.2499999999999999E-2"/>
    <s v="ton"/>
    <x v="2"/>
    <x v="0"/>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n v="18337"/>
    <n v="18337"/>
    <n v="18337"/>
    <m/>
    <m/>
    <m/>
    <x v="70"/>
    <x v="2"/>
    <x v="52"/>
    <n v="18.337"/>
    <n v="18.337"/>
    <n v="0"/>
    <n v="0"/>
    <n v="0"/>
    <n v="0.2"/>
    <x v="77"/>
    <x v="92"/>
    <n v="45"/>
    <n v="0"/>
    <x v="2"/>
    <n v="0.41864267105761499"/>
    <x v="81"/>
    <x v="94"/>
  </r>
  <r>
    <n v="15449"/>
    <x v="10"/>
    <x v="10"/>
    <x v="15"/>
    <s v="DP"/>
    <x v="6"/>
    <s v="DEKORPRINT BEIGE 751"/>
    <s v="beige"/>
    <n v="751"/>
    <m/>
    <m/>
    <s v="BR"/>
    <x v="3"/>
    <x v="0"/>
    <m/>
    <n v="3"/>
    <s v="monthly"/>
    <x v="0"/>
    <n v="0.12"/>
    <s v="Sim"/>
    <n v="9.2499999999999999E-2"/>
    <s v="ton"/>
    <x v="2"/>
    <x v="0"/>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n v="18337"/>
    <n v="18337"/>
    <n v="18337"/>
    <m/>
    <m/>
    <m/>
    <x v="70"/>
    <x v="2"/>
    <x v="52"/>
    <n v="18.337"/>
    <n v="18.337"/>
    <n v="0"/>
    <n v="0"/>
    <n v="0"/>
    <n v="0.2"/>
    <x v="77"/>
    <x v="92"/>
    <n v="45"/>
    <n v="0"/>
    <x v="2"/>
    <n v="0.41864267105761499"/>
    <x v="81"/>
    <x v="94"/>
  </r>
  <r>
    <n v="15450"/>
    <x v="10"/>
    <x v="10"/>
    <x v="16"/>
    <s v="DP"/>
    <x v="6"/>
    <s v="DEKORPRINT BEIGE 751"/>
    <s v="beige"/>
    <n v="751"/>
    <m/>
    <m/>
    <s v="BR"/>
    <x v="3"/>
    <x v="0"/>
    <m/>
    <n v="3"/>
    <s v="monthly"/>
    <x v="0"/>
    <n v="0.12"/>
    <s v="Sim"/>
    <n v="9.2499999999999999E-2"/>
    <s v="ton"/>
    <x v="2"/>
    <x v="0"/>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n v="18337"/>
    <n v="18337"/>
    <n v="18337"/>
    <m/>
    <m/>
    <m/>
    <x v="70"/>
    <x v="2"/>
    <x v="52"/>
    <n v="18.337"/>
    <n v="18.337"/>
    <n v="0"/>
    <n v="0"/>
    <n v="0"/>
    <n v="0.2"/>
    <x v="77"/>
    <x v="92"/>
    <n v="45"/>
    <n v="0"/>
    <x v="2"/>
    <n v="0.41864267105761499"/>
    <x v="81"/>
    <x v="94"/>
  </r>
  <r>
    <n v="16001"/>
    <x v="28"/>
    <x v="2"/>
    <x v="7"/>
    <s v="IP"/>
    <x v="6"/>
    <s v="DEKORPEL GREY 9300"/>
    <s v="gray"/>
    <n v="9300"/>
    <m/>
    <m/>
    <s v="BR"/>
    <x v="3"/>
    <x v="0"/>
    <m/>
    <n v="3"/>
    <s v="monthly"/>
    <x v="0"/>
    <n v="0.04"/>
    <s v="Sim"/>
    <n v="9.2499999999999999E-2"/>
    <s v="ton"/>
    <x v="17"/>
    <x v="0"/>
    <n v="20999.97"/>
    <n v="20999.97"/>
    <n v="20999.97"/>
    <n v="21000"/>
    <n v="21000"/>
    <n v="21000"/>
    <n v="20160"/>
    <n v="20160"/>
    <n v="20160"/>
    <n v="19555"/>
    <n v="19555"/>
    <n v="19555"/>
    <n v="18775"/>
    <n v="18775"/>
    <n v="18775"/>
    <n v="18775"/>
    <n v="18775"/>
    <n v="18775"/>
    <n v="20352"/>
    <n v="20352"/>
    <n v="20352"/>
    <n v="21370"/>
    <n v="21370"/>
    <n v="21370"/>
    <n v="21370"/>
    <n v="21370"/>
    <n v="21370"/>
    <n v="21370"/>
    <n v="21370"/>
    <n v="21370"/>
    <n v="21370"/>
    <n v="21370"/>
    <n v="21370"/>
    <n v="21370"/>
    <n v="21370"/>
    <n v="21370"/>
    <n v="21370"/>
    <n v="21370"/>
    <n v="21370"/>
    <n v="22609"/>
    <n v="22609"/>
    <n v="22609"/>
    <n v="23581"/>
    <n v="23581"/>
    <n v="23581"/>
    <m/>
    <m/>
    <m/>
    <x v="71"/>
    <x v="2"/>
    <x v="53"/>
    <n v="23.581"/>
    <n v="23.581"/>
    <n v="0"/>
    <n v="0"/>
    <n v="0"/>
    <n v="0.2"/>
    <x v="78"/>
    <x v="93"/>
    <n v="45"/>
    <n v="0"/>
    <x v="2"/>
    <n v="0.53707403357723038"/>
    <x v="82"/>
    <x v="95"/>
  </r>
  <r>
    <n v="16004"/>
    <x v="29"/>
    <x v="2"/>
    <x v="7"/>
    <s v="IP"/>
    <x v="6"/>
    <s v="DEKORPEL BEIGE 9080"/>
    <s v="beige"/>
    <n v="9080"/>
    <m/>
    <m/>
    <s v="BR"/>
    <x v="3"/>
    <x v="0"/>
    <m/>
    <n v="3"/>
    <s v="monthly"/>
    <x v="0"/>
    <n v="0.12"/>
    <s v="Sim"/>
    <n v="9.2499999999999999E-2"/>
    <s v="ton"/>
    <x v="17"/>
    <x v="0"/>
    <n v="17999.189999999999"/>
    <n v="17999.189999999999"/>
    <n v="17999.189999999999"/>
    <n v="17450"/>
    <n v="17450"/>
    <n v="17450"/>
    <n v="16752"/>
    <n v="16752"/>
    <n v="16752"/>
    <n v="16250"/>
    <n v="16250"/>
    <n v="16250"/>
    <n v="15762"/>
    <n v="15762"/>
    <n v="15762"/>
    <n v="15762"/>
    <n v="15762"/>
    <n v="15762"/>
    <n v="17086"/>
    <n v="17086"/>
    <n v="17086"/>
    <n v="17941"/>
    <n v="17941"/>
    <n v="17941"/>
    <n v="17941"/>
    <n v="17941"/>
    <n v="17941"/>
    <n v="17941"/>
    <n v="17941"/>
    <n v="17941"/>
    <n v="17941"/>
    <n v="17941"/>
    <n v="17941"/>
    <n v="17941"/>
    <n v="17941"/>
    <n v="17941"/>
    <n v="17941"/>
    <n v="17941"/>
    <n v="17941"/>
    <n v="18981"/>
    <n v="18981"/>
    <n v="18981"/>
    <n v="19787"/>
    <n v="19787"/>
    <n v="19787"/>
    <m/>
    <m/>
    <m/>
    <x v="72"/>
    <x v="2"/>
    <x v="54"/>
    <n v="19.786999999999999"/>
    <n v="19.786999999999999"/>
    <n v="0"/>
    <n v="0"/>
    <n v="0"/>
    <n v="0.2"/>
    <x v="79"/>
    <x v="94"/>
    <n v="45"/>
    <n v="0"/>
    <x v="2"/>
    <n v="0.45138971065590638"/>
    <x v="83"/>
    <x v="96"/>
  </r>
  <r>
    <n v="16005"/>
    <x v="11"/>
    <x v="2"/>
    <x v="7"/>
    <s v="IP"/>
    <x v="6"/>
    <s v="DEKORPEL GREY 932"/>
    <s v="gray"/>
    <n v="932"/>
    <m/>
    <m/>
    <s v="BR"/>
    <x v="3"/>
    <x v="0"/>
    <m/>
    <n v="3"/>
    <s v="monthly"/>
    <x v="0"/>
    <n v="0.04"/>
    <s v="Sim"/>
    <n v="9.2499999999999999E-2"/>
    <s v="ton"/>
    <x v="1"/>
    <x v="0"/>
    <n v="23999.040000000001"/>
    <n v="23999.040000000001"/>
    <n v="23999.040000000001"/>
    <n v="22800"/>
    <n v="22800"/>
    <n v="22800"/>
    <n v="21888"/>
    <n v="21888"/>
    <n v="21888"/>
    <n v="21230"/>
    <n v="21230"/>
    <n v="21230"/>
    <n v="20593"/>
    <n v="20593"/>
    <n v="20593"/>
    <n v="20593"/>
    <n v="20593"/>
    <n v="20593"/>
    <n v="22323"/>
    <n v="22323"/>
    <n v="22323"/>
    <n v="23439"/>
    <n v="23439"/>
    <n v="23439"/>
    <n v="23439"/>
    <n v="23439"/>
    <n v="23439"/>
    <n v="23439"/>
    <n v="23439"/>
    <n v="23439"/>
    <n v="23439"/>
    <n v="23439"/>
    <n v="23439"/>
    <n v="23439"/>
    <n v="23439"/>
    <n v="23439"/>
    <n v="23439"/>
    <n v="23439"/>
    <n v="23439"/>
    <n v="24799"/>
    <n v="24799"/>
    <n v="24799"/>
    <n v="25865"/>
    <n v="25865"/>
    <n v="25865"/>
    <m/>
    <m/>
    <m/>
    <x v="73"/>
    <x v="2"/>
    <x v="55"/>
    <n v="25.864999999999998"/>
    <n v="25.864999999999998"/>
    <n v="0"/>
    <n v="0"/>
    <n v="0"/>
    <n v="0.2"/>
    <x v="80"/>
    <x v="95"/>
    <n v="45"/>
    <n v="0"/>
    <x v="2"/>
    <n v="0.58865626698585061"/>
    <x v="84"/>
    <x v="97"/>
  </r>
  <r>
    <n v="16008"/>
    <x v="30"/>
    <x v="2"/>
    <x v="17"/>
    <s v="IP"/>
    <x v="6"/>
    <s v="DEKORPEL WHITE 938"/>
    <s v="white"/>
    <n v="938"/>
    <m/>
    <m/>
    <s v="BR"/>
    <x v="3"/>
    <x v="0"/>
    <m/>
    <n v="3"/>
    <s v="monthly"/>
    <x v="0"/>
    <n v="0.12"/>
    <s v="Sim"/>
    <n v="9.2499999999999999E-2"/>
    <s v="ton"/>
    <x v="17"/>
    <x v="0"/>
    <n v="20499.36"/>
    <n v="20499.36"/>
    <n v="20499.36"/>
    <m/>
    <m/>
    <m/>
    <n v="19680"/>
    <n v="19680"/>
    <n v="19680"/>
    <n v="18695"/>
    <n v="18695"/>
    <n v="18695"/>
    <n v="17760"/>
    <n v="17760"/>
    <n v="17760"/>
    <n v="17760"/>
    <n v="17760"/>
    <n v="17760"/>
    <n v="19252"/>
    <n v="19252"/>
    <n v="19252"/>
    <n v="20696"/>
    <n v="20696"/>
    <n v="20696"/>
    <n v="20696"/>
    <n v="20696"/>
    <n v="20696"/>
    <n v="20696"/>
    <n v="20696"/>
    <n v="20696"/>
    <n v="20696"/>
    <n v="20696"/>
    <n v="20696"/>
    <n v="20696"/>
    <n v="20696"/>
    <n v="20696"/>
    <n v="20696"/>
    <n v="20696"/>
    <n v="20696"/>
    <n v="21897"/>
    <n v="21897"/>
    <n v="21897"/>
    <n v="22838"/>
    <n v="22838"/>
    <n v="22838"/>
    <m/>
    <m/>
    <m/>
    <x v="74"/>
    <x v="2"/>
    <x v="56"/>
    <n v="22.838000000000001"/>
    <n v="22.838000000000001"/>
    <n v="0"/>
    <n v="0"/>
    <n v="0"/>
    <n v="0.2"/>
    <x v="81"/>
    <x v="96"/>
    <n v="45"/>
    <n v="0"/>
    <x v="2"/>
    <n v="0.52029399880376204"/>
    <x v="85"/>
    <x v="98"/>
  </r>
  <r>
    <n v="16009"/>
    <x v="31"/>
    <x v="2"/>
    <x v="7"/>
    <s v="IP"/>
    <x v="6"/>
    <s v="DEKORPEL BLUE 497"/>
    <s v="blue"/>
    <n v="497"/>
    <m/>
    <m/>
    <s v="BR"/>
    <x v="3"/>
    <x v="0"/>
    <m/>
    <n v="3"/>
    <s v="monthly"/>
    <x v="0"/>
    <n v="0.12"/>
    <s v="Sim"/>
    <n v="9.2499999999999999E-2"/>
    <s v="ton"/>
    <x v="1"/>
    <x v="0"/>
    <n v="26500.15"/>
    <n v="26500.15"/>
    <n v="26500.15"/>
    <n v="24000"/>
    <n v="24000"/>
    <n v="24000"/>
    <n v="23040"/>
    <n v="23040"/>
    <n v="23040"/>
    <n v="22350"/>
    <n v="22350"/>
    <n v="22350"/>
    <n v="21679"/>
    <n v="21679"/>
    <n v="21679"/>
    <n v="21679"/>
    <n v="21679"/>
    <n v="21679"/>
    <n v="23501"/>
    <n v="23501"/>
    <n v="23501"/>
    <n v="23501"/>
    <n v="23501"/>
    <n v="23501"/>
    <n v="23501"/>
    <n v="23501"/>
    <n v="23501"/>
    <n v="23501"/>
    <n v="23501"/>
    <n v="23501"/>
    <n v="23501"/>
    <n v="23501"/>
    <n v="23501"/>
    <n v="23501"/>
    <n v="23501"/>
    <n v="23501"/>
    <n v="23501"/>
    <n v="23501"/>
    <n v="23501"/>
    <n v="24864"/>
    <n v="24864"/>
    <n v="24864"/>
    <n v="25933"/>
    <n v="25933"/>
    <n v="25933"/>
    <m/>
    <m/>
    <m/>
    <x v="75"/>
    <x v="2"/>
    <x v="57"/>
    <n v="25.933"/>
    <n v="25.933"/>
    <n v="0"/>
    <n v="0"/>
    <n v="0"/>
    <n v="0.2"/>
    <x v="82"/>
    <x v="97"/>
    <n v="45"/>
    <n v="0"/>
    <x v="2"/>
    <n v="0.59019199022218416"/>
    <x v="86"/>
    <x v="99"/>
  </r>
  <r>
    <n v="16010"/>
    <x v="32"/>
    <x v="2"/>
    <x v="17"/>
    <s v="IP"/>
    <x v="6"/>
    <s v="DEKORPEL GREY 664"/>
    <s v="gray"/>
    <n v="664"/>
    <m/>
    <m/>
    <s v="BR"/>
    <x v="3"/>
    <x v="0"/>
    <m/>
    <n v="3"/>
    <s v="monthly"/>
    <x v="0"/>
    <n v="0.12"/>
    <s v="Sim"/>
    <n v="9.2499999999999999E-2"/>
    <s v="ton"/>
    <x v="12"/>
    <x v="0"/>
    <n v="23999.75"/>
    <n v="23999.75"/>
    <n v="23999.75"/>
    <m/>
    <m/>
    <m/>
    <m/>
    <m/>
    <m/>
    <m/>
    <m/>
    <m/>
    <m/>
    <m/>
    <m/>
    <m/>
    <m/>
    <m/>
    <m/>
    <m/>
    <m/>
    <m/>
    <m/>
    <m/>
    <m/>
    <m/>
    <m/>
    <m/>
    <m/>
    <m/>
    <m/>
    <m/>
    <m/>
    <m/>
    <m/>
    <m/>
    <m/>
    <m/>
    <m/>
    <m/>
    <m/>
    <m/>
    <m/>
    <m/>
    <m/>
    <m/>
    <m/>
    <m/>
    <x v="76"/>
    <x v="3"/>
    <x v="0"/>
    <n v="23.999749999999999"/>
    <n v="23.999749999999999"/>
    <n v="0"/>
    <n v="0"/>
    <n v="0"/>
    <n v="0.2"/>
    <x v="83"/>
    <x v="98"/>
    <n v="45"/>
    <n v="0"/>
    <x v="2"/>
    <n v="0.54653115277156417"/>
    <x v="87"/>
    <x v="100"/>
  </r>
  <r>
    <n v="16031"/>
    <x v="8"/>
    <x v="5"/>
    <x v="18"/>
    <s v="IP"/>
    <x v="6"/>
    <s v="BACKING OS"/>
    <s v="brown"/>
    <m/>
    <m/>
    <m/>
    <s v="BR"/>
    <x v="3"/>
    <x v="0"/>
    <m/>
    <n v="3"/>
    <s v="monthly"/>
    <x v="0"/>
    <n v="0.12"/>
    <s v="Sim"/>
    <n v="9.2499999999999999E-2"/>
    <s v="ton"/>
    <x v="17"/>
    <x v="0"/>
    <n v="9465.01"/>
    <n v="9465.01"/>
    <n v="9465.01"/>
    <n v="9465"/>
    <n v="9465"/>
    <n v="9465"/>
    <n v="9465"/>
    <n v="9465"/>
    <n v="9465"/>
    <n v="9465"/>
    <n v="9465"/>
    <n v="9465"/>
    <n v="9200"/>
    <n v="9200"/>
    <n v="9200"/>
    <n v="9200"/>
    <n v="9200"/>
    <n v="9200"/>
    <n v="9973"/>
    <n v="9973"/>
    <n v="9973"/>
    <n v="10471"/>
    <n v="10471"/>
    <n v="10471"/>
    <n v="10471"/>
    <n v="10471"/>
    <n v="10471"/>
    <n v="10471"/>
    <n v="10471"/>
    <n v="10471"/>
    <n v="10471"/>
    <n v="10471"/>
    <n v="10471"/>
    <n v="10471"/>
    <n v="10471"/>
    <n v="10471"/>
    <n v="10471"/>
    <n v="10471"/>
    <n v="10471"/>
    <n v="11079"/>
    <n v="11079"/>
    <n v="11079"/>
    <n v="11555"/>
    <n v="11555"/>
    <n v="11555"/>
    <m/>
    <m/>
    <m/>
    <x v="77"/>
    <x v="2"/>
    <x v="58"/>
    <n v="11.555"/>
    <n v="11.555"/>
    <n v="0"/>
    <n v="0"/>
    <n v="0"/>
    <n v="0.2"/>
    <x v="84"/>
    <x v="99"/>
    <n v="45"/>
    <n v="0"/>
    <x v="2"/>
    <n v="0.26547686239856816"/>
    <x v="88"/>
    <x v="101"/>
  </r>
  <r>
    <n v="16056"/>
    <x v="19"/>
    <x v="2"/>
    <x v="12"/>
    <s v="IP"/>
    <x v="6"/>
    <s v="DEKORPEL WHITE 963"/>
    <s v="white"/>
    <n v="963"/>
    <m/>
    <s v="yes"/>
    <s v="BR"/>
    <x v="3"/>
    <x v="0"/>
    <m/>
    <n v="3"/>
    <s v="monthly"/>
    <x v="0"/>
    <n v="0.12"/>
    <s v="Sim"/>
    <n v="9.2499999999999999E-2"/>
    <s v="ton"/>
    <x v="17"/>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78"/>
    <x v="2"/>
    <x v="59"/>
    <n v="15.045"/>
    <n v="15.045"/>
    <n v="0"/>
    <n v="0"/>
    <n v="0"/>
    <n v="0.2"/>
    <x v="85"/>
    <x v="100"/>
    <n v="45"/>
    <n v="0"/>
    <x v="2"/>
    <n v="0.34429559908687146"/>
    <x v="89"/>
    <x v="102"/>
  </r>
  <r>
    <n v="16059"/>
    <x v="19"/>
    <x v="2"/>
    <x v="19"/>
    <s v="IP"/>
    <x v="6"/>
    <s v="DEKORPEL WHITE 963"/>
    <s v="white"/>
    <n v="963"/>
    <m/>
    <s v="yes"/>
    <s v="BR"/>
    <x v="3"/>
    <x v="0"/>
    <m/>
    <n v="3"/>
    <s v="monthly"/>
    <x v="0"/>
    <n v="0.12"/>
    <s v="Sim"/>
    <n v="9.2499999999999999E-2"/>
    <s v="ton"/>
    <x v="17"/>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78"/>
    <x v="2"/>
    <x v="59"/>
    <n v="15.045"/>
    <n v="15.045"/>
    <n v="0"/>
    <n v="0"/>
    <n v="0"/>
    <n v="0.2"/>
    <x v="85"/>
    <x v="100"/>
    <n v="45"/>
    <n v="0"/>
    <x v="2"/>
    <n v="0.34429559908687146"/>
    <x v="89"/>
    <x v="102"/>
  </r>
  <r>
    <n v="16064"/>
    <x v="19"/>
    <x v="3"/>
    <x v="6"/>
    <s v="DP"/>
    <x v="6"/>
    <s v="DEKORPRINT WHITE 990"/>
    <s v="white"/>
    <n v="990"/>
    <m/>
    <s v="yes"/>
    <s v="BR"/>
    <x v="3"/>
    <x v="0"/>
    <m/>
    <n v="3"/>
    <s v="monthly"/>
    <x v="0"/>
    <n v="0.12"/>
    <s v="Sim"/>
    <n v="9.2499999999999999E-2"/>
    <s v="ton"/>
    <x v="16"/>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78"/>
    <x v="2"/>
    <x v="59"/>
    <n v="15.045"/>
    <n v="15.045"/>
    <n v="0"/>
    <n v="0"/>
    <n v="0"/>
    <n v="0.2"/>
    <x v="85"/>
    <x v="101"/>
    <n v="45"/>
    <n v="0"/>
    <x v="2"/>
    <n v="0.34429559908687146"/>
    <x v="89"/>
    <x v="103"/>
  </r>
  <r>
    <n v="16064"/>
    <x v="19"/>
    <x v="3"/>
    <x v="13"/>
    <s v="DP"/>
    <x v="6"/>
    <s v="DEKORPRINT WHITE 990"/>
    <s v="white"/>
    <n v="990"/>
    <m/>
    <s v="yes"/>
    <s v="BR"/>
    <x v="3"/>
    <x v="0"/>
    <m/>
    <n v="3"/>
    <s v="monthly"/>
    <x v="0"/>
    <n v="0.12"/>
    <s v="Sim"/>
    <n v="9.2499999999999999E-2"/>
    <s v="ton"/>
    <x v="16"/>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78"/>
    <x v="2"/>
    <x v="59"/>
    <n v="15.045"/>
    <n v="15.045"/>
    <n v="0"/>
    <n v="0"/>
    <n v="0"/>
    <n v="0.2"/>
    <x v="85"/>
    <x v="101"/>
    <n v="45"/>
    <n v="0"/>
    <x v="2"/>
    <n v="0.34429559908687146"/>
    <x v="89"/>
    <x v="103"/>
  </r>
  <r>
    <n v="16065"/>
    <x v="19"/>
    <x v="3"/>
    <x v="15"/>
    <s v="DP"/>
    <x v="6"/>
    <s v="DEKORPRINT WHITE 990"/>
    <s v="white"/>
    <n v="990"/>
    <m/>
    <s v="yes"/>
    <s v="BR"/>
    <x v="3"/>
    <x v="0"/>
    <m/>
    <n v="3"/>
    <s v="monthly"/>
    <x v="0"/>
    <n v="0.12"/>
    <s v="Sim"/>
    <n v="9.2499999999999999E-2"/>
    <s v="ton"/>
    <x v="16"/>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78"/>
    <x v="2"/>
    <x v="59"/>
    <n v="15.045"/>
    <n v="15.045"/>
    <n v="0"/>
    <n v="0"/>
    <n v="0"/>
    <n v="0.2"/>
    <x v="85"/>
    <x v="101"/>
    <n v="45"/>
    <n v="0"/>
    <x v="2"/>
    <n v="0.34429559908687146"/>
    <x v="89"/>
    <x v="103"/>
  </r>
  <r>
    <n v="16066"/>
    <x v="19"/>
    <x v="3"/>
    <x v="6"/>
    <s v="DP"/>
    <x v="6"/>
    <s v="DEKORPRINT WHITE 990"/>
    <s v="white"/>
    <n v="990"/>
    <m/>
    <s v="yes"/>
    <s v="BR"/>
    <x v="3"/>
    <x v="0"/>
    <m/>
    <n v="3"/>
    <s v="monthly"/>
    <x v="0"/>
    <n v="0.12"/>
    <s v="Sim"/>
    <n v="9.2499999999999999E-2"/>
    <s v="ton"/>
    <x v="16"/>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78"/>
    <x v="2"/>
    <x v="59"/>
    <n v="15.045"/>
    <n v="15.045"/>
    <n v="0"/>
    <n v="0"/>
    <n v="0"/>
    <n v="0.2"/>
    <x v="85"/>
    <x v="101"/>
    <n v="45"/>
    <n v="0"/>
    <x v="2"/>
    <n v="0.34429559908687146"/>
    <x v="89"/>
    <x v="103"/>
  </r>
  <r>
    <n v="16068"/>
    <x v="19"/>
    <x v="2"/>
    <x v="12"/>
    <s v="IP"/>
    <x v="6"/>
    <s v="DEKORPEL WHITE 963"/>
    <s v="white"/>
    <n v="963"/>
    <m/>
    <s v="yes"/>
    <s v="BR"/>
    <x v="3"/>
    <x v="0"/>
    <m/>
    <n v="3"/>
    <s v="monthly"/>
    <x v="0"/>
    <n v="0.12"/>
    <s v="Sim"/>
    <n v="9.2499999999999999E-2"/>
    <s v="ton"/>
    <x v="17"/>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78"/>
    <x v="2"/>
    <x v="59"/>
    <n v="15.045"/>
    <n v="15.045"/>
    <n v="0"/>
    <n v="0"/>
    <n v="0"/>
    <n v="0.2"/>
    <x v="85"/>
    <x v="100"/>
    <n v="45"/>
    <n v="0"/>
    <x v="2"/>
    <n v="0.34429559908687146"/>
    <x v="89"/>
    <x v="102"/>
  </r>
  <r>
    <n v="17002"/>
    <x v="19"/>
    <x v="3"/>
    <x v="6"/>
    <s v="DP"/>
    <x v="5"/>
    <s v="TECHNOCELL 6412 STD"/>
    <s v="white"/>
    <n v="6412"/>
    <m/>
    <m/>
    <s v="EU"/>
    <x v="4"/>
    <x v="1"/>
    <m/>
    <m/>
    <m/>
    <x v="0"/>
    <m/>
    <m/>
    <m/>
    <s v="ton"/>
    <x v="2"/>
    <x v="2"/>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n v="2460"/>
    <n v="2460"/>
    <n v="2460"/>
    <m/>
    <m/>
    <m/>
    <x v="79"/>
    <x v="2"/>
    <x v="60"/>
    <n v="2.46"/>
    <n v="14.514000000000001"/>
    <n v="0.14176320000000001"/>
    <n v="1.8868200000000002"/>
    <n v="0"/>
    <n v="9.1999999999999998E-2"/>
    <x v="86"/>
    <x v="102"/>
    <n v="105"/>
    <n v="120"/>
    <x v="3"/>
    <n v="-0.12337314812717537"/>
    <x v="90"/>
    <x v="104"/>
  </r>
  <r>
    <n v="17002"/>
    <x v="19"/>
    <x v="3"/>
    <x v="6"/>
    <s v="DP"/>
    <x v="5"/>
    <s v="TECHNOCELL 6412 STD"/>
    <s v="white"/>
    <n v="6412"/>
    <m/>
    <m/>
    <s v="EU"/>
    <x v="4"/>
    <x v="1"/>
    <m/>
    <m/>
    <m/>
    <x v="0"/>
    <m/>
    <m/>
    <m/>
    <s v="ton"/>
    <x v="11"/>
    <x v="2"/>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n v="2510"/>
    <n v="2510"/>
    <n v="2510"/>
    <m/>
    <m/>
    <m/>
    <x v="80"/>
    <x v="2"/>
    <x v="61"/>
    <n v="2.5099999999999998"/>
    <n v="14.808999999999999"/>
    <n v="0.14176320000000001"/>
    <n v="1.92517"/>
    <n v="0"/>
    <n v="9.1999999999999998E-2"/>
    <x v="87"/>
    <x v="103"/>
    <n v="105"/>
    <n v="120"/>
    <x v="3"/>
    <n v="-0.12584549374796339"/>
    <x v="91"/>
    <x v="105"/>
  </r>
  <r>
    <n v="17002"/>
    <x v="19"/>
    <x v="3"/>
    <x v="6"/>
    <s v="DP"/>
    <x v="5"/>
    <s v="TECHNOCELL 6412 STD"/>
    <s v="white"/>
    <n v="6412"/>
    <m/>
    <m/>
    <s v="EU"/>
    <x v="4"/>
    <x v="1"/>
    <m/>
    <m/>
    <m/>
    <x v="0"/>
    <m/>
    <m/>
    <m/>
    <s v="ton"/>
    <x v="1"/>
    <x v="2"/>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n v="2560"/>
    <n v="2560"/>
    <n v="2560"/>
    <m/>
    <m/>
    <m/>
    <x v="81"/>
    <x v="2"/>
    <x v="62"/>
    <n v="2.56"/>
    <n v="15.104000000000001"/>
    <n v="0.14176320000000001"/>
    <n v="1.9635200000000002"/>
    <n v="0"/>
    <n v="9.1999999999999998E-2"/>
    <x v="88"/>
    <x v="104"/>
    <n v="105"/>
    <n v="120"/>
    <x v="3"/>
    <n v="-0.12831783936875496"/>
    <x v="92"/>
    <x v="106"/>
  </r>
  <r>
    <n v="17002"/>
    <x v="19"/>
    <x v="3"/>
    <x v="6"/>
    <s v="DP"/>
    <x v="5"/>
    <s v="TECHNOCELL 6412 STD"/>
    <s v="white"/>
    <n v="6412"/>
    <m/>
    <m/>
    <s v="EU"/>
    <x v="4"/>
    <x v="1"/>
    <m/>
    <m/>
    <m/>
    <x v="0"/>
    <m/>
    <m/>
    <m/>
    <s v="ton"/>
    <x v="12"/>
    <x v="2"/>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n v="2640"/>
    <n v="2640"/>
    <n v="2640"/>
    <m/>
    <m/>
    <m/>
    <x v="13"/>
    <x v="2"/>
    <x v="63"/>
    <n v="2.64"/>
    <n v="15.576000000000002"/>
    <n v="0.14176320000000001"/>
    <n v="2.0248800000000005"/>
    <n v="0"/>
    <n v="9.1999999999999998E-2"/>
    <x v="13"/>
    <x v="13"/>
    <n v="105"/>
    <n v="120"/>
    <x v="3"/>
    <n v="-0.13227359236201863"/>
    <x v="93"/>
    <x v="107"/>
  </r>
  <r>
    <n v="17011"/>
    <x v="10"/>
    <x v="6"/>
    <x v="15"/>
    <s v="DP"/>
    <x v="5"/>
    <s v="TECHNOCELL 6656"/>
    <s v="beige"/>
    <n v="6656"/>
    <m/>
    <m/>
    <s v="EU"/>
    <x v="4"/>
    <x v="1"/>
    <m/>
    <m/>
    <m/>
    <x v="0"/>
    <m/>
    <m/>
    <m/>
    <s v="ton"/>
    <x v="2"/>
    <x v="2"/>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n v="2720"/>
    <n v="2720"/>
    <n v="2720"/>
    <m/>
    <m/>
    <m/>
    <x v="82"/>
    <x v="2"/>
    <x v="64"/>
    <n v="2.72"/>
    <n v="16.048000000000002"/>
    <n v="0.14176320000000001"/>
    <n v="2.0862400000000001"/>
    <n v="0"/>
    <n v="9.1999999999999998E-2"/>
    <x v="89"/>
    <x v="105"/>
    <n v="105"/>
    <n v="120"/>
    <x v="3"/>
    <n v="-0.13622934535528586"/>
    <x v="94"/>
    <x v="108"/>
  </r>
  <r>
    <n v="17011"/>
    <x v="10"/>
    <x v="6"/>
    <x v="15"/>
    <s v="DP"/>
    <x v="5"/>
    <s v="TECHNOCELL 6656"/>
    <s v="beige"/>
    <n v="6656"/>
    <m/>
    <m/>
    <s v="EU"/>
    <x v="4"/>
    <x v="1"/>
    <m/>
    <m/>
    <m/>
    <x v="0"/>
    <m/>
    <m/>
    <m/>
    <s v="ton"/>
    <x v="11"/>
    <x v="2"/>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n v="2770"/>
    <n v="2770"/>
    <n v="2770"/>
    <m/>
    <m/>
    <m/>
    <x v="83"/>
    <x v="2"/>
    <x v="65"/>
    <n v="2.77"/>
    <n v="16.343"/>
    <n v="0.14176320000000001"/>
    <n v="2.12459"/>
    <n v="0"/>
    <n v="9.1999999999999998E-2"/>
    <x v="90"/>
    <x v="106"/>
    <n v="105"/>
    <n v="120"/>
    <x v="3"/>
    <n v="-0.13870169097607388"/>
    <x v="95"/>
    <x v="109"/>
  </r>
  <r>
    <n v="17011"/>
    <x v="10"/>
    <x v="6"/>
    <x v="15"/>
    <s v="DP"/>
    <x v="5"/>
    <s v="TECHNOCELL 6656"/>
    <s v="beige"/>
    <n v="6656"/>
    <m/>
    <m/>
    <s v="EU"/>
    <x v="4"/>
    <x v="1"/>
    <m/>
    <m/>
    <m/>
    <x v="0"/>
    <m/>
    <m/>
    <m/>
    <s v="ton"/>
    <x v="1"/>
    <x v="2"/>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n v="2820"/>
    <n v="2820"/>
    <n v="2820"/>
    <m/>
    <m/>
    <m/>
    <x v="84"/>
    <x v="2"/>
    <x v="66"/>
    <n v="2.82"/>
    <n v="16.638000000000002"/>
    <n v="0.14176320000000001"/>
    <n v="2.1629400000000003"/>
    <n v="0"/>
    <n v="9.1999999999999998E-2"/>
    <x v="91"/>
    <x v="107"/>
    <n v="105"/>
    <n v="120"/>
    <x v="3"/>
    <n v="-0.14117403659686545"/>
    <x v="96"/>
    <x v="110"/>
  </r>
  <r>
    <n v="17011"/>
    <x v="10"/>
    <x v="6"/>
    <x v="15"/>
    <s v="DP"/>
    <x v="5"/>
    <s v="TECHNOCELL 6656"/>
    <s v="beige"/>
    <n v="6656"/>
    <m/>
    <m/>
    <s v="EU"/>
    <x v="4"/>
    <x v="1"/>
    <m/>
    <m/>
    <m/>
    <x v="0"/>
    <m/>
    <m/>
    <m/>
    <s v="ton"/>
    <x v="12"/>
    <x v="2"/>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n v="2900"/>
    <n v="2900"/>
    <n v="2900"/>
    <m/>
    <m/>
    <m/>
    <x v="25"/>
    <x v="2"/>
    <x v="67"/>
    <n v="2.9"/>
    <n v="17.11"/>
    <n v="0.14176320000000001"/>
    <n v="2.2242999999999999"/>
    <n v="0"/>
    <n v="9.1999999999999998E-2"/>
    <x v="25"/>
    <x v="108"/>
    <n v="105"/>
    <n v="120"/>
    <x v="3"/>
    <n v="-0.14512978959012912"/>
    <x v="97"/>
    <x v="111"/>
  </r>
  <r>
    <n v="17012"/>
    <x v="18"/>
    <x v="3"/>
    <x v="6"/>
    <s v="DP"/>
    <x v="5"/>
    <s v="TECHNOCELL 6552 STD"/>
    <s v="beige"/>
    <n v="6552"/>
    <m/>
    <m/>
    <s v="EU"/>
    <x v="4"/>
    <x v="1"/>
    <m/>
    <m/>
    <m/>
    <x v="0"/>
    <m/>
    <m/>
    <m/>
    <s v="ton"/>
    <x v="2"/>
    <x v="2"/>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n v="2410"/>
    <n v="2410"/>
    <n v="2410"/>
    <m/>
    <m/>
    <m/>
    <x v="59"/>
    <x v="2"/>
    <x v="68"/>
    <n v="2.41"/>
    <n v="14.219000000000001"/>
    <n v="0.14176320000000001"/>
    <n v="1.8484700000000003"/>
    <n v="0"/>
    <n v="9.1999999999999998E-2"/>
    <x v="92"/>
    <x v="109"/>
    <n v="105"/>
    <n v="120"/>
    <x v="3"/>
    <n v="-0.1209008025063838"/>
    <x v="98"/>
    <x v="112"/>
  </r>
  <r>
    <n v="17012"/>
    <x v="18"/>
    <x v="3"/>
    <x v="6"/>
    <s v="DP"/>
    <x v="5"/>
    <s v="TECHNOCELL 6552 STD"/>
    <s v="beige"/>
    <n v="6552"/>
    <m/>
    <m/>
    <s v="EU"/>
    <x v="4"/>
    <x v="1"/>
    <m/>
    <m/>
    <m/>
    <x v="0"/>
    <m/>
    <m/>
    <m/>
    <s v="ton"/>
    <x v="11"/>
    <x v="2"/>
    <n v="2960"/>
    <n v="2960"/>
    <n v="2960"/>
    <n v="2960"/>
    <n v="2960"/>
    <n v="2960"/>
    <n v="2350"/>
    <n v="2350"/>
    <n v="2350"/>
    <n v="2200"/>
    <n v="2200"/>
    <n v="2170"/>
    <n v="2260"/>
    <n v="2260"/>
    <n v="2260"/>
    <n v="2390"/>
    <n v="2390"/>
    <n v="2390"/>
    <n v="2540"/>
    <n v="2540"/>
    <n v="2540"/>
    <n v="2540"/>
    <n v="2540"/>
    <n v="2540"/>
    <n v="2460"/>
    <n v="2460"/>
    <n v="2460"/>
    <n v="2220"/>
    <n v="2220"/>
    <n v="2350"/>
    <n v="2350"/>
    <n v="2350"/>
    <n v="2350"/>
    <n v="2250"/>
    <n v="2250"/>
    <n v="2250"/>
    <n v="2280"/>
    <n v="2280"/>
    <n v="2280"/>
    <n v="2380"/>
    <n v="2380"/>
    <n v="2380"/>
    <n v="2460"/>
    <n v="2460"/>
    <n v="2460"/>
    <m/>
    <m/>
    <m/>
    <x v="79"/>
    <x v="2"/>
    <x v="60"/>
    <n v="2.46"/>
    <n v="14.514000000000001"/>
    <n v="0.14176320000000001"/>
    <n v="1.8868200000000002"/>
    <n v="0"/>
    <n v="9.1999999999999998E-2"/>
    <x v="86"/>
    <x v="102"/>
    <n v="105"/>
    <n v="120"/>
    <x v="3"/>
    <n v="-0.12337314812717537"/>
    <x v="90"/>
    <x v="104"/>
  </r>
  <r>
    <n v="17012"/>
    <x v="18"/>
    <x v="3"/>
    <x v="6"/>
    <s v="DP"/>
    <x v="5"/>
    <s v="TECHNOCELL 6552 STD"/>
    <s v="beige"/>
    <n v="6552"/>
    <m/>
    <m/>
    <s v="EU"/>
    <x v="4"/>
    <x v="1"/>
    <m/>
    <m/>
    <m/>
    <x v="0"/>
    <m/>
    <m/>
    <m/>
    <s v="ton"/>
    <x v="1"/>
    <x v="2"/>
    <n v="3010"/>
    <n v="3010"/>
    <n v="3010"/>
    <n v="3010"/>
    <n v="3010"/>
    <n v="3010"/>
    <n v="2400"/>
    <n v="2400"/>
    <n v="2400"/>
    <n v="2250"/>
    <n v="2250"/>
    <n v="2220"/>
    <n v="2310"/>
    <n v="2310"/>
    <n v="2310"/>
    <n v="2440"/>
    <n v="2440"/>
    <n v="2440"/>
    <n v="2590"/>
    <n v="2590"/>
    <n v="2590"/>
    <n v="2590"/>
    <n v="2590"/>
    <n v="2590"/>
    <n v="2510"/>
    <n v="2510"/>
    <n v="2510"/>
    <n v="2270"/>
    <n v="2270"/>
    <n v="2400"/>
    <n v="2400"/>
    <n v="2400"/>
    <n v="2400"/>
    <n v="2300"/>
    <n v="2300"/>
    <n v="2300"/>
    <n v="2330"/>
    <n v="2330"/>
    <n v="2330"/>
    <n v="2430"/>
    <n v="2430"/>
    <n v="2430"/>
    <n v="2510"/>
    <n v="2510"/>
    <n v="2510"/>
    <m/>
    <m/>
    <m/>
    <x v="80"/>
    <x v="2"/>
    <x v="61"/>
    <n v="2.5099999999999998"/>
    <n v="14.808999999999999"/>
    <n v="0.14176320000000001"/>
    <n v="1.92517"/>
    <n v="0"/>
    <n v="9.1999999999999998E-2"/>
    <x v="87"/>
    <x v="103"/>
    <n v="105"/>
    <n v="120"/>
    <x v="3"/>
    <n v="-0.12584549374796339"/>
    <x v="91"/>
    <x v="105"/>
  </r>
  <r>
    <n v="17012"/>
    <x v="18"/>
    <x v="3"/>
    <x v="6"/>
    <s v="DP"/>
    <x v="5"/>
    <s v="TECHNOCELL 6552 STD"/>
    <s v="beige"/>
    <n v="6552"/>
    <m/>
    <m/>
    <s v="EU"/>
    <x v="4"/>
    <x v="1"/>
    <m/>
    <m/>
    <m/>
    <x v="0"/>
    <m/>
    <m/>
    <m/>
    <s v="ton"/>
    <x v="12"/>
    <x v="2"/>
    <n v="3090"/>
    <n v="3090"/>
    <n v="3090"/>
    <n v="3090"/>
    <n v="3090"/>
    <n v="3090"/>
    <n v="2480"/>
    <n v="2480"/>
    <n v="2480"/>
    <n v="2330"/>
    <n v="2330"/>
    <n v="2300"/>
    <n v="2390"/>
    <n v="2390"/>
    <n v="2390"/>
    <n v="2520"/>
    <n v="2520"/>
    <n v="2520"/>
    <n v="2670"/>
    <n v="2670"/>
    <n v="2670"/>
    <n v="2670"/>
    <n v="2670"/>
    <n v="2670"/>
    <n v="2590"/>
    <n v="2590"/>
    <n v="2590"/>
    <n v="2350"/>
    <n v="2350"/>
    <n v="2480"/>
    <n v="2480"/>
    <n v="2480"/>
    <n v="2480"/>
    <n v="2380"/>
    <n v="2380"/>
    <n v="2380"/>
    <n v="2410"/>
    <n v="2410"/>
    <n v="2410"/>
    <n v="2510"/>
    <n v="2510"/>
    <n v="2510"/>
    <n v="2590"/>
    <n v="2590"/>
    <n v="2590"/>
    <m/>
    <m/>
    <m/>
    <x v="85"/>
    <x v="2"/>
    <x v="69"/>
    <n v="2.59"/>
    <n v="15.281000000000001"/>
    <n v="0.14176320000000001"/>
    <n v="1.9865300000000001"/>
    <n v="0"/>
    <n v="9.1999999999999998E-2"/>
    <x v="93"/>
    <x v="110"/>
    <n v="105"/>
    <n v="120"/>
    <x v="3"/>
    <n v="-0.12980124674123061"/>
    <x v="99"/>
    <x v="113"/>
  </r>
  <r>
    <n v="17012"/>
    <x v="18"/>
    <x v="3"/>
    <x v="6"/>
    <s v="DP"/>
    <x v="5"/>
    <s v="TECHNOCELL 6552 STD"/>
    <s v="beige"/>
    <n v="6552"/>
    <m/>
    <m/>
    <s v="EU"/>
    <x v="4"/>
    <x v="1"/>
    <m/>
    <m/>
    <m/>
    <x v="0"/>
    <m/>
    <m/>
    <m/>
    <s v="ton"/>
    <x v="3"/>
    <x v="2"/>
    <m/>
    <m/>
    <m/>
    <m/>
    <m/>
    <m/>
    <m/>
    <m/>
    <m/>
    <m/>
    <m/>
    <m/>
    <m/>
    <m/>
    <m/>
    <m/>
    <m/>
    <m/>
    <n v="2050"/>
    <n v="2050"/>
    <n v="2050"/>
    <n v="2050"/>
    <n v="2050"/>
    <n v="2050"/>
    <n v="2050"/>
    <n v="2050"/>
    <n v="2050"/>
    <n v="1750"/>
    <n v="1750"/>
    <m/>
    <m/>
    <m/>
    <m/>
    <m/>
    <m/>
    <m/>
    <m/>
    <m/>
    <m/>
    <m/>
    <m/>
    <m/>
    <m/>
    <m/>
    <m/>
    <m/>
    <m/>
    <m/>
    <x v="33"/>
    <x v="15"/>
    <x v="0"/>
    <n v="1.75"/>
    <n v="10.325000000000001"/>
    <n v="0.14176320000000001"/>
    <n v="1.3422500000000002"/>
    <n v="0"/>
    <n v="9.1999999999999998E-2"/>
    <x v="33"/>
    <x v="34"/>
    <n v="105"/>
    <n v="120"/>
    <x v="3"/>
    <n v="-8.8265840311951393E-2"/>
    <x v="100"/>
    <x v="114"/>
  </r>
  <r>
    <n v="17023"/>
    <x v="33"/>
    <x v="8"/>
    <x v="6"/>
    <m/>
    <x v="5"/>
    <s v="TECHNOCELL 6723 LOP"/>
    <s v="white"/>
    <n v="6723"/>
    <m/>
    <m/>
    <s v="EU"/>
    <x v="4"/>
    <x v="1"/>
    <m/>
    <m/>
    <m/>
    <x v="0"/>
    <m/>
    <m/>
    <m/>
    <s v="ton"/>
    <x v="2"/>
    <x v="2"/>
    <n v="2580"/>
    <n v="2580"/>
    <n v="2580"/>
    <n v="2580"/>
    <n v="2580"/>
    <n v="2580"/>
    <n v="2150"/>
    <n v="2150"/>
    <n v="2150"/>
    <n v="2000"/>
    <n v="2000"/>
    <n v="2000"/>
    <n v="2060"/>
    <n v="2060"/>
    <n v="2060"/>
    <n v="2190"/>
    <n v="2190"/>
    <n v="2190"/>
    <n v="2340"/>
    <n v="2340"/>
    <n v="2340"/>
    <n v="2340"/>
    <n v="2340"/>
    <n v="2340"/>
    <n v="2260"/>
    <n v="2260"/>
    <n v="2260"/>
    <n v="2060"/>
    <n v="2060"/>
    <n v="2360"/>
    <n v="2360"/>
    <n v="2360"/>
    <n v="2360"/>
    <n v="2280"/>
    <n v="2280"/>
    <n v="2280"/>
    <n v="2310"/>
    <n v="2310"/>
    <n v="2310"/>
    <n v="2410"/>
    <n v="2410"/>
    <n v="2410"/>
    <n v="2490"/>
    <n v="2490"/>
    <n v="2490"/>
    <m/>
    <m/>
    <m/>
    <x v="86"/>
    <x v="2"/>
    <x v="70"/>
    <n v="2.4900000000000002"/>
    <n v="14.691000000000003"/>
    <n v="0.14176320000000001"/>
    <n v="1.9098300000000004"/>
    <n v="0"/>
    <n v="9.1999999999999998E-2"/>
    <x v="94"/>
    <x v="111"/>
    <n v="105"/>
    <n v="120"/>
    <x v="3"/>
    <n v="-0.12485655549964747"/>
    <x v="101"/>
    <x v="115"/>
  </r>
  <r>
    <n v="17023"/>
    <x v="33"/>
    <x v="8"/>
    <x v="6"/>
    <m/>
    <x v="5"/>
    <s v="TECHNOCELL 6723 LOP"/>
    <s v="white"/>
    <n v="6723"/>
    <m/>
    <m/>
    <s v="EU"/>
    <x v="4"/>
    <x v="1"/>
    <m/>
    <m/>
    <m/>
    <x v="0"/>
    <m/>
    <m/>
    <m/>
    <s v="ton"/>
    <x v="11"/>
    <x v="2"/>
    <n v="2630"/>
    <n v="2630"/>
    <n v="2630"/>
    <n v="2630"/>
    <n v="2630"/>
    <n v="2630"/>
    <n v="2200"/>
    <n v="2200"/>
    <n v="2200"/>
    <n v="2050"/>
    <n v="2050"/>
    <n v="2050"/>
    <n v="2110"/>
    <n v="2110"/>
    <n v="2110"/>
    <n v="2240"/>
    <n v="2240"/>
    <n v="2240"/>
    <n v="2390"/>
    <n v="2390"/>
    <n v="2390"/>
    <n v="2390"/>
    <n v="2390"/>
    <n v="2390"/>
    <n v="2310"/>
    <n v="2310"/>
    <n v="2310"/>
    <n v="2110"/>
    <n v="2110"/>
    <n v="2410"/>
    <n v="2410"/>
    <n v="2410"/>
    <n v="2410"/>
    <n v="2330"/>
    <n v="2330"/>
    <n v="2330"/>
    <m/>
    <m/>
    <m/>
    <m/>
    <m/>
    <m/>
    <m/>
    <m/>
    <m/>
    <m/>
    <m/>
    <m/>
    <x v="45"/>
    <x v="7"/>
    <x v="12"/>
    <n v="2.33"/>
    <n v="13.747000000000002"/>
    <n v="0.14176320000000001"/>
    <n v="1.7871100000000002"/>
    <n v="0"/>
    <n v="9.1999999999999998E-2"/>
    <x v="95"/>
    <x v="112"/>
    <n v="105"/>
    <n v="120"/>
    <x v="3"/>
    <n v="-0.11694504951312013"/>
    <x v="102"/>
    <x v="116"/>
  </r>
  <r>
    <n v="17023"/>
    <x v="33"/>
    <x v="8"/>
    <x v="6"/>
    <m/>
    <x v="5"/>
    <s v="TECHNOCELL 6723 LOP"/>
    <s v="white"/>
    <n v="6723"/>
    <m/>
    <m/>
    <s v="EU"/>
    <x v="4"/>
    <x v="1"/>
    <m/>
    <m/>
    <m/>
    <x v="0"/>
    <m/>
    <m/>
    <m/>
    <s v="ton"/>
    <x v="1"/>
    <x v="2"/>
    <n v="2680"/>
    <n v="2680"/>
    <n v="2680"/>
    <n v="2680"/>
    <n v="2680"/>
    <n v="2680"/>
    <n v="2250"/>
    <n v="2250"/>
    <n v="2250"/>
    <n v="2100"/>
    <n v="2100"/>
    <n v="2100"/>
    <n v="2160"/>
    <n v="2160"/>
    <n v="2160"/>
    <n v="2290"/>
    <n v="2290"/>
    <n v="2290"/>
    <n v="2440"/>
    <n v="2440"/>
    <n v="2440"/>
    <n v="2440"/>
    <n v="2440"/>
    <n v="2440"/>
    <n v="2360"/>
    <n v="2360"/>
    <n v="2360"/>
    <n v="2160"/>
    <n v="2160"/>
    <n v="2460"/>
    <n v="2460"/>
    <n v="2460"/>
    <n v="2460"/>
    <n v="2380"/>
    <n v="2380"/>
    <n v="2380"/>
    <m/>
    <m/>
    <m/>
    <m/>
    <m/>
    <m/>
    <m/>
    <m/>
    <m/>
    <m/>
    <m/>
    <m/>
    <x v="50"/>
    <x v="7"/>
    <x v="12"/>
    <n v="2.38"/>
    <n v="14.042"/>
    <n v="0.14176320000000001"/>
    <n v="1.8254600000000001"/>
    <n v="0"/>
    <n v="9.1999999999999998E-2"/>
    <x v="96"/>
    <x v="113"/>
    <n v="105"/>
    <n v="120"/>
    <x v="3"/>
    <n v="-0.11941739513390992"/>
    <x v="103"/>
    <x v="117"/>
  </r>
  <r>
    <n v="17023"/>
    <x v="33"/>
    <x v="8"/>
    <x v="6"/>
    <m/>
    <x v="5"/>
    <s v="TECHNOCELL 6723 LOP"/>
    <s v="white"/>
    <n v="6723"/>
    <m/>
    <m/>
    <s v="EU"/>
    <x v="4"/>
    <x v="1"/>
    <m/>
    <m/>
    <m/>
    <x v="0"/>
    <m/>
    <m/>
    <m/>
    <s v="ton"/>
    <x v="12"/>
    <x v="2"/>
    <n v="2760"/>
    <n v="2760"/>
    <n v="2760"/>
    <n v="2760"/>
    <n v="2760"/>
    <n v="2760"/>
    <n v="2330"/>
    <n v="2330"/>
    <n v="2330"/>
    <n v="2180"/>
    <n v="2180"/>
    <n v="2180"/>
    <n v="2240"/>
    <n v="2240"/>
    <n v="2240"/>
    <n v="2370"/>
    <n v="2370"/>
    <n v="2370"/>
    <n v="2520"/>
    <n v="2520"/>
    <n v="2520"/>
    <n v="2520"/>
    <n v="2520"/>
    <n v="2520"/>
    <n v="2440"/>
    <n v="2440"/>
    <n v="2440"/>
    <n v="2240"/>
    <n v="2240"/>
    <n v="2540"/>
    <n v="2540"/>
    <n v="2540"/>
    <n v="2540"/>
    <n v="2460"/>
    <n v="2460"/>
    <n v="2460"/>
    <m/>
    <m/>
    <m/>
    <m/>
    <m/>
    <m/>
    <m/>
    <m/>
    <m/>
    <m/>
    <m/>
    <m/>
    <x v="79"/>
    <x v="7"/>
    <x v="12"/>
    <n v="2.46"/>
    <n v="14.514000000000001"/>
    <n v="0.14176320000000001"/>
    <n v="1.8868200000000002"/>
    <n v="0"/>
    <n v="9.1999999999999998E-2"/>
    <x v="86"/>
    <x v="114"/>
    <n v="105"/>
    <n v="120"/>
    <x v="3"/>
    <n v="-0.12337314812717537"/>
    <x v="90"/>
    <x v="118"/>
  </r>
  <r>
    <n v="17024"/>
    <x v="10"/>
    <x v="6"/>
    <x v="6"/>
    <s v="DP"/>
    <x v="5"/>
    <s v="TECHNOCELL 6656"/>
    <s v="beige"/>
    <n v="6656"/>
    <m/>
    <m/>
    <s v="EU"/>
    <x v="4"/>
    <x v="1"/>
    <m/>
    <m/>
    <m/>
    <x v="0"/>
    <m/>
    <m/>
    <m/>
    <s v="ton"/>
    <x v="2"/>
    <x v="2"/>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n v="2720"/>
    <n v="2720"/>
    <n v="2720"/>
    <m/>
    <m/>
    <m/>
    <x v="82"/>
    <x v="2"/>
    <x v="64"/>
    <n v="2.72"/>
    <n v="16.048000000000002"/>
    <n v="0.14176320000000001"/>
    <n v="2.0862400000000001"/>
    <n v="0"/>
    <n v="9.1999999999999998E-2"/>
    <x v="89"/>
    <x v="105"/>
    <n v="105"/>
    <n v="120"/>
    <x v="3"/>
    <n v="-0.13622934535528586"/>
    <x v="94"/>
    <x v="108"/>
  </r>
  <r>
    <n v="17024"/>
    <x v="10"/>
    <x v="6"/>
    <x v="6"/>
    <s v="DP"/>
    <x v="5"/>
    <s v="TECHNOCELL 6656"/>
    <s v="beige"/>
    <n v="6656"/>
    <m/>
    <m/>
    <s v="EU"/>
    <x v="4"/>
    <x v="1"/>
    <m/>
    <m/>
    <m/>
    <x v="0"/>
    <m/>
    <m/>
    <m/>
    <s v="ton"/>
    <x v="11"/>
    <x v="2"/>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n v="2770"/>
    <n v="2770"/>
    <n v="2770"/>
    <m/>
    <m/>
    <m/>
    <x v="83"/>
    <x v="2"/>
    <x v="65"/>
    <n v="2.77"/>
    <n v="16.343"/>
    <n v="0.14176320000000001"/>
    <n v="2.12459"/>
    <n v="0"/>
    <n v="9.1999999999999998E-2"/>
    <x v="90"/>
    <x v="106"/>
    <n v="105"/>
    <n v="120"/>
    <x v="3"/>
    <n v="-0.13870169097607388"/>
    <x v="95"/>
    <x v="109"/>
  </r>
  <r>
    <n v="17024"/>
    <x v="10"/>
    <x v="6"/>
    <x v="6"/>
    <s v="DP"/>
    <x v="5"/>
    <s v="TECHNOCELL 6656"/>
    <s v="beige"/>
    <n v="6656"/>
    <m/>
    <m/>
    <s v="EU"/>
    <x v="4"/>
    <x v="1"/>
    <m/>
    <m/>
    <m/>
    <x v="0"/>
    <m/>
    <m/>
    <m/>
    <s v="ton"/>
    <x v="1"/>
    <x v="2"/>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n v="2820"/>
    <n v="2820"/>
    <n v="2820"/>
    <m/>
    <m/>
    <m/>
    <x v="84"/>
    <x v="2"/>
    <x v="66"/>
    <n v="2.82"/>
    <n v="16.638000000000002"/>
    <n v="0.14176320000000001"/>
    <n v="2.1629400000000003"/>
    <n v="0"/>
    <n v="9.1999999999999998E-2"/>
    <x v="91"/>
    <x v="107"/>
    <n v="105"/>
    <n v="120"/>
    <x v="3"/>
    <n v="-0.14117403659686545"/>
    <x v="96"/>
    <x v="110"/>
  </r>
  <r>
    <n v="17024"/>
    <x v="10"/>
    <x v="6"/>
    <x v="6"/>
    <s v="DP"/>
    <x v="5"/>
    <s v="TECHNOCELL 6656"/>
    <s v="beige"/>
    <n v="6656"/>
    <m/>
    <m/>
    <s v="EU"/>
    <x v="4"/>
    <x v="1"/>
    <m/>
    <m/>
    <m/>
    <x v="0"/>
    <m/>
    <m/>
    <m/>
    <s v="ton"/>
    <x v="12"/>
    <x v="2"/>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n v="2900"/>
    <n v="2900"/>
    <n v="2900"/>
    <m/>
    <m/>
    <m/>
    <x v="25"/>
    <x v="2"/>
    <x v="67"/>
    <n v="2.9"/>
    <n v="17.11"/>
    <n v="0.14176320000000001"/>
    <n v="2.2242999999999999"/>
    <n v="0"/>
    <n v="9.1999999999999998E-2"/>
    <x v="25"/>
    <x v="108"/>
    <n v="105"/>
    <n v="120"/>
    <x v="3"/>
    <n v="-0.14512978959012912"/>
    <x v="97"/>
    <x v="111"/>
  </r>
  <r>
    <n v="17027"/>
    <x v="18"/>
    <x v="3"/>
    <x v="13"/>
    <s v="DP"/>
    <x v="5"/>
    <s v="TECHNOCELL 6552 STD"/>
    <s v="beige"/>
    <n v="6552"/>
    <m/>
    <m/>
    <s v="EU"/>
    <x v="4"/>
    <x v="1"/>
    <m/>
    <m/>
    <m/>
    <x v="0"/>
    <m/>
    <m/>
    <m/>
    <s v="ton"/>
    <x v="2"/>
    <x v="2"/>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n v="2410"/>
    <n v="2410"/>
    <n v="2410"/>
    <m/>
    <m/>
    <m/>
    <x v="59"/>
    <x v="2"/>
    <x v="68"/>
    <n v="2.41"/>
    <n v="14.219000000000001"/>
    <n v="0.14176320000000001"/>
    <n v="1.8484700000000003"/>
    <n v="0"/>
    <n v="9.1999999999999998E-2"/>
    <x v="92"/>
    <x v="109"/>
    <n v="105"/>
    <n v="120"/>
    <x v="3"/>
    <n v="-0.1209008025063838"/>
    <x v="98"/>
    <x v="112"/>
  </r>
  <r>
    <n v="17027"/>
    <x v="18"/>
    <x v="3"/>
    <x v="13"/>
    <s v="DP"/>
    <x v="5"/>
    <s v="TECHNOCELL 6552 STD"/>
    <s v="beige"/>
    <n v="6552"/>
    <m/>
    <m/>
    <s v="EU"/>
    <x v="4"/>
    <x v="1"/>
    <m/>
    <m/>
    <m/>
    <x v="0"/>
    <m/>
    <m/>
    <m/>
    <s v="ton"/>
    <x v="11"/>
    <x v="2"/>
    <n v="2960"/>
    <n v="2960"/>
    <n v="2960"/>
    <n v="2960"/>
    <n v="2960"/>
    <n v="2960"/>
    <n v="2350"/>
    <n v="2350"/>
    <n v="2350"/>
    <n v="2200"/>
    <n v="2200"/>
    <n v="2170"/>
    <m/>
    <m/>
    <m/>
    <n v="2390"/>
    <n v="2390"/>
    <n v="2390"/>
    <n v="2540"/>
    <n v="2540"/>
    <n v="2540"/>
    <n v="2540"/>
    <n v="2540"/>
    <n v="2540"/>
    <n v="2460"/>
    <n v="2460"/>
    <n v="2460"/>
    <n v="2220"/>
    <n v="2220"/>
    <n v="2350"/>
    <n v="2350"/>
    <n v="2350"/>
    <n v="2350"/>
    <n v="2250"/>
    <n v="2250"/>
    <n v="2250"/>
    <n v="2280"/>
    <n v="2280"/>
    <n v="2280"/>
    <n v="2380"/>
    <n v="2380"/>
    <n v="2380"/>
    <n v="2460"/>
    <n v="2460"/>
    <n v="2460"/>
    <m/>
    <m/>
    <m/>
    <x v="79"/>
    <x v="2"/>
    <x v="60"/>
    <n v="2.46"/>
    <n v="14.514000000000001"/>
    <n v="0.14176320000000001"/>
    <n v="1.8868200000000002"/>
    <n v="0"/>
    <n v="9.1999999999999998E-2"/>
    <x v="86"/>
    <x v="102"/>
    <n v="105"/>
    <n v="120"/>
    <x v="3"/>
    <n v="-0.12337314812717537"/>
    <x v="90"/>
    <x v="104"/>
  </r>
  <r>
    <n v="17027"/>
    <x v="18"/>
    <x v="3"/>
    <x v="13"/>
    <s v="DP"/>
    <x v="5"/>
    <s v="TECHNOCELL 6552 STD"/>
    <s v="beige"/>
    <n v="6552"/>
    <m/>
    <m/>
    <s v="EU"/>
    <x v="4"/>
    <x v="1"/>
    <m/>
    <m/>
    <m/>
    <x v="0"/>
    <m/>
    <m/>
    <m/>
    <s v="ton"/>
    <x v="1"/>
    <x v="2"/>
    <n v="3010"/>
    <n v="3010"/>
    <n v="3010"/>
    <n v="3010"/>
    <n v="3010"/>
    <n v="3010"/>
    <n v="2400"/>
    <n v="2400"/>
    <n v="2400"/>
    <n v="2250"/>
    <n v="2250"/>
    <n v="2220"/>
    <m/>
    <m/>
    <m/>
    <n v="2440"/>
    <n v="2440"/>
    <n v="2440"/>
    <n v="2590"/>
    <n v="2590"/>
    <n v="2590"/>
    <n v="2590"/>
    <n v="2590"/>
    <n v="2590"/>
    <n v="2510"/>
    <n v="2510"/>
    <n v="2510"/>
    <n v="2270"/>
    <n v="2270"/>
    <n v="2400"/>
    <n v="2400"/>
    <n v="2400"/>
    <n v="2400"/>
    <n v="2300"/>
    <n v="2300"/>
    <n v="2300"/>
    <n v="2330"/>
    <n v="2330"/>
    <n v="2330"/>
    <n v="2430"/>
    <n v="2430"/>
    <n v="2430"/>
    <n v="2510"/>
    <n v="2510"/>
    <n v="2510"/>
    <m/>
    <m/>
    <m/>
    <x v="80"/>
    <x v="2"/>
    <x v="61"/>
    <n v="2.5099999999999998"/>
    <n v="14.808999999999999"/>
    <n v="0.14176320000000001"/>
    <n v="1.92517"/>
    <n v="0"/>
    <n v="9.1999999999999998E-2"/>
    <x v="87"/>
    <x v="103"/>
    <n v="105"/>
    <n v="120"/>
    <x v="3"/>
    <n v="-0.12584549374796339"/>
    <x v="91"/>
    <x v="105"/>
  </r>
  <r>
    <n v="17027"/>
    <x v="18"/>
    <x v="3"/>
    <x v="13"/>
    <s v="DP"/>
    <x v="5"/>
    <s v="TECHNOCELL 6552 STD"/>
    <s v="beige"/>
    <n v="6552"/>
    <m/>
    <m/>
    <s v="EU"/>
    <x v="4"/>
    <x v="1"/>
    <m/>
    <m/>
    <m/>
    <x v="0"/>
    <m/>
    <m/>
    <m/>
    <s v="ton"/>
    <x v="12"/>
    <x v="2"/>
    <n v="3090"/>
    <n v="3090"/>
    <n v="3090"/>
    <n v="3090"/>
    <n v="3090"/>
    <n v="3090"/>
    <n v="2480"/>
    <n v="2480"/>
    <n v="2480"/>
    <n v="2330"/>
    <n v="2330"/>
    <n v="2300"/>
    <m/>
    <m/>
    <m/>
    <n v="2520"/>
    <n v="2520"/>
    <n v="2520"/>
    <n v="2670"/>
    <n v="2670"/>
    <n v="2670"/>
    <n v="2670"/>
    <n v="2670"/>
    <n v="2670"/>
    <n v="2590"/>
    <n v="2590"/>
    <n v="2590"/>
    <n v="2350"/>
    <n v="2350"/>
    <n v="2480"/>
    <n v="2480"/>
    <n v="2480"/>
    <n v="2480"/>
    <n v="2380"/>
    <n v="2380"/>
    <n v="2380"/>
    <n v="2410"/>
    <n v="2410"/>
    <n v="2410"/>
    <n v="2510"/>
    <n v="2510"/>
    <n v="2510"/>
    <n v="2590"/>
    <n v="2590"/>
    <n v="2590"/>
    <m/>
    <m/>
    <m/>
    <x v="85"/>
    <x v="2"/>
    <x v="69"/>
    <n v="2.59"/>
    <n v="15.281000000000001"/>
    <n v="0.14176320000000001"/>
    <n v="1.9865300000000001"/>
    <n v="0"/>
    <n v="9.1999999999999998E-2"/>
    <x v="93"/>
    <x v="110"/>
    <n v="105"/>
    <n v="120"/>
    <x v="3"/>
    <n v="-0.12980124674123061"/>
    <x v="99"/>
    <x v="113"/>
  </r>
  <r>
    <n v="17027"/>
    <x v="18"/>
    <x v="3"/>
    <x v="13"/>
    <s v="DP"/>
    <x v="5"/>
    <s v="TECHNOCELL 6552 STD"/>
    <s v="beige"/>
    <n v="6552"/>
    <m/>
    <m/>
    <s v="EU"/>
    <x v="4"/>
    <x v="1"/>
    <m/>
    <m/>
    <m/>
    <x v="0"/>
    <m/>
    <m/>
    <m/>
    <s v="ton"/>
    <x v="3"/>
    <x v="2"/>
    <m/>
    <m/>
    <m/>
    <m/>
    <m/>
    <m/>
    <m/>
    <m/>
    <m/>
    <m/>
    <m/>
    <m/>
    <m/>
    <m/>
    <m/>
    <m/>
    <m/>
    <m/>
    <n v="2050"/>
    <n v="2050"/>
    <n v="2050"/>
    <n v="2050"/>
    <n v="2050"/>
    <n v="2050"/>
    <n v="2050"/>
    <n v="2050"/>
    <n v="2050"/>
    <n v="1750"/>
    <n v="1750"/>
    <m/>
    <m/>
    <m/>
    <m/>
    <m/>
    <m/>
    <m/>
    <m/>
    <m/>
    <m/>
    <m/>
    <m/>
    <m/>
    <m/>
    <m/>
    <m/>
    <m/>
    <m/>
    <m/>
    <x v="33"/>
    <x v="15"/>
    <x v="0"/>
    <n v="1.75"/>
    <n v="10.325000000000001"/>
    <n v="0.14176320000000001"/>
    <n v="1.3422500000000002"/>
    <n v="0"/>
    <n v="9.1999999999999998E-2"/>
    <x v="33"/>
    <x v="34"/>
    <n v="105"/>
    <n v="120"/>
    <x v="3"/>
    <n v="-8.8265840311951393E-2"/>
    <x v="100"/>
    <x v="114"/>
  </r>
  <r>
    <n v="17028"/>
    <x v="18"/>
    <x v="3"/>
    <x v="5"/>
    <s v="DP"/>
    <x v="5"/>
    <s v="TECHNOCELL 6552 STD"/>
    <s v="beige"/>
    <n v="6552"/>
    <m/>
    <m/>
    <s v="EU"/>
    <x v="4"/>
    <x v="1"/>
    <m/>
    <m/>
    <m/>
    <x v="0"/>
    <m/>
    <m/>
    <m/>
    <s v="ton"/>
    <x v="2"/>
    <x v="2"/>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n v="2410"/>
    <n v="2410"/>
    <n v="2410"/>
    <m/>
    <m/>
    <m/>
    <x v="59"/>
    <x v="2"/>
    <x v="68"/>
    <n v="2.41"/>
    <n v="14.219000000000001"/>
    <n v="0.14176320000000001"/>
    <n v="1.8484700000000003"/>
    <n v="0"/>
    <n v="9.1999999999999998E-2"/>
    <x v="92"/>
    <x v="109"/>
    <n v="105"/>
    <n v="120"/>
    <x v="3"/>
    <n v="-0.1209008025063838"/>
    <x v="98"/>
    <x v="112"/>
  </r>
  <r>
    <n v="17028"/>
    <x v="18"/>
    <x v="3"/>
    <x v="5"/>
    <s v="DP"/>
    <x v="5"/>
    <s v="TECHNOCELL 6552 STD"/>
    <s v="beige"/>
    <n v="6552"/>
    <m/>
    <m/>
    <s v="EU"/>
    <x v="4"/>
    <x v="1"/>
    <m/>
    <m/>
    <m/>
    <x v="0"/>
    <m/>
    <m/>
    <m/>
    <s v="ton"/>
    <x v="11"/>
    <x v="2"/>
    <n v="2960"/>
    <n v="2960"/>
    <n v="2960"/>
    <n v="2960"/>
    <n v="2960"/>
    <n v="2960"/>
    <n v="2350"/>
    <n v="2350"/>
    <n v="2350"/>
    <n v="2200"/>
    <n v="2200"/>
    <n v="2170"/>
    <n v="2260"/>
    <n v="2260"/>
    <n v="2260"/>
    <n v="2390"/>
    <n v="2390"/>
    <n v="2390"/>
    <n v="2540"/>
    <n v="2540"/>
    <n v="2540"/>
    <n v="2540"/>
    <n v="2540"/>
    <n v="2540"/>
    <n v="2460"/>
    <n v="2460"/>
    <n v="2460"/>
    <n v="2220"/>
    <n v="2220"/>
    <n v="2350"/>
    <n v="2350"/>
    <n v="2350"/>
    <n v="2350"/>
    <n v="2250"/>
    <n v="2250"/>
    <n v="2250"/>
    <n v="2280"/>
    <n v="2280"/>
    <n v="2280"/>
    <n v="2380"/>
    <n v="2380"/>
    <n v="2380"/>
    <n v="2460"/>
    <n v="2460"/>
    <n v="2460"/>
    <m/>
    <m/>
    <m/>
    <x v="79"/>
    <x v="2"/>
    <x v="60"/>
    <n v="2.46"/>
    <n v="14.514000000000001"/>
    <n v="0.14176320000000001"/>
    <n v="1.8868200000000002"/>
    <n v="0"/>
    <n v="9.1999999999999998E-2"/>
    <x v="86"/>
    <x v="102"/>
    <n v="105"/>
    <n v="120"/>
    <x v="3"/>
    <n v="-0.12337314812717537"/>
    <x v="90"/>
    <x v="104"/>
  </r>
  <r>
    <n v="17028"/>
    <x v="18"/>
    <x v="3"/>
    <x v="5"/>
    <s v="DP"/>
    <x v="5"/>
    <s v="TECHNOCELL 6552 STD"/>
    <s v="beige"/>
    <n v="6552"/>
    <m/>
    <m/>
    <s v="EU"/>
    <x v="4"/>
    <x v="1"/>
    <m/>
    <m/>
    <m/>
    <x v="0"/>
    <m/>
    <m/>
    <m/>
    <s v="ton"/>
    <x v="1"/>
    <x v="2"/>
    <n v="3010"/>
    <n v="3010"/>
    <n v="3010"/>
    <n v="3010"/>
    <n v="3010"/>
    <n v="3010"/>
    <n v="2400"/>
    <n v="2400"/>
    <n v="2400"/>
    <n v="2250"/>
    <n v="2250"/>
    <n v="2220"/>
    <n v="2310"/>
    <n v="2310"/>
    <n v="2310"/>
    <n v="2440"/>
    <n v="2440"/>
    <n v="2440"/>
    <n v="2590"/>
    <n v="2590"/>
    <n v="2590"/>
    <n v="2590"/>
    <n v="2590"/>
    <n v="2590"/>
    <n v="2510"/>
    <n v="2510"/>
    <n v="2510"/>
    <n v="2270"/>
    <n v="2270"/>
    <n v="2400"/>
    <n v="2400"/>
    <n v="2400"/>
    <n v="2400"/>
    <n v="2300"/>
    <n v="2300"/>
    <n v="2300"/>
    <n v="2330"/>
    <n v="2330"/>
    <n v="2330"/>
    <n v="2430"/>
    <n v="2430"/>
    <n v="2430"/>
    <n v="2510"/>
    <n v="2510"/>
    <n v="2510"/>
    <m/>
    <m/>
    <m/>
    <x v="80"/>
    <x v="2"/>
    <x v="61"/>
    <n v="2.5099999999999998"/>
    <n v="14.808999999999999"/>
    <n v="0.14176320000000001"/>
    <n v="1.92517"/>
    <n v="0"/>
    <n v="9.1999999999999998E-2"/>
    <x v="87"/>
    <x v="103"/>
    <n v="105"/>
    <n v="120"/>
    <x v="3"/>
    <n v="-0.12584549374796339"/>
    <x v="91"/>
    <x v="105"/>
  </r>
  <r>
    <n v="17028"/>
    <x v="18"/>
    <x v="3"/>
    <x v="5"/>
    <s v="DP"/>
    <x v="5"/>
    <s v="TECHNOCELL 6552 STD"/>
    <s v="beige"/>
    <n v="6552"/>
    <m/>
    <m/>
    <s v="EU"/>
    <x v="4"/>
    <x v="1"/>
    <m/>
    <m/>
    <m/>
    <x v="0"/>
    <m/>
    <m/>
    <m/>
    <s v="ton"/>
    <x v="12"/>
    <x v="2"/>
    <n v="3090"/>
    <n v="3090"/>
    <n v="3090"/>
    <n v="3090"/>
    <n v="3090"/>
    <n v="3090"/>
    <n v="2480"/>
    <n v="2480"/>
    <n v="2480"/>
    <n v="2330"/>
    <n v="2330"/>
    <n v="2300"/>
    <n v="2390"/>
    <n v="2390"/>
    <n v="2390"/>
    <n v="2520"/>
    <n v="2520"/>
    <n v="2520"/>
    <n v="2670"/>
    <n v="2670"/>
    <n v="2670"/>
    <n v="2670"/>
    <n v="2670"/>
    <n v="2670"/>
    <n v="2590"/>
    <n v="2590"/>
    <n v="2590"/>
    <n v="2350"/>
    <n v="2350"/>
    <n v="2480"/>
    <n v="2480"/>
    <n v="2480"/>
    <n v="2480"/>
    <n v="2380"/>
    <n v="2380"/>
    <n v="2380"/>
    <n v="2410"/>
    <n v="2410"/>
    <n v="2410"/>
    <n v="2510"/>
    <n v="2510"/>
    <n v="2510"/>
    <n v="2590"/>
    <n v="2590"/>
    <n v="2590"/>
    <m/>
    <m/>
    <m/>
    <x v="85"/>
    <x v="2"/>
    <x v="69"/>
    <n v="2.59"/>
    <n v="15.281000000000001"/>
    <n v="0.14176320000000001"/>
    <n v="1.9865300000000001"/>
    <n v="0"/>
    <n v="9.1999999999999998E-2"/>
    <x v="93"/>
    <x v="110"/>
    <n v="105"/>
    <n v="120"/>
    <x v="3"/>
    <n v="-0.12980124674123061"/>
    <x v="99"/>
    <x v="113"/>
  </r>
  <r>
    <n v="17028"/>
    <x v="18"/>
    <x v="3"/>
    <x v="5"/>
    <s v="DP"/>
    <x v="5"/>
    <s v="TECHNOCELL 6552 STD"/>
    <s v="beige"/>
    <n v="6552"/>
    <m/>
    <m/>
    <s v="EU"/>
    <x v="4"/>
    <x v="1"/>
    <m/>
    <m/>
    <m/>
    <x v="0"/>
    <m/>
    <m/>
    <m/>
    <s v="ton"/>
    <x v="3"/>
    <x v="2"/>
    <m/>
    <m/>
    <m/>
    <m/>
    <m/>
    <m/>
    <m/>
    <m/>
    <m/>
    <m/>
    <m/>
    <m/>
    <m/>
    <m/>
    <m/>
    <m/>
    <m/>
    <m/>
    <n v="2050"/>
    <n v="2050"/>
    <n v="2050"/>
    <n v="2050"/>
    <n v="2050"/>
    <n v="2050"/>
    <n v="2050"/>
    <n v="2050"/>
    <n v="2050"/>
    <n v="1750"/>
    <n v="1750"/>
    <m/>
    <m/>
    <m/>
    <m/>
    <m/>
    <m/>
    <m/>
    <m/>
    <m/>
    <m/>
    <m/>
    <m/>
    <m/>
    <m/>
    <m/>
    <m/>
    <m/>
    <m/>
    <m/>
    <x v="33"/>
    <x v="15"/>
    <x v="0"/>
    <n v="1.75"/>
    <n v="10.325000000000001"/>
    <n v="0.14176320000000001"/>
    <n v="1.3422500000000002"/>
    <n v="0"/>
    <n v="9.1999999999999998E-2"/>
    <x v="33"/>
    <x v="34"/>
    <n v="105"/>
    <n v="120"/>
    <x v="3"/>
    <n v="-8.8265840311951393E-2"/>
    <x v="100"/>
    <x v="114"/>
  </r>
  <r>
    <n v="17036"/>
    <x v="19"/>
    <x v="3"/>
    <x v="15"/>
    <s v="DP"/>
    <x v="5"/>
    <s v="TECHNOCELL 6412 STD"/>
    <s v="white"/>
    <n v="6412"/>
    <m/>
    <m/>
    <s v="EU"/>
    <x v="4"/>
    <x v="1"/>
    <m/>
    <m/>
    <m/>
    <x v="0"/>
    <m/>
    <m/>
    <m/>
    <s v="ton"/>
    <x v="2"/>
    <x v="2"/>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n v="2460"/>
    <n v="2460"/>
    <n v="2460"/>
    <m/>
    <m/>
    <m/>
    <x v="79"/>
    <x v="2"/>
    <x v="60"/>
    <n v="2.46"/>
    <n v="14.514000000000001"/>
    <n v="0.14176320000000001"/>
    <n v="1.8868200000000002"/>
    <n v="0"/>
    <n v="9.1999999999999998E-2"/>
    <x v="86"/>
    <x v="102"/>
    <n v="105"/>
    <n v="120"/>
    <x v="3"/>
    <n v="-0.12337314812717537"/>
    <x v="90"/>
    <x v="104"/>
  </r>
  <r>
    <n v="17036"/>
    <x v="19"/>
    <x v="3"/>
    <x v="15"/>
    <s v="DP"/>
    <x v="5"/>
    <s v="TECHNOCELL 6412 STD"/>
    <s v="white"/>
    <n v="6412"/>
    <m/>
    <m/>
    <s v="EU"/>
    <x v="4"/>
    <x v="1"/>
    <m/>
    <m/>
    <m/>
    <x v="0"/>
    <m/>
    <m/>
    <m/>
    <s v="ton"/>
    <x v="11"/>
    <x v="2"/>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n v="2510"/>
    <n v="2510"/>
    <n v="2510"/>
    <m/>
    <m/>
    <m/>
    <x v="80"/>
    <x v="2"/>
    <x v="61"/>
    <n v="2.5099999999999998"/>
    <n v="14.808999999999999"/>
    <n v="0.14176320000000001"/>
    <n v="1.92517"/>
    <n v="0"/>
    <n v="9.1999999999999998E-2"/>
    <x v="87"/>
    <x v="103"/>
    <n v="105"/>
    <n v="120"/>
    <x v="3"/>
    <n v="-0.12584549374796339"/>
    <x v="91"/>
    <x v="105"/>
  </r>
  <r>
    <n v="17036"/>
    <x v="19"/>
    <x v="3"/>
    <x v="15"/>
    <s v="DP"/>
    <x v="5"/>
    <s v="TECHNOCELL 6412 STD"/>
    <s v="white"/>
    <n v="6412"/>
    <m/>
    <m/>
    <s v="EU"/>
    <x v="4"/>
    <x v="1"/>
    <m/>
    <m/>
    <m/>
    <x v="0"/>
    <m/>
    <m/>
    <m/>
    <s v="ton"/>
    <x v="1"/>
    <x v="2"/>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n v="2560"/>
    <n v="2560"/>
    <n v="2560"/>
    <m/>
    <m/>
    <m/>
    <x v="81"/>
    <x v="2"/>
    <x v="62"/>
    <n v="2.56"/>
    <n v="15.104000000000001"/>
    <n v="0.14176320000000001"/>
    <n v="1.9635200000000002"/>
    <n v="0"/>
    <n v="9.1999999999999998E-2"/>
    <x v="88"/>
    <x v="104"/>
    <n v="105"/>
    <n v="120"/>
    <x v="3"/>
    <n v="-0.12831783936875496"/>
    <x v="92"/>
    <x v="106"/>
  </r>
  <r>
    <n v="17036"/>
    <x v="19"/>
    <x v="3"/>
    <x v="15"/>
    <s v="DP"/>
    <x v="5"/>
    <s v="TECHNOCELL 6412 STD"/>
    <s v="white"/>
    <n v="6412"/>
    <m/>
    <m/>
    <s v="EU"/>
    <x v="4"/>
    <x v="1"/>
    <m/>
    <m/>
    <m/>
    <x v="0"/>
    <m/>
    <m/>
    <m/>
    <s v="ton"/>
    <x v="12"/>
    <x v="2"/>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n v="2640"/>
    <n v="2640"/>
    <n v="2640"/>
    <m/>
    <m/>
    <m/>
    <x v="13"/>
    <x v="2"/>
    <x v="63"/>
    <n v="2.64"/>
    <n v="15.576000000000002"/>
    <n v="0.14176320000000001"/>
    <n v="2.0248800000000005"/>
    <n v="0"/>
    <n v="9.1999999999999998E-2"/>
    <x v="13"/>
    <x v="13"/>
    <n v="105"/>
    <n v="120"/>
    <x v="3"/>
    <n v="-0.13227359236201863"/>
    <x v="93"/>
    <x v="107"/>
  </r>
  <r>
    <n v="17039"/>
    <x v="19"/>
    <x v="3"/>
    <x v="5"/>
    <s v="DP"/>
    <x v="5"/>
    <s v="TECHNOCELL 6412 STD"/>
    <s v="white"/>
    <n v="6412"/>
    <m/>
    <m/>
    <s v="EU"/>
    <x v="4"/>
    <x v="1"/>
    <m/>
    <m/>
    <m/>
    <x v="0"/>
    <m/>
    <m/>
    <m/>
    <s v="ton"/>
    <x v="2"/>
    <x v="2"/>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n v="2460"/>
    <n v="2460"/>
    <n v="2460"/>
    <m/>
    <m/>
    <m/>
    <x v="79"/>
    <x v="2"/>
    <x v="60"/>
    <n v="2.46"/>
    <n v="14.514000000000001"/>
    <n v="0.14176320000000001"/>
    <n v="1.8868200000000002"/>
    <n v="0"/>
    <n v="9.1999999999999998E-2"/>
    <x v="86"/>
    <x v="102"/>
    <n v="105"/>
    <n v="120"/>
    <x v="3"/>
    <n v="-0.12337314812717537"/>
    <x v="90"/>
    <x v="104"/>
  </r>
  <r>
    <n v="17039"/>
    <x v="19"/>
    <x v="3"/>
    <x v="5"/>
    <s v="DP"/>
    <x v="5"/>
    <s v="TECHNOCELL 6412 STD"/>
    <s v="white"/>
    <n v="6412"/>
    <m/>
    <m/>
    <s v="EU"/>
    <x v="4"/>
    <x v="1"/>
    <m/>
    <m/>
    <m/>
    <x v="0"/>
    <m/>
    <m/>
    <m/>
    <s v="ton"/>
    <x v="11"/>
    <x v="2"/>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n v="2510"/>
    <n v="2510"/>
    <n v="2510"/>
    <m/>
    <m/>
    <m/>
    <x v="80"/>
    <x v="2"/>
    <x v="61"/>
    <n v="2.5099999999999998"/>
    <n v="14.808999999999999"/>
    <n v="0.14176320000000001"/>
    <n v="1.92517"/>
    <n v="0"/>
    <n v="9.1999999999999998E-2"/>
    <x v="87"/>
    <x v="103"/>
    <n v="105"/>
    <n v="120"/>
    <x v="3"/>
    <n v="-0.12584549374796339"/>
    <x v="91"/>
    <x v="105"/>
  </r>
  <r>
    <n v="17039"/>
    <x v="19"/>
    <x v="3"/>
    <x v="5"/>
    <s v="DP"/>
    <x v="5"/>
    <s v="TECHNOCELL 6412 STD"/>
    <s v="white"/>
    <n v="6412"/>
    <m/>
    <m/>
    <s v="EU"/>
    <x v="4"/>
    <x v="1"/>
    <m/>
    <m/>
    <m/>
    <x v="0"/>
    <m/>
    <m/>
    <m/>
    <s v="ton"/>
    <x v="1"/>
    <x v="2"/>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n v="2560"/>
    <n v="2560"/>
    <n v="2560"/>
    <m/>
    <m/>
    <m/>
    <x v="81"/>
    <x v="2"/>
    <x v="62"/>
    <n v="2.56"/>
    <n v="15.104000000000001"/>
    <n v="0.14176320000000001"/>
    <n v="1.9635200000000002"/>
    <n v="0"/>
    <n v="9.1999999999999998E-2"/>
    <x v="88"/>
    <x v="104"/>
    <n v="105"/>
    <n v="120"/>
    <x v="3"/>
    <n v="-0.12831783936875496"/>
    <x v="92"/>
    <x v="106"/>
  </r>
  <r>
    <n v="17039"/>
    <x v="19"/>
    <x v="3"/>
    <x v="5"/>
    <s v="DP"/>
    <x v="5"/>
    <s v="TECHNOCELL 6412 STD"/>
    <s v="white"/>
    <n v="6412"/>
    <m/>
    <m/>
    <s v="EU"/>
    <x v="4"/>
    <x v="1"/>
    <m/>
    <m/>
    <m/>
    <x v="0"/>
    <m/>
    <m/>
    <m/>
    <s v="ton"/>
    <x v="12"/>
    <x v="2"/>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n v="2640"/>
    <n v="2640"/>
    <n v="2640"/>
    <m/>
    <m/>
    <m/>
    <x v="13"/>
    <x v="2"/>
    <x v="63"/>
    <n v="2.64"/>
    <n v="15.576000000000002"/>
    <n v="0.14176320000000001"/>
    <n v="2.0248800000000005"/>
    <n v="0"/>
    <n v="9.1999999999999998E-2"/>
    <x v="13"/>
    <x v="13"/>
    <n v="105"/>
    <n v="120"/>
    <x v="3"/>
    <n v="-0.13227359236201863"/>
    <x v="93"/>
    <x v="107"/>
  </r>
  <r>
    <n v="17042"/>
    <x v="34"/>
    <x v="3"/>
    <x v="6"/>
    <s v="DP"/>
    <x v="5"/>
    <s v="TECHNOCELL 6795 LOP"/>
    <s v="beige"/>
    <n v="6795"/>
    <m/>
    <m/>
    <s v="EU"/>
    <x v="4"/>
    <x v="1"/>
    <m/>
    <m/>
    <m/>
    <x v="0"/>
    <m/>
    <m/>
    <m/>
    <s v="ton"/>
    <x v="2"/>
    <x v="2"/>
    <n v="2560"/>
    <n v="2560"/>
    <n v="2560"/>
    <n v="2560"/>
    <n v="2560"/>
    <n v="2560"/>
    <n v="2190"/>
    <n v="2190"/>
    <n v="2190"/>
    <n v="2040"/>
    <n v="2040"/>
    <n v="2040"/>
    <n v="2100"/>
    <n v="2100"/>
    <n v="2100"/>
    <n v="2230"/>
    <n v="2230"/>
    <n v="2230"/>
    <n v="2380"/>
    <n v="2380"/>
    <n v="2380"/>
    <n v="2380"/>
    <n v="2380"/>
    <n v="2380"/>
    <n v="2300"/>
    <n v="2300"/>
    <n v="2300"/>
    <n v="2100"/>
    <n v="2100"/>
    <n v="2400"/>
    <n v="2400"/>
    <n v="2400"/>
    <n v="2400"/>
    <n v="2320"/>
    <n v="2320"/>
    <n v="2320"/>
    <n v="2350"/>
    <n v="2350"/>
    <n v="2350"/>
    <n v="2450"/>
    <n v="2450"/>
    <n v="2450"/>
    <n v="2530"/>
    <n v="2530"/>
    <n v="2530"/>
    <m/>
    <m/>
    <m/>
    <x v="87"/>
    <x v="2"/>
    <x v="71"/>
    <n v="2.5299999999999998"/>
    <n v="14.927"/>
    <n v="0.14176320000000001"/>
    <n v="1.94051"/>
    <n v="0"/>
    <n v="9.1999999999999998E-2"/>
    <x v="97"/>
    <x v="115"/>
    <n v="105"/>
    <n v="120"/>
    <x v="3"/>
    <n v="-0.12683443199628286"/>
    <x v="104"/>
    <x v="119"/>
  </r>
  <r>
    <n v="17042"/>
    <x v="34"/>
    <x v="3"/>
    <x v="6"/>
    <s v="DP"/>
    <x v="5"/>
    <s v="TECHNOCELL 6795 LOP"/>
    <s v="beige"/>
    <n v="6795"/>
    <m/>
    <m/>
    <s v="EU"/>
    <x v="4"/>
    <x v="1"/>
    <m/>
    <m/>
    <m/>
    <x v="0"/>
    <m/>
    <m/>
    <m/>
    <s v="ton"/>
    <x v="11"/>
    <x v="2"/>
    <n v="2610"/>
    <n v="2610"/>
    <n v="2610"/>
    <n v="2610"/>
    <n v="2610"/>
    <n v="2610"/>
    <n v="2240"/>
    <n v="2240"/>
    <n v="2240"/>
    <n v="2045"/>
    <n v="2045"/>
    <n v="2045"/>
    <n v="2150"/>
    <n v="2150"/>
    <n v="2150"/>
    <n v="2280"/>
    <n v="2280"/>
    <n v="2280"/>
    <n v="2430"/>
    <n v="2430"/>
    <n v="2430"/>
    <n v="2430"/>
    <n v="2430"/>
    <n v="2430"/>
    <n v="2350"/>
    <n v="2350"/>
    <n v="2350"/>
    <n v="2150"/>
    <n v="2150"/>
    <n v="2450"/>
    <n v="2450"/>
    <n v="2450"/>
    <n v="2450"/>
    <n v="2370"/>
    <n v="2370"/>
    <n v="2370"/>
    <m/>
    <m/>
    <m/>
    <m/>
    <m/>
    <m/>
    <m/>
    <m/>
    <m/>
    <m/>
    <m/>
    <m/>
    <x v="23"/>
    <x v="7"/>
    <x v="12"/>
    <n v="2.37"/>
    <n v="13.983000000000002"/>
    <n v="0.14176320000000001"/>
    <n v="1.8177900000000005"/>
    <n v="0"/>
    <n v="9.1999999999999998E-2"/>
    <x v="23"/>
    <x v="116"/>
    <n v="105"/>
    <n v="120"/>
    <x v="3"/>
    <n v="-0.11892292600975196"/>
    <x v="105"/>
    <x v="120"/>
  </r>
  <r>
    <n v="17042"/>
    <x v="34"/>
    <x v="3"/>
    <x v="6"/>
    <s v="DP"/>
    <x v="5"/>
    <s v="TECHNOCELL 6795 LOP"/>
    <s v="beige"/>
    <n v="6795"/>
    <m/>
    <m/>
    <s v="EU"/>
    <x v="4"/>
    <x v="1"/>
    <m/>
    <m/>
    <m/>
    <x v="0"/>
    <m/>
    <m/>
    <m/>
    <s v="ton"/>
    <x v="1"/>
    <x v="2"/>
    <n v="2660"/>
    <n v="2660"/>
    <n v="2660"/>
    <n v="2660"/>
    <n v="2660"/>
    <n v="2660"/>
    <n v="2290"/>
    <n v="2290"/>
    <n v="2290"/>
    <n v="2050"/>
    <n v="2050"/>
    <n v="2050"/>
    <n v="2200"/>
    <n v="2200"/>
    <n v="2200"/>
    <n v="2330"/>
    <n v="2330"/>
    <n v="2330"/>
    <n v="2480"/>
    <n v="2480"/>
    <n v="2480"/>
    <n v="2480"/>
    <n v="2480"/>
    <n v="2480"/>
    <n v="2400"/>
    <n v="2400"/>
    <n v="2400"/>
    <n v="2200"/>
    <n v="2200"/>
    <n v="2500"/>
    <n v="2500"/>
    <n v="2500"/>
    <n v="2500"/>
    <n v="2420"/>
    <n v="2420"/>
    <n v="2420"/>
    <m/>
    <m/>
    <m/>
    <m/>
    <m/>
    <m/>
    <m/>
    <m/>
    <m/>
    <m/>
    <m/>
    <m/>
    <x v="88"/>
    <x v="7"/>
    <x v="12"/>
    <n v="2.42"/>
    <n v="14.278"/>
    <n v="0.14176320000000001"/>
    <n v="1.8561400000000001"/>
    <n v="0"/>
    <n v="9.1999999999999998E-2"/>
    <x v="98"/>
    <x v="117"/>
    <n v="105"/>
    <n v="120"/>
    <x v="3"/>
    <n v="-0.12139527163054353"/>
    <x v="106"/>
    <x v="121"/>
  </r>
  <r>
    <n v="17042"/>
    <x v="34"/>
    <x v="3"/>
    <x v="6"/>
    <s v="DP"/>
    <x v="5"/>
    <s v="TECHNOCELL 6795 LOP"/>
    <s v="beige"/>
    <n v="6795"/>
    <m/>
    <m/>
    <s v="EU"/>
    <x v="4"/>
    <x v="1"/>
    <m/>
    <m/>
    <m/>
    <x v="0"/>
    <m/>
    <m/>
    <m/>
    <s v="ton"/>
    <x v="12"/>
    <x v="2"/>
    <n v="2740"/>
    <n v="2740"/>
    <n v="2740"/>
    <n v="2740"/>
    <n v="2740"/>
    <n v="2740"/>
    <n v="2370"/>
    <n v="2370"/>
    <n v="2370"/>
    <n v="2058"/>
    <n v="2058"/>
    <n v="2058"/>
    <n v="2280"/>
    <n v="2280"/>
    <n v="2280"/>
    <n v="2410"/>
    <n v="2410"/>
    <n v="2410"/>
    <n v="2560"/>
    <n v="2560"/>
    <n v="2560"/>
    <n v="2560"/>
    <n v="2560"/>
    <n v="2560"/>
    <n v="2480"/>
    <n v="2480"/>
    <n v="2480"/>
    <n v="2280"/>
    <n v="2280"/>
    <n v="2580"/>
    <n v="2580"/>
    <n v="2580"/>
    <n v="2580"/>
    <n v="2500"/>
    <n v="2500"/>
    <n v="2500"/>
    <m/>
    <m/>
    <m/>
    <m/>
    <m/>
    <m/>
    <m/>
    <m/>
    <m/>
    <m/>
    <m/>
    <m/>
    <x v="41"/>
    <x v="7"/>
    <x v="12"/>
    <n v="2.5"/>
    <n v="14.75"/>
    <n v="0.14176320000000001"/>
    <n v="1.9175"/>
    <n v="0"/>
    <n v="9.1999999999999998E-2"/>
    <x v="41"/>
    <x v="118"/>
    <n v="105"/>
    <n v="120"/>
    <x v="3"/>
    <n v="-0.12535102462380721"/>
    <x v="43"/>
    <x v="122"/>
  </r>
  <r>
    <n v="17045"/>
    <x v="34"/>
    <x v="3"/>
    <x v="20"/>
    <s v="DP"/>
    <x v="5"/>
    <s v="TECHNOCELL 6795 LOP"/>
    <s v="beige"/>
    <n v="6795"/>
    <m/>
    <m/>
    <s v="EU"/>
    <x v="4"/>
    <x v="1"/>
    <m/>
    <m/>
    <m/>
    <x v="0"/>
    <m/>
    <m/>
    <m/>
    <s v="ton"/>
    <x v="2"/>
    <x v="2"/>
    <n v="2560"/>
    <n v="2560"/>
    <n v="2560"/>
    <n v="2560"/>
    <n v="2560"/>
    <n v="2560"/>
    <n v="2190"/>
    <n v="2190"/>
    <n v="2190"/>
    <n v="2040"/>
    <n v="2040"/>
    <n v="2040"/>
    <n v="2100"/>
    <n v="2100"/>
    <n v="2100"/>
    <n v="2230"/>
    <n v="2230"/>
    <n v="2230"/>
    <n v="2380"/>
    <n v="2380"/>
    <n v="2380"/>
    <n v="2380"/>
    <n v="2380"/>
    <n v="2380"/>
    <n v="2300"/>
    <n v="2300"/>
    <n v="2300"/>
    <n v="2100"/>
    <n v="2100"/>
    <n v="2400"/>
    <n v="2400"/>
    <n v="2400"/>
    <n v="2400"/>
    <n v="2320"/>
    <n v="2320"/>
    <n v="2320"/>
    <n v="2350"/>
    <n v="2350"/>
    <n v="2350"/>
    <n v="2450"/>
    <n v="2450"/>
    <n v="2450"/>
    <n v="2530"/>
    <n v="2530"/>
    <n v="2530"/>
    <m/>
    <m/>
    <m/>
    <x v="87"/>
    <x v="2"/>
    <x v="71"/>
    <n v="2.5299999999999998"/>
    <n v="14.927"/>
    <n v="0.14176320000000001"/>
    <n v="1.94051"/>
    <n v="0"/>
    <n v="9.1999999999999998E-2"/>
    <x v="97"/>
    <x v="115"/>
    <n v="105"/>
    <n v="120"/>
    <x v="3"/>
    <n v="-0.12683443199628286"/>
    <x v="104"/>
    <x v="119"/>
  </r>
  <r>
    <n v="17045"/>
    <x v="34"/>
    <x v="3"/>
    <x v="20"/>
    <s v="DP"/>
    <x v="5"/>
    <s v="TECHNOCELL 6795 LOP"/>
    <s v="beige"/>
    <n v="6795"/>
    <m/>
    <m/>
    <s v="EU"/>
    <x v="4"/>
    <x v="1"/>
    <m/>
    <m/>
    <m/>
    <x v="0"/>
    <m/>
    <m/>
    <m/>
    <s v="ton"/>
    <x v="11"/>
    <x v="2"/>
    <n v="2610"/>
    <n v="2610"/>
    <n v="2610"/>
    <n v="2610"/>
    <n v="2610"/>
    <n v="2610"/>
    <n v="2240"/>
    <n v="2240"/>
    <n v="2240"/>
    <n v="2045"/>
    <n v="2045"/>
    <n v="2045"/>
    <n v="2150"/>
    <n v="2150"/>
    <n v="2150"/>
    <n v="2280"/>
    <n v="2280"/>
    <n v="2280"/>
    <n v="2430"/>
    <n v="2430"/>
    <n v="2430"/>
    <n v="2430"/>
    <n v="2430"/>
    <n v="2430"/>
    <n v="2350"/>
    <n v="2350"/>
    <n v="2350"/>
    <n v="2150"/>
    <n v="2150"/>
    <n v="2450"/>
    <n v="2450"/>
    <n v="2450"/>
    <n v="2450"/>
    <n v="2370"/>
    <n v="2370"/>
    <n v="2370"/>
    <m/>
    <m/>
    <m/>
    <m/>
    <m/>
    <m/>
    <m/>
    <m/>
    <m/>
    <m/>
    <m/>
    <m/>
    <x v="23"/>
    <x v="7"/>
    <x v="12"/>
    <n v="2.37"/>
    <n v="13.983000000000002"/>
    <n v="0.14176320000000001"/>
    <n v="1.8177900000000005"/>
    <n v="0"/>
    <n v="9.1999999999999998E-2"/>
    <x v="23"/>
    <x v="116"/>
    <n v="105"/>
    <n v="120"/>
    <x v="3"/>
    <n v="-0.11892292600975196"/>
    <x v="105"/>
    <x v="120"/>
  </r>
  <r>
    <n v="17045"/>
    <x v="34"/>
    <x v="3"/>
    <x v="20"/>
    <s v="DP"/>
    <x v="5"/>
    <s v="TECHNOCELL 6795 LOP"/>
    <s v="beige"/>
    <n v="6795"/>
    <m/>
    <m/>
    <s v="EU"/>
    <x v="4"/>
    <x v="1"/>
    <m/>
    <m/>
    <m/>
    <x v="0"/>
    <m/>
    <m/>
    <m/>
    <s v="ton"/>
    <x v="1"/>
    <x v="2"/>
    <n v="2660"/>
    <n v="2660"/>
    <n v="2660"/>
    <n v="2660"/>
    <n v="2660"/>
    <n v="2660"/>
    <n v="2290"/>
    <n v="2290"/>
    <n v="2290"/>
    <n v="2050"/>
    <n v="2050"/>
    <n v="2050"/>
    <n v="2200"/>
    <n v="2200"/>
    <n v="2200"/>
    <n v="2330"/>
    <n v="2330"/>
    <n v="2330"/>
    <n v="2480"/>
    <n v="2480"/>
    <n v="2480"/>
    <n v="2480"/>
    <n v="2480"/>
    <n v="2480"/>
    <n v="2400"/>
    <n v="2400"/>
    <n v="2400"/>
    <n v="2200"/>
    <n v="2200"/>
    <n v="2500"/>
    <n v="2500"/>
    <n v="2500"/>
    <n v="2500"/>
    <n v="2420"/>
    <n v="2420"/>
    <n v="2420"/>
    <m/>
    <m/>
    <m/>
    <m/>
    <m/>
    <m/>
    <m/>
    <m/>
    <m/>
    <m/>
    <m/>
    <m/>
    <x v="88"/>
    <x v="7"/>
    <x v="12"/>
    <n v="2.42"/>
    <n v="14.278"/>
    <n v="0.14176320000000001"/>
    <n v="1.8561400000000001"/>
    <n v="0"/>
    <n v="9.1999999999999998E-2"/>
    <x v="98"/>
    <x v="117"/>
    <n v="105"/>
    <n v="120"/>
    <x v="3"/>
    <n v="-0.12139527163054353"/>
    <x v="106"/>
    <x v="121"/>
  </r>
  <r>
    <n v="17045"/>
    <x v="34"/>
    <x v="3"/>
    <x v="20"/>
    <s v="DP"/>
    <x v="5"/>
    <s v="TECHNOCELL 6795 LOP"/>
    <s v="beige"/>
    <n v="6795"/>
    <m/>
    <m/>
    <s v="EU"/>
    <x v="4"/>
    <x v="1"/>
    <m/>
    <m/>
    <m/>
    <x v="0"/>
    <m/>
    <m/>
    <m/>
    <s v="ton"/>
    <x v="12"/>
    <x v="2"/>
    <n v="2740"/>
    <n v="2740"/>
    <n v="2740"/>
    <n v="2740"/>
    <n v="2740"/>
    <n v="2740"/>
    <n v="2370"/>
    <n v="2370"/>
    <n v="2370"/>
    <n v="2058"/>
    <n v="2058"/>
    <n v="2058"/>
    <n v="2280"/>
    <n v="2280"/>
    <n v="2280"/>
    <n v="2410"/>
    <n v="2410"/>
    <n v="2410"/>
    <n v="2560"/>
    <n v="2560"/>
    <n v="2560"/>
    <n v="2560"/>
    <n v="2560"/>
    <n v="2560"/>
    <n v="2480"/>
    <n v="2480"/>
    <n v="2480"/>
    <n v="2280"/>
    <n v="2280"/>
    <n v="2580"/>
    <n v="2580"/>
    <n v="2580"/>
    <n v="2580"/>
    <n v="2500"/>
    <n v="2500"/>
    <n v="2500"/>
    <m/>
    <m/>
    <m/>
    <m/>
    <m/>
    <m/>
    <m/>
    <m/>
    <m/>
    <m/>
    <m/>
    <m/>
    <x v="41"/>
    <x v="7"/>
    <x v="12"/>
    <n v="2.5"/>
    <n v="14.75"/>
    <n v="0.14176320000000001"/>
    <n v="1.9175"/>
    <n v="0"/>
    <n v="9.1999999999999998E-2"/>
    <x v="41"/>
    <x v="118"/>
    <n v="105"/>
    <n v="120"/>
    <x v="3"/>
    <n v="-0.12535102462380721"/>
    <x v="43"/>
    <x v="122"/>
  </r>
  <r>
    <n v="17048"/>
    <x v="35"/>
    <x v="6"/>
    <x v="6"/>
    <s v="DP"/>
    <x v="5"/>
    <s v="TECHNOCELL 6412F EIR"/>
    <s v="white"/>
    <s v="6412F"/>
    <m/>
    <m/>
    <s v="EU"/>
    <x v="4"/>
    <x v="1"/>
    <m/>
    <m/>
    <m/>
    <x v="0"/>
    <m/>
    <m/>
    <m/>
    <s v="ton"/>
    <x v="3"/>
    <x v="2"/>
    <n v="3040"/>
    <n v="3040"/>
    <n v="3040"/>
    <n v="3040"/>
    <n v="3040"/>
    <n v="3040"/>
    <n v="2350"/>
    <n v="2350"/>
    <n v="2350"/>
    <n v="2200"/>
    <n v="2200"/>
    <n v="2200"/>
    <n v="2260"/>
    <n v="2260"/>
    <n v="2260"/>
    <n v="2390"/>
    <n v="2390"/>
    <n v="2390"/>
    <n v="2540"/>
    <n v="2540"/>
    <n v="2540"/>
    <n v="2540"/>
    <n v="2540"/>
    <n v="2540"/>
    <n v="2460"/>
    <n v="2460"/>
    <n v="2460"/>
    <n v="2220"/>
    <n v="2220"/>
    <n v="2350"/>
    <n v="2350"/>
    <n v="2350"/>
    <n v="2350"/>
    <n v="2300"/>
    <n v="2300"/>
    <n v="2300"/>
    <n v="2300"/>
    <n v="2300"/>
    <n v="2300"/>
    <n v="2400"/>
    <n v="2400"/>
    <n v="2400"/>
    <n v="2480"/>
    <n v="2480"/>
    <n v="2480"/>
    <m/>
    <m/>
    <m/>
    <x v="89"/>
    <x v="2"/>
    <x v="72"/>
    <n v="2.48"/>
    <n v="14.632000000000001"/>
    <n v="0.14176320000000001"/>
    <n v="1.9021600000000003"/>
    <n v="0"/>
    <n v="9.1999999999999998E-2"/>
    <x v="99"/>
    <x v="119"/>
    <n v="105"/>
    <n v="120"/>
    <x v="3"/>
    <n v="-0.12436208637549129"/>
    <x v="107"/>
    <x v="123"/>
  </r>
  <r>
    <n v="17048"/>
    <x v="35"/>
    <x v="6"/>
    <x v="6"/>
    <s v="DP"/>
    <x v="5"/>
    <s v="TECHNOCELL 6412F EIR"/>
    <s v="white"/>
    <s v="6412F"/>
    <m/>
    <m/>
    <s v="EU"/>
    <x v="4"/>
    <x v="1"/>
    <m/>
    <m/>
    <m/>
    <x v="0"/>
    <m/>
    <m/>
    <m/>
    <s v="ton"/>
    <x v="2"/>
    <x v="2"/>
    <n v="3040"/>
    <n v="3040"/>
    <n v="3040"/>
    <n v="3040"/>
    <n v="3040"/>
    <n v="3040"/>
    <n v="2350"/>
    <n v="2350"/>
    <n v="2350"/>
    <n v="2200"/>
    <n v="2200"/>
    <n v="2200"/>
    <n v="2260"/>
    <n v="2260"/>
    <n v="2260"/>
    <n v="2390"/>
    <n v="2390"/>
    <n v="2390"/>
    <n v="2540"/>
    <n v="2540"/>
    <n v="2540"/>
    <n v="2540"/>
    <n v="2540"/>
    <n v="2540"/>
    <n v="2460"/>
    <n v="2460"/>
    <n v="2460"/>
    <n v="2220"/>
    <n v="2220"/>
    <n v="2350"/>
    <n v="2350"/>
    <n v="2350"/>
    <n v="2350"/>
    <n v="2300"/>
    <n v="2300"/>
    <n v="2300"/>
    <n v="2320"/>
    <n v="2320"/>
    <n v="2320"/>
    <n v="2420"/>
    <n v="2420"/>
    <n v="2420"/>
    <n v="2500"/>
    <n v="2500"/>
    <n v="2500"/>
    <m/>
    <m/>
    <m/>
    <x v="41"/>
    <x v="2"/>
    <x v="14"/>
    <n v="2.5"/>
    <n v="14.75"/>
    <n v="0.14176320000000001"/>
    <n v="1.9175"/>
    <n v="0"/>
    <n v="9.1999999999999998E-2"/>
    <x v="41"/>
    <x v="42"/>
    <n v="105"/>
    <n v="120"/>
    <x v="3"/>
    <n v="-0.12535102462380721"/>
    <x v="43"/>
    <x v="44"/>
  </r>
  <r>
    <n v="17048"/>
    <x v="35"/>
    <x v="6"/>
    <x v="6"/>
    <s v="DP"/>
    <x v="5"/>
    <s v="TECHNOCELL 6412F EIR"/>
    <s v="white"/>
    <s v="6412F"/>
    <m/>
    <m/>
    <s v="EU"/>
    <x v="4"/>
    <x v="1"/>
    <m/>
    <m/>
    <m/>
    <x v="0"/>
    <m/>
    <m/>
    <m/>
    <s v="ton"/>
    <x v="11"/>
    <x v="2"/>
    <n v="3090"/>
    <n v="3090"/>
    <n v="3090"/>
    <n v="3090"/>
    <n v="3090"/>
    <n v="3090"/>
    <n v="2400"/>
    <n v="2400"/>
    <n v="2400"/>
    <n v="2250"/>
    <n v="2250"/>
    <n v="2250"/>
    <n v="2310"/>
    <n v="2310"/>
    <n v="2310"/>
    <n v="2440"/>
    <n v="2440"/>
    <n v="2440"/>
    <n v="2590"/>
    <n v="2590"/>
    <n v="2590"/>
    <n v="2590"/>
    <n v="2590"/>
    <n v="2590"/>
    <n v="2510"/>
    <n v="2510"/>
    <n v="2510"/>
    <n v="2270"/>
    <n v="2270"/>
    <n v="2400"/>
    <n v="2400"/>
    <n v="2400"/>
    <n v="2400"/>
    <n v="2350"/>
    <n v="2350"/>
    <n v="2350"/>
    <n v="2370"/>
    <n v="2370"/>
    <n v="2370"/>
    <n v="2470"/>
    <n v="2470"/>
    <n v="2470"/>
    <n v="2550"/>
    <n v="2550"/>
    <n v="2550"/>
    <m/>
    <m/>
    <m/>
    <x v="27"/>
    <x v="2"/>
    <x v="15"/>
    <n v="2.5499999999999998"/>
    <n v="15.045"/>
    <n v="0.14176320000000001"/>
    <n v="1.9558500000000001"/>
    <n v="0"/>
    <n v="9.1999999999999998E-2"/>
    <x v="27"/>
    <x v="43"/>
    <n v="105"/>
    <n v="120"/>
    <x v="3"/>
    <n v="-0.12782337024459878"/>
    <x v="44"/>
    <x v="45"/>
  </r>
  <r>
    <n v="17048"/>
    <x v="35"/>
    <x v="6"/>
    <x v="6"/>
    <s v="DP"/>
    <x v="5"/>
    <s v="TECHNOCELL 6412F EIR"/>
    <s v="white"/>
    <s v="6412F"/>
    <m/>
    <m/>
    <s v="EU"/>
    <x v="4"/>
    <x v="1"/>
    <m/>
    <m/>
    <m/>
    <x v="0"/>
    <m/>
    <m/>
    <m/>
    <s v="ton"/>
    <x v="1"/>
    <x v="2"/>
    <n v="3140"/>
    <n v="3140"/>
    <n v="3140"/>
    <n v="3140"/>
    <n v="3140"/>
    <n v="3140"/>
    <n v="2450"/>
    <n v="2450"/>
    <n v="2450"/>
    <n v="2300"/>
    <n v="2300"/>
    <n v="2300"/>
    <n v="2360"/>
    <n v="2360"/>
    <n v="2360"/>
    <n v="2490"/>
    <n v="2490"/>
    <n v="2490"/>
    <n v="2640"/>
    <n v="2640"/>
    <n v="2640"/>
    <n v="2640"/>
    <n v="2640"/>
    <n v="2640"/>
    <n v="2560"/>
    <n v="2560"/>
    <n v="2560"/>
    <n v="2320"/>
    <n v="2320"/>
    <n v="2450"/>
    <n v="2450"/>
    <n v="2450"/>
    <n v="2450"/>
    <n v="2400"/>
    <n v="2400"/>
    <n v="2400"/>
    <n v="2420"/>
    <n v="2420"/>
    <n v="2420"/>
    <n v="2520"/>
    <n v="2520"/>
    <n v="2520"/>
    <n v="2600"/>
    <n v="2600"/>
    <n v="2600"/>
    <m/>
    <m/>
    <m/>
    <x v="90"/>
    <x v="2"/>
    <x v="73"/>
    <n v="2.6"/>
    <n v="15.340000000000002"/>
    <n v="0.14176320000000001"/>
    <n v="1.9942000000000002"/>
    <n v="0"/>
    <n v="9.1999999999999998E-2"/>
    <x v="100"/>
    <x v="120"/>
    <n v="105"/>
    <n v="120"/>
    <x v="3"/>
    <n v="-0.1302957158653868"/>
    <x v="108"/>
    <x v="124"/>
  </r>
  <r>
    <n v="17048"/>
    <x v="35"/>
    <x v="6"/>
    <x v="6"/>
    <s v="DP"/>
    <x v="5"/>
    <s v="TECHNOCELL 6412F EIR"/>
    <s v="white"/>
    <s v="6412F"/>
    <m/>
    <m/>
    <s v="EU"/>
    <x v="4"/>
    <x v="1"/>
    <m/>
    <m/>
    <m/>
    <x v="0"/>
    <m/>
    <m/>
    <m/>
    <s v="ton"/>
    <x v="12"/>
    <x v="2"/>
    <n v="3220"/>
    <n v="3220"/>
    <n v="3220"/>
    <n v="3220"/>
    <n v="3220"/>
    <n v="3220"/>
    <n v="2530"/>
    <n v="2530"/>
    <n v="2530"/>
    <n v="2380"/>
    <n v="2380"/>
    <n v="2380"/>
    <n v="2440"/>
    <n v="2440"/>
    <n v="2440"/>
    <n v="2570"/>
    <n v="2570"/>
    <n v="2570"/>
    <n v="2720"/>
    <n v="2720"/>
    <n v="2720"/>
    <n v="2720"/>
    <n v="2720"/>
    <n v="2720"/>
    <n v="2640"/>
    <n v="2640"/>
    <n v="2640"/>
    <n v="2400"/>
    <n v="2400"/>
    <n v="2530"/>
    <n v="2530"/>
    <n v="2530"/>
    <n v="2530"/>
    <n v="2480"/>
    <n v="2480"/>
    <n v="2480"/>
    <n v="2500"/>
    <n v="2500"/>
    <n v="2500"/>
    <n v="2600"/>
    <n v="2600"/>
    <n v="2600"/>
    <n v="2680"/>
    <n v="2680"/>
    <n v="2680"/>
    <m/>
    <m/>
    <m/>
    <x v="91"/>
    <x v="2"/>
    <x v="74"/>
    <n v="2.68"/>
    <n v="15.812000000000001"/>
    <n v="0.14176320000000001"/>
    <n v="2.0555600000000003"/>
    <n v="0"/>
    <n v="9.1999999999999998E-2"/>
    <x v="101"/>
    <x v="121"/>
    <n v="105"/>
    <n v="120"/>
    <x v="3"/>
    <n v="-0.13425146885865402"/>
    <x v="109"/>
    <x v="125"/>
  </r>
  <r>
    <n v="17050"/>
    <x v="10"/>
    <x v="6"/>
    <x v="5"/>
    <s v="DP"/>
    <x v="5"/>
    <s v="TECHNOCELL 6656"/>
    <s v="beige"/>
    <n v="6656"/>
    <m/>
    <m/>
    <s v="EU"/>
    <x v="4"/>
    <x v="1"/>
    <m/>
    <m/>
    <m/>
    <x v="0"/>
    <m/>
    <m/>
    <m/>
    <s v="ton"/>
    <x v="2"/>
    <x v="2"/>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n v="2720"/>
    <n v="2720"/>
    <n v="2720"/>
    <m/>
    <m/>
    <m/>
    <x v="82"/>
    <x v="2"/>
    <x v="64"/>
    <n v="2.72"/>
    <n v="16.048000000000002"/>
    <n v="0.14176320000000001"/>
    <n v="2.0862400000000001"/>
    <n v="0"/>
    <n v="9.1999999999999998E-2"/>
    <x v="89"/>
    <x v="105"/>
    <n v="105"/>
    <n v="120"/>
    <x v="3"/>
    <n v="-0.13622934535528586"/>
    <x v="94"/>
    <x v="108"/>
  </r>
  <r>
    <n v="17050"/>
    <x v="10"/>
    <x v="6"/>
    <x v="5"/>
    <s v="DP"/>
    <x v="5"/>
    <s v="TECHNOCELL 6656"/>
    <s v="beige"/>
    <n v="6656"/>
    <m/>
    <m/>
    <s v="EU"/>
    <x v="4"/>
    <x v="1"/>
    <m/>
    <m/>
    <m/>
    <x v="0"/>
    <m/>
    <m/>
    <m/>
    <s v="ton"/>
    <x v="11"/>
    <x v="2"/>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n v="2770"/>
    <n v="2770"/>
    <n v="2770"/>
    <m/>
    <m/>
    <m/>
    <x v="83"/>
    <x v="2"/>
    <x v="65"/>
    <n v="2.77"/>
    <n v="16.343"/>
    <n v="0.14176320000000001"/>
    <n v="2.12459"/>
    <n v="0"/>
    <n v="9.1999999999999998E-2"/>
    <x v="90"/>
    <x v="106"/>
    <n v="105"/>
    <n v="120"/>
    <x v="3"/>
    <n v="-0.13870169097607388"/>
    <x v="95"/>
    <x v="109"/>
  </r>
  <r>
    <n v="17050"/>
    <x v="10"/>
    <x v="6"/>
    <x v="5"/>
    <s v="DP"/>
    <x v="5"/>
    <s v="TECHNOCELL 6656"/>
    <s v="beige"/>
    <n v="6656"/>
    <m/>
    <m/>
    <s v="EU"/>
    <x v="4"/>
    <x v="1"/>
    <m/>
    <m/>
    <m/>
    <x v="0"/>
    <m/>
    <m/>
    <m/>
    <s v="ton"/>
    <x v="1"/>
    <x v="2"/>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n v="2820"/>
    <n v="2820"/>
    <n v="2820"/>
    <m/>
    <m/>
    <m/>
    <x v="84"/>
    <x v="2"/>
    <x v="66"/>
    <n v="2.82"/>
    <n v="16.638000000000002"/>
    <n v="0.14176320000000001"/>
    <n v="2.1629400000000003"/>
    <n v="0"/>
    <n v="9.1999999999999998E-2"/>
    <x v="91"/>
    <x v="107"/>
    <n v="105"/>
    <n v="120"/>
    <x v="3"/>
    <n v="-0.14117403659686545"/>
    <x v="96"/>
    <x v="110"/>
  </r>
  <r>
    <n v="17050"/>
    <x v="10"/>
    <x v="6"/>
    <x v="5"/>
    <s v="DP"/>
    <x v="5"/>
    <s v="TECHNOCELL 6656"/>
    <s v="beige"/>
    <n v="6656"/>
    <m/>
    <m/>
    <s v="EU"/>
    <x v="4"/>
    <x v="1"/>
    <m/>
    <m/>
    <m/>
    <x v="0"/>
    <m/>
    <m/>
    <m/>
    <s v="ton"/>
    <x v="12"/>
    <x v="2"/>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n v="2900"/>
    <n v="2900"/>
    <n v="2900"/>
    <m/>
    <m/>
    <m/>
    <x v="25"/>
    <x v="2"/>
    <x v="67"/>
    <n v="2.9"/>
    <n v="17.11"/>
    <n v="0.14176320000000001"/>
    <n v="2.2242999999999999"/>
    <n v="0"/>
    <n v="9.1999999999999998E-2"/>
    <x v="25"/>
    <x v="108"/>
    <n v="105"/>
    <n v="120"/>
    <x v="3"/>
    <n v="-0.14512978959012912"/>
    <x v="97"/>
    <x v="111"/>
  </r>
  <r>
    <n v="17051"/>
    <x v="24"/>
    <x v="11"/>
    <x v="6"/>
    <s v="DP"/>
    <x v="5"/>
    <s v="TECHNOCELL 6552F EIR"/>
    <s v="beige"/>
    <s v="6552F"/>
    <m/>
    <m/>
    <s v="EU"/>
    <x v="4"/>
    <x v="1"/>
    <m/>
    <m/>
    <m/>
    <x v="0"/>
    <m/>
    <m/>
    <m/>
    <s v="ton"/>
    <x v="2"/>
    <x v="2"/>
    <n v="2940"/>
    <n v="2940"/>
    <n v="2940"/>
    <n v="2940"/>
    <n v="2940"/>
    <n v="2940"/>
    <n v="2300"/>
    <n v="2300"/>
    <n v="2300"/>
    <n v="2150"/>
    <n v="2150"/>
    <n v="2150"/>
    <n v="2210"/>
    <n v="2210"/>
    <n v="2210"/>
    <n v="2340"/>
    <n v="2340"/>
    <n v="2340"/>
    <n v="2490"/>
    <n v="2490"/>
    <n v="2490"/>
    <n v="2490"/>
    <n v="2490"/>
    <n v="2490"/>
    <n v="2410"/>
    <n v="2410"/>
    <n v="2410"/>
    <n v="2170"/>
    <n v="2170"/>
    <n v="2300"/>
    <n v="2300"/>
    <n v="2300"/>
    <n v="2300"/>
    <n v="2200"/>
    <n v="2200"/>
    <n v="2200"/>
    <n v="2220"/>
    <n v="2220"/>
    <n v="2220"/>
    <n v="2320"/>
    <n v="2320"/>
    <n v="2320"/>
    <n v="2400"/>
    <n v="2400"/>
    <n v="2400"/>
    <m/>
    <m/>
    <m/>
    <x v="68"/>
    <x v="2"/>
    <x v="75"/>
    <n v="2.4"/>
    <n v="14.16"/>
    <n v="0.14176320000000001"/>
    <n v="1.8408"/>
    <n v="0"/>
    <n v="9.1999999999999998E-2"/>
    <x v="102"/>
    <x v="122"/>
    <n v="105"/>
    <n v="120"/>
    <x v="3"/>
    <n v="-0.12040633338222761"/>
    <x v="110"/>
    <x v="126"/>
  </r>
  <r>
    <n v="17051"/>
    <x v="24"/>
    <x v="11"/>
    <x v="6"/>
    <s v="DP"/>
    <x v="5"/>
    <s v="TECHNOCELL 6552F EIR"/>
    <s v="beige"/>
    <s v="6552F"/>
    <m/>
    <m/>
    <s v="EU"/>
    <x v="4"/>
    <x v="1"/>
    <m/>
    <m/>
    <m/>
    <x v="0"/>
    <m/>
    <m/>
    <m/>
    <s v="ton"/>
    <x v="11"/>
    <x v="2"/>
    <n v="2990"/>
    <n v="2990"/>
    <n v="2990"/>
    <n v="2990"/>
    <n v="2990"/>
    <n v="2990"/>
    <n v="2350"/>
    <n v="2350"/>
    <n v="2350"/>
    <n v="2200"/>
    <n v="2200"/>
    <n v="2200"/>
    <n v="2260"/>
    <n v="2260"/>
    <n v="2260"/>
    <n v="2390"/>
    <n v="2390"/>
    <n v="2390"/>
    <n v="2540"/>
    <n v="2540"/>
    <n v="2540"/>
    <n v="2540"/>
    <n v="2540"/>
    <n v="2540"/>
    <n v="2460"/>
    <n v="2460"/>
    <n v="2460"/>
    <n v="2220"/>
    <n v="2220"/>
    <n v="2350"/>
    <n v="2350"/>
    <n v="2350"/>
    <n v="2350"/>
    <n v="2250"/>
    <n v="2250"/>
    <n v="2250"/>
    <n v="2270"/>
    <n v="2270"/>
    <n v="2270"/>
    <n v="2370"/>
    <n v="2370"/>
    <n v="2370"/>
    <n v="2450"/>
    <n v="2450"/>
    <n v="2450"/>
    <m/>
    <m/>
    <m/>
    <x v="22"/>
    <x v="2"/>
    <x v="13"/>
    <n v="2.4500000000000002"/>
    <n v="14.455000000000002"/>
    <n v="0.14176320000000001"/>
    <n v="1.8791500000000003"/>
    <n v="0"/>
    <n v="9.1999999999999998E-2"/>
    <x v="22"/>
    <x v="123"/>
    <n v="105"/>
    <n v="120"/>
    <x v="3"/>
    <n v="-0.12287867900301563"/>
    <x v="42"/>
    <x v="127"/>
  </r>
  <r>
    <n v="17051"/>
    <x v="24"/>
    <x v="11"/>
    <x v="6"/>
    <s v="DP"/>
    <x v="5"/>
    <s v="TECHNOCELL 6552F EIR"/>
    <s v="beige"/>
    <s v="6552F"/>
    <m/>
    <m/>
    <s v="EU"/>
    <x v="4"/>
    <x v="1"/>
    <m/>
    <m/>
    <m/>
    <x v="0"/>
    <m/>
    <m/>
    <m/>
    <s v="ton"/>
    <x v="1"/>
    <x v="2"/>
    <n v="3040"/>
    <n v="3040"/>
    <n v="3040"/>
    <n v="3040"/>
    <n v="3040"/>
    <n v="3040"/>
    <n v="2400"/>
    <n v="2400"/>
    <n v="2400"/>
    <n v="2250"/>
    <n v="2250"/>
    <n v="2250"/>
    <n v="2310"/>
    <n v="2310"/>
    <n v="2310"/>
    <n v="2440"/>
    <n v="2440"/>
    <n v="2440"/>
    <n v="2590"/>
    <n v="2590"/>
    <n v="2590"/>
    <n v="2590"/>
    <n v="2590"/>
    <n v="2590"/>
    <n v="2510"/>
    <n v="2510"/>
    <n v="2510"/>
    <n v="2270"/>
    <n v="2270"/>
    <n v="2400"/>
    <n v="2400"/>
    <n v="2400"/>
    <n v="2400"/>
    <n v="2300"/>
    <n v="2300"/>
    <n v="2300"/>
    <n v="2320"/>
    <n v="2320"/>
    <n v="2320"/>
    <n v="2420"/>
    <n v="2420"/>
    <n v="2420"/>
    <n v="2500"/>
    <n v="2500"/>
    <n v="2500"/>
    <m/>
    <m/>
    <m/>
    <x v="41"/>
    <x v="2"/>
    <x v="14"/>
    <n v="2.5"/>
    <n v="14.75"/>
    <n v="0.14176320000000001"/>
    <n v="1.9175"/>
    <n v="0"/>
    <n v="9.1999999999999998E-2"/>
    <x v="41"/>
    <x v="124"/>
    <n v="105"/>
    <n v="120"/>
    <x v="3"/>
    <n v="-0.12535102462380721"/>
    <x v="43"/>
    <x v="128"/>
  </r>
  <r>
    <n v="17051"/>
    <x v="24"/>
    <x v="11"/>
    <x v="6"/>
    <s v="DP"/>
    <x v="5"/>
    <s v="TECHNOCELL 6552F EIR"/>
    <s v="beige"/>
    <s v="6552F"/>
    <m/>
    <m/>
    <s v="EU"/>
    <x v="4"/>
    <x v="1"/>
    <m/>
    <m/>
    <m/>
    <x v="0"/>
    <m/>
    <m/>
    <m/>
    <s v="ton"/>
    <x v="12"/>
    <x v="2"/>
    <n v="3120"/>
    <n v="3120"/>
    <n v="3120"/>
    <n v="3120"/>
    <n v="3120"/>
    <n v="3120"/>
    <n v="2480"/>
    <n v="2480"/>
    <n v="2480"/>
    <n v="2330"/>
    <n v="2330"/>
    <n v="2330"/>
    <n v="2390"/>
    <n v="2390"/>
    <n v="2390"/>
    <n v="2520"/>
    <n v="2520"/>
    <n v="2520"/>
    <n v="2670"/>
    <n v="2670"/>
    <n v="2670"/>
    <n v="2670"/>
    <n v="2670"/>
    <n v="2670"/>
    <n v="2590"/>
    <n v="2590"/>
    <n v="2590"/>
    <n v="2350"/>
    <n v="2350"/>
    <n v="2480"/>
    <n v="2480"/>
    <n v="2480"/>
    <n v="2480"/>
    <n v="2380"/>
    <n v="2380"/>
    <n v="2380"/>
    <n v="2400"/>
    <n v="2400"/>
    <n v="2400"/>
    <n v="2500"/>
    <n v="2500"/>
    <n v="2500"/>
    <n v="2580"/>
    <n v="2580"/>
    <n v="2580"/>
    <m/>
    <m/>
    <m/>
    <x v="92"/>
    <x v="2"/>
    <x v="76"/>
    <n v="2.58"/>
    <n v="15.222000000000001"/>
    <n v="0.14176320000000001"/>
    <n v="1.9788600000000003"/>
    <n v="0"/>
    <n v="9.1999999999999998E-2"/>
    <x v="103"/>
    <x v="125"/>
    <n v="105"/>
    <n v="120"/>
    <x v="3"/>
    <n v="-0.12930677761707088"/>
    <x v="111"/>
    <x v="129"/>
  </r>
  <r>
    <n v="17054"/>
    <x v="24"/>
    <x v="11"/>
    <x v="21"/>
    <s v="DP"/>
    <x v="5"/>
    <s v="TECHNOCELL 6552F EIR"/>
    <s v="beige"/>
    <s v="6552F"/>
    <m/>
    <m/>
    <s v="EU"/>
    <x v="4"/>
    <x v="1"/>
    <m/>
    <m/>
    <m/>
    <x v="0"/>
    <m/>
    <m/>
    <m/>
    <s v="ton"/>
    <x v="2"/>
    <x v="2"/>
    <n v="2940"/>
    <n v="2940"/>
    <n v="2940"/>
    <n v="2940"/>
    <n v="2940"/>
    <n v="2940"/>
    <n v="2300"/>
    <n v="2300"/>
    <n v="2300"/>
    <n v="2150"/>
    <n v="2150"/>
    <n v="2150"/>
    <n v="2210"/>
    <n v="2210"/>
    <n v="2210"/>
    <n v="2340"/>
    <n v="2340"/>
    <n v="2340"/>
    <n v="2490"/>
    <n v="2490"/>
    <n v="2490"/>
    <n v="2490"/>
    <n v="2490"/>
    <n v="2490"/>
    <n v="2410"/>
    <n v="2410"/>
    <n v="2410"/>
    <n v="2170"/>
    <n v="2170"/>
    <n v="2300"/>
    <n v="2300"/>
    <n v="2300"/>
    <n v="2300"/>
    <n v="2200"/>
    <n v="2200"/>
    <n v="2200"/>
    <n v="2220"/>
    <n v="2220"/>
    <n v="2220"/>
    <n v="2320"/>
    <n v="2320"/>
    <n v="2320"/>
    <n v="2400"/>
    <n v="2400"/>
    <n v="2400"/>
    <m/>
    <m/>
    <m/>
    <x v="68"/>
    <x v="2"/>
    <x v="75"/>
    <n v="2.4"/>
    <n v="14.16"/>
    <n v="0.14176320000000001"/>
    <n v="1.8408"/>
    <n v="0"/>
    <n v="9.1999999999999998E-2"/>
    <x v="102"/>
    <x v="122"/>
    <n v="105"/>
    <n v="120"/>
    <x v="3"/>
    <n v="-0.12040633338222761"/>
    <x v="110"/>
    <x v="126"/>
  </r>
  <r>
    <n v="17054"/>
    <x v="24"/>
    <x v="11"/>
    <x v="21"/>
    <s v="DP"/>
    <x v="5"/>
    <s v="TECHNOCELL 6552F EIR"/>
    <s v="beige"/>
    <s v="6552F"/>
    <m/>
    <m/>
    <s v="EU"/>
    <x v="4"/>
    <x v="1"/>
    <m/>
    <m/>
    <m/>
    <x v="0"/>
    <m/>
    <m/>
    <m/>
    <s v="ton"/>
    <x v="11"/>
    <x v="2"/>
    <n v="2990"/>
    <n v="2990"/>
    <n v="2990"/>
    <n v="2990"/>
    <n v="2990"/>
    <n v="2990"/>
    <n v="2350"/>
    <n v="2350"/>
    <n v="2350"/>
    <n v="2200"/>
    <n v="2200"/>
    <n v="2200"/>
    <n v="2260"/>
    <n v="2260"/>
    <n v="2260"/>
    <n v="2390"/>
    <n v="2390"/>
    <n v="2390"/>
    <n v="2540"/>
    <n v="2540"/>
    <n v="2540"/>
    <n v="2540"/>
    <n v="2540"/>
    <n v="2540"/>
    <n v="2460"/>
    <n v="2460"/>
    <n v="2460"/>
    <n v="2220"/>
    <n v="2220"/>
    <n v="2350"/>
    <n v="2350"/>
    <n v="2350"/>
    <n v="2350"/>
    <n v="2250"/>
    <n v="2250"/>
    <n v="2250"/>
    <n v="2270"/>
    <n v="2270"/>
    <n v="2270"/>
    <n v="2370"/>
    <n v="2370"/>
    <n v="2370"/>
    <n v="2450"/>
    <n v="2450"/>
    <n v="2450"/>
    <m/>
    <m/>
    <m/>
    <x v="22"/>
    <x v="2"/>
    <x v="13"/>
    <n v="2.4500000000000002"/>
    <n v="14.455000000000002"/>
    <n v="0.14176320000000001"/>
    <n v="1.8791500000000003"/>
    <n v="0"/>
    <n v="9.1999999999999998E-2"/>
    <x v="22"/>
    <x v="123"/>
    <n v="105"/>
    <n v="120"/>
    <x v="3"/>
    <n v="-0.12287867900301563"/>
    <x v="42"/>
    <x v="127"/>
  </r>
  <r>
    <n v="17054"/>
    <x v="24"/>
    <x v="11"/>
    <x v="21"/>
    <s v="DP"/>
    <x v="5"/>
    <s v="TECHNOCELL 6552F EIR"/>
    <s v="beige"/>
    <s v="6552F"/>
    <m/>
    <m/>
    <s v="EU"/>
    <x v="4"/>
    <x v="1"/>
    <m/>
    <m/>
    <m/>
    <x v="0"/>
    <m/>
    <m/>
    <m/>
    <s v="ton"/>
    <x v="1"/>
    <x v="2"/>
    <n v="3040"/>
    <n v="3040"/>
    <n v="3040"/>
    <n v="3040"/>
    <n v="3040"/>
    <n v="3040"/>
    <n v="2400"/>
    <n v="2400"/>
    <n v="2400"/>
    <n v="2250"/>
    <n v="2250"/>
    <n v="2250"/>
    <n v="2310"/>
    <n v="2310"/>
    <n v="2310"/>
    <n v="2440"/>
    <n v="2440"/>
    <n v="2440"/>
    <n v="2590"/>
    <n v="2590"/>
    <n v="2590"/>
    <n v="2590"/>
    <n v="2590"/>
    <n v="2590"/>
    <n v="2510"/>
    <n v="2510"/>
    <n v="2510"/>
    <n v="2270"/>
    <n v="2270"/>
    <n v="2400"/>
    <n v="2400"/>
    <n v="2400"/>
    <n v="2400"/>
    <n v="2300"/>
    <n v="2300"/>
    <n v="2300"/>
    <n v="2320"/>
    <n v="2320"/>
    <n v="2320"/>
    <n v="2420"/>
    <n v="2420"/>
    <n v="2420"/>
    <n v="2500"/>
    <n v="2500"/>
    <n v="2500"/>
    <m/>
    <m/>
    <m/>
    <x v="41"/>
    <x v="2"/>
    <x v="14"/>
    <n v="2.5"/>
    <n v="14.75"/>
    <n v="0.14176320000000001"/>
    <n v="1.9175"/>
    <n v="0"/>
    <n v="9.1999999999999998E-2"/>
    <x v="41"/>
    <x v="124"/>
    <n v="105"/>
    <n v="120"/>
    <x v="3"/>
    <n v="-0.12535102462380721"/>
    <x v="43"/>
    <x v="128"/>
  </r>
  <r>
    <n v="17054"/>
    <x v="24"/>
    <x v="11"/>
    <x v="21"/>
    <s v="DP"/>
    <x v="5"/>
    <s v="TECHNOCELL 6552F EIR"/>
    <s v="beige"/>
    <s v="6552F"/>
    <m/>
    <m/>
    <s v="EU"/>
    <x v="4"/>
    <x v="1"/>
    <m/>
    <m/>
    <m/>
    <x v="0"/>
    <m/>
    <m/>
    <m/>
    <s v="ton"/>
    <x v="12"/>
    <x v="2"/>
    <n v="3120"/>
    <n v="3120"/>
    <n v="3120"/>
    <n v="3120"/>
    <n v="3120"/>
    <n v="3120"/>
    <n v="2480"/>
    <n v="2480"/>
    <n v="2480"/>
    <n v="2330"/>
    <n v="2330"/>
    <n v="2330"/>
    <n v="2390"/>
    <n v="2390"/>
    <n v="2390"/>
    <n v="2520"/>
    <n v="2520"/>
    <n v="2520"/>
    <n v="2670"/>
    <n v="2670"/>
    <n v="2670"/>
    <n v="2670"/>
    <n v="2670"/>
    <n v="2670"/>
    <n v="2590"/>
    <n v="2590"/>
    <n v="2590"/>
    <n v="2350"/>
    <n v="2350"/>
    <n v="2480"/>
    <n v="2480"/>
    <n v="2480"/>
    <n v="2480"/>
    <n v="2380"/>
    <n v="2380"/>
    <n v="2380"/>
    <n v="2400"/>
    <n v="2400"/>
    <n v="2400"/>
    <n v="2500"/>
    <n v="2500"/>
    <n v="2500"/>
    <n v="2580"/>
    <n v="2580"/>
    <n v="2580"/>
    <m/>
    <m/>
    <m/>
    <x v="92"/>
    <x v="2"/>
    <x v="76"/>
    <n v="2.58"/>
    <n v="15.222000000000001"/>
    <n v="0.14176320000000001"/>
    <n v="1.9788600000000003"/>
    <n v="0"/>
    <n v="9.1999999999999998E-2"/>
    <x v="103"/>
    <x v="125"/>
    <n v="105"/>
    <n v="120"/>
    <x v="3"/>
    <n v="-0.12930677761707088"/>
    <x v="111"/>
    <x v="129"/>
  </r>
  <r>
    <n v="17057"/>
    <x v="27"/>
    <x v="6"/>
    <x v="6"/>
    <m/>
    <x v="5"/>
    <s v="TECHNOCELL 5532"/>
    <s v="beige"/>
    <n v="2638"/>
    <m/>
    <m/>
    <s v="EU"/>
    <x v="4"/>
    <x v="1"/>
    <m/>
    <m/>
    <m/>
    <x v="0"/>
    <m/>
    <m/>
    <m/>
    <s v="ton"/>
    <x v="2"/>
    <x v="2"/>
    <n v="2550"/>
    <n v="2550"/>
    <n v="2550"/>
    <m/>
    <m/>
    <m/>
    <m/>
    <m/>
    <m/>
    <m/>
    <m/>
    <m/>
    <n v="2210"/>
    <n v="2210"/>
    <n v="2210"/>
    <n v="2340"/>
    <n v="2340"/>
    <n v="2340"/>
    <n v="2490"/>
    <n v="2490"/>
    <n v="2490"/>
    <n v="2490"/>
    <n v="2490"/>
    <n v="2490"/>
    <n v="2410"/>
    <n v="2410"/>
    <n v="2410"/>
    <n v="2210"/>
    <n v="2210"/>
    <n v="2510"/>
    <n v="2510"/>
    <n v="2510"/>
    <n v="2510"/>
    <n v="2430"/>
    <n v="2430"/>
    <n v="2430"/>
    <n v="2460"/>
    <n v="2460"/>
    <n v="2460"/>
    <n v="2560"/>
    <n v="2560"/>
    <n v="2560"/>
    <n v="2640"/>
    <n v="2640"/>
    <n v="2640"/>
    <m/>
    <m/>
    <m/>
    <x v="13"/>
    <x v="2"/>
    <x v="63"/>
    <n v="2.64"/>
    <n v="15.576000000000002"/>
    <n v="0.14176320000000001"/>
    <n v="2.0248800000000005"/>
    <n v="0"/>
    <n v="9.1999999999999998E-2"/>
    <x v="13"/>
    <x v="126"/>
    <n v="105"/>
    <n v="120"/>
    <x v="3"/>
    <n v="-0.13227359236201863"/>
    <x v="93"/>
    <x v="130"/>
  </r>
  <r>
    <n v="17057"/>
    <x v="27"/>
    <x v="6"/>
    <x v="6"/>
    <m/>
    <x v="5"/>
    <s v="TECHNOCELL 5532"/>
    <s v="beige"/>
    <n v="2638"/>
    <m/>
    <m/>
    <s v="EU"/>
    <x v="4"/>
    <x v="1"/>
    <m/>
    <m/>
    <m/>
    <x v="0"/>
    <m/>
    <m/>
    <m/>
    <s v="ton"/>
    <x v="11"/>
    <x v="2"/>
    <m/>
    <m/>
    <m/>
    <m/>
    <m/>
    <m/>
    <m/>
    <m/>
    <m/>
    <m/>
    <m/>
    <m/>
    <n v="2210"/>
    <n v="2210"/>
    <n v="2210"/>
    <n v="2390"/>
    <n v="2390"/>
    <n v="2390"/>
    <n v="2540"/>
    <n v="2540"/>
    <n v="2540"/>
    <n v="2540"/>
    <n v="2540"/>
    <n v="2540"/>
    <n v="2460"/>
    <n v="2460"/>
    <n v="2460"/>
    <n v="2260"/>
    <n v="2260"/>
    <n v="2560"/>
    <n v="2560"/>
    <n v="2560"/>
    <n v="2560"/>
    <n v="2480"/>
    <n v="2480"/>
    <n v="2480"/>
    <n v="2510"/>
    <n v="2510"/>
    <n v="2510"/>
    <n v="2610"/>
    <n v="2610"/>
    <n v="2610"/>
    <n v="2690"/>
    <n v="2690"/>
    <n v="2690"/>
    <m/>
    <m/>
    <m/>
    <x v="12"/>
    <x v="2"/>
    <x v="77"/>
    <n v="2.69"/>
    <n v="15.871"/>
    <n v="0.14176320000000001"/>
    <n v="2.0632300000000003"/>
    <n v="0"/>
    <n v="9.1999999999999998E-2"/>
    <x v="12"/>
    <x v="127"/>
    <n v="105"/>
    <n v="120"/>
    <x v="3"/>
    <n v="-0.1347459379828102"/>
    <x v="112"/>
    <x v="131"/>
  </r>
  <r>
    <n v="17057"/>
    <x v="27"/>
    <x v="6"/>
    <x v="6"/>
    <m/>
    <x v="5"/>
    <s v="TECHNOCELL 5532"/>
    <s v="beige"/>
    <n v="2638"/>
    <m/>
    <m/>
    <s v="EU"/>
    <x v="4"/>
    <x v="1"/>
    <m/>
    <m/>
    <m/>
    <x v="0"/>
    <m/>
    <m/>
    <m/>
    <s v="ton"/>
    <x v="1"/>
    <x v="2"/>
    <m/>
    <m/>
    <m/>
    <m/>
    <m/>
    <m/>
    <m/>
    <m/>
    <m/>
    <m/>
    <m/>
    <m/>
    <n v="2210"/>
    <n v="2210"/>
    <n v="2210"/>
    <n v="2440"/>
    <n v="2440"/>
    <n v="2440"/>
    <n v="2590"/>
    <n v="2590"/>
    <n v="2590"/>
    <n v="2590"/>
    <n v="2590"/>
    <n v="2590"/>
    <n v="2510"/>
    <n v="2510"/>
    <n v="2510"/>
    <n v="2310"/>
    <n v="2310"/>
    <n v="2610"/>
    <n v="2610"/>
    <n v="2610"/>
    <n v="2610"/>
    <n v="2530"/>
    <n v="2530"/>
    <n v="2530"/>
    <n v="2560"/>
    <n v="2560"/>
    <n v="2560"/>
    <n v="2660"/>
    <n v="2660"/>
    <n v="2660"/>
    <n v="2740"/>
    <n v="2740"/>
    <n v="2740"/>
    <m/>
    <m/>
    <m/>
    <x v="93"/>
    <x v="2"/>
    <x v="78"/>
    <n v="2.74"/>
    <n v="16.166000000000004"/>
    <n v="0.14176320000000001"/>
    <n v="2.1015800000000007"/>
    <n v="0"/>
    <n v="9.1999999999999998E-2"/>
    <x v="104"/>
    <x v="128"/>
    <n v="105"/>
    <n v="120"/>
    <x v="3"/>
    <n v="-0.13721828360360178"/>
    <x v="113"/>
    <x v="132"/>
  </r>
  <r>
    <n v="17057"/>
    <x v="27"/>
    <x v="6"/>
    <x v="6"/>
    <m/>
    <x v="5"/>
    <s v="TECHNOCELL 5532"/>
    <s v="beige"/>
    <n v="2638"/>
    <m/>
    <m/>
    <s v="EU"/>
    <x v="4"/>
    <x v="1"/>
    <m/>
    <m/>
    <m/>
    <x v="0"/>
    <m/>
    <m/>
    <m/>
    <s v="ton"/>
    <x v="12"/>
    <x v="2"/>
    <m/>
    <m/>
    <m/>
    <m/>
    <m/>
    <m/>
    <m/>
    <m/>
    <m/>
    <m/>
    <m/>
    <m/>
    <n v="2210"/>
    <n v="2210"/>
    <n v="2210"/>
    <n v="2520"/>
    <n v="2520"/>
    <n v="2520"/>
    <n v="2670"/>
    <n v="2670"/>
    <n v="2670"/>
    <n v="2670"/>
    <n v="2670"/>
    <n v="2670"/>
    <n v="2590"/>
    <n v="2590"/>
    <n v="2590"/>
    <n v="2390"/>
    <n v="2390"/>
    <n v="2690"/>
    <n v="2690"/>
    <n v="2690"/>
    <n v="2690"/>
    <n v="2610"/>
    <n v="2610"/>
    <n v="2610"/>
    <n v="2640"/>
    <n v="2640"/>
    <n v="2640"/>
    <n v="2740"/>
    <n v="2740"/>
    <n v="2740"/>
    <n v="2820"/>
    <n v="2820"/>
    <n v="2820"/>
    <m/>
    <m/>
    <m/>
    <x v="84"/>
    <x v="2"/>
    <x v="66"/>
    <n v="2.82"/>
    <n v="16.638000000000002"/>
    <n v="0.14176320000000001"/>
    <n v="2.1629400000000003"/>
    <n v="0"/>
    <n v="9.1999999999999998E-2"/>
    <x v="91"/>
    <x v="107"/>
    <n v="105"/>
    <n v="120"/>
    <x v="3"/>
    <n v="-0.14117403659686545"/>
    <x v="96"/>
    <x v="110"/>
  </r>
  <r>
    <n v="17058"/>
    <x v="36"/>
    <x v="3"/>
    <x v="6"/>
    <m/>
    <x v="5"/>
    <s v="TECHNOCELL 6287"/>
    <s v="brown"/>
    <n v="6287"/>
    <m/>
    <m/>
    <s v="EU"/>
    <x v="4"/>
    <x v="1"/>
    <m/>
    <m/>
    <m/>
    <x v="0"/>
    <m/>
    <m/>
    <m/>
    <s v="ton"/>
    <x v="2"/>
    <x v="2"/>
    <m/>
    <m/>
    <m/>
    <n v="2380"/>
    <n v="2380"/>
    <n v="2380"/>
    <n v="2200"/>
    <n v="2200"/>
    <n v="2200"/>
    <n v="2050"/>
    <n v="2050"/>
    <n v="2050"/>
    <n v="2140"/>
    <n v="2140"/>
    <n v="2140"/>
    <n v="2290"/>
    <n v="2290"/>
    <n v="2290"/>
    <n v="2440"/>
    <n v="2440"/>
    <n v="2440"/>
    <n v="2440"/>
    <n v="2440"/>
    <n v="2440"/>
    <n v="2360"/>
    <n v="2360"/>
    <n v="2360"/>
    <n v="2160"/>
    <n v="2160"/>
    <n v="2460"/>
    <n v="2460"/>
    <n v="2460"/>
    <n v="2460"/>
    <n v="2380"/>
    <n v="2380"/>
    <n v="2380"/>
    <n v="2430"/>
    <n v="2430"/>
    <n v="2430"/>
    <n v="2530"/>
    <n v="2530"/>
    <n v="2530"/>
    <n v="2610"/>
    <n v="2610"/>
    <n v="2610"/>
    <m/>
    <m/>
    <m/>
    <x v="94"/>
    <x v="2"/>
    <x v="79"/>
    <n v="2.61"/>
    <n v="15.399000000000001"/>
    <n v="0.14176320000000001"/>
    <n v="2.0018700000000003"/>
    <n v="0"/>
    <n v="9.1999999999999998E-2"/>
    <x v="105"/>
    <x v="129"/>
    <n v="105"/>
    <n v="120"/>
    <x v="3"/>
    <n v="-0.13079018498954653"/>
    <x v="114"/>
    <x v="133"/>
  </r>
  <r>
    <n v="17058"/>
    <x v="36"/>
    <x v="3"/>
    <x v="6"/>
    <m/>
    <x v="5"/>
    <s v="TECHNOCELL 6287"/>
    <s v="brown"/>
    <n v="6287"/>
    <m/>
    <m/>
    <s v="EU"/>
    <x v="4"/>
    <x v="1"/>
    <m/>
    <m/>
    <m/>
    <x v="0"/>
    <m/>
    <m/>
    <m/>
    <s v="ton"/>
    <x v="11"/>
    <x v="2"/>
    <m/>
    <m/>
    <m/>
    <n v="2430"/>
    <n v="2430"/>
    <n v="2430"/>
    <n v="2250"/>
    <n v="2250"/>
    <n v="2250"/>
    <n v="2100"/>
    <n v="2100"/>
    <n v="2100"/>
    <n v="2190"/>
    <n v="2190"/>
    <n v="2190"/>
    <n v="2340"/>
    <n v="2340"/>
    <n v="2340"/>
    <n v="2490"/>
    <n v="2490"/>
    <n v="2490"/>
    <n v="2490"/>
    <n v="2490"/>
    <n v="2490"/>
    <n v="2410"/>
    <n v="2410"/>
    <n v="2410"/>
    <n v="2210"/>
    <n v="2210"/>
    <n v="2510"/>
    <n v="2510"/>
    <n v="2510"/>
    <n v="2510"/>
    <n v="2430"/>
    <n v="2430"/>
    <n v="2430"/>
    <n v="2480"/>
    <n v="2480"/>
    <n v="2480"/>
    <n v="2580"/>
    <n v="2580"/>
    <n v="2580"/>
    <n v="2660"/>
    <n v="2660"/>
    <n v="2660"/>
    <m/>
    <m/>
    <m/>
    <x v="95"/>
    <x v="2"/>
    <x v="80"/>
    <n v="2.66"/>
    <n v="15.694000000000003"/>
    <n v="0.14176320000000001"/>
    <n v="2.0402200000000006"/>
    <n v="0"/>
    <n v="9.1999999999999998E-2"/>
    <x v="106"/>
    <x v="130"/>
    <n v="105"/>
    <n v="120"/>
    <x v="3"/>
    <n v="-0.13326253061033455"/>
    <x v="115"/>
    <x v="134"/>
  </r>
  <r>
    <n v="17058"/>
    <x v="36"/>
    <x v="3"/>
    <x v="6"/>
    <m/>
    <x v="5"/>
    <s v="TECHNOCELL 6287"/>
    <s v="brown"/>
    <n v="6287"/>
    <m/>
    <m/>
    <s v="EU"/>
    <x v="4"/>
    <x v="1"/>
    <m/>
    <m/>
    <m/>
    <x v="0"/>
    <m/>
    <m/>
    <m/>
    <s v="ton"/>
    <x v="1"/>
    <x v="2"/>
    <m/>
    <m/>
    <m/>
    <n v="2480"/>
    <n v="2480"/>
    <n v="2480"/>
    <n v="2300"/>
    <n v="2300"/>
    <n v="2300"/>
    <n v="2150"/>
    <n v="2150"/>
    <n v="2150"/>
    <n v="2240"/>
    <n v="2240"/>
    <n v="2240"/>
    <n v="2390"/>
    <n v="2390"/>
    <n v="2390"/>
    <n v="2540"/>
    <n v="2540"/>
    <n v="2540"/>
    <n v="2540"/>
    <n v="2540"/>
    <n v="2540"/>
    <n v="2460"/>
    <n v="2460"/>
    <n v="2460"/>
    <n v="2260"/>
    <n v="2260"/>
    <n v="2560"/>
    <n v="2560"/>
    <n v="2560"/>
    <n v="2560"/>
    <n v="2480"/>
    <n v="2480"/>
    <n v="2480"/>
    <n v="2530"/>
    <n v="2530"/>
    <n v="2530"/>
    <n v="2630"/>
    <n v="2630"/>
    <n v="2630"/>
    <n v="2710"/>
    <n v="2710"/>
    <n v="2710"/>
    <m/>
    <m/>
    <m/>
    <x v="96"/>
    <x v="2"/>
    <x v="81"/>
    <n v="2.71"/>
    <n v="15.989000000000001"/>
    <n v="0.14176320000000001"/>
    <n v="2.07857"/>
    <n v="0"/>
    <n v="9.1999999999999998E-2"/>
    <x v="107"/>
    <x v="131"/>
    <n v="105"/>
    <n v="120"/>
    <x v="3"/>
    <n v="-0.13573487623112612"/>
    <x v="116"/>
    <x v="135"/>
  </r>
  <r>
    <n v="17058"/>
    <x v="36"/>
    <x v="3"/>
    <x v="6"/>
    <m/>
    <x v="5"/>
    <s v="TECHNOCELL 6287"/>
    <s v="brown"/>
    <n v="6287"/>
    <m/>
    <m/>
    <s v="EU"/>
    <x v="4"/>
    <x v="1"/>
    <m/>
    <m/>
    <m/>
    <x v="0"/>
    <m/>
    <m/>
    <m/>
    <s v="ton"/>
    <x v="12"/>
    <x v="2"/>
    <m/>
    <m/>
    <m/>
    <n v="2560"/>
    <n v="2560"/>
    <n v="2560"/>
    <n v="2380"/>
    <n v="2380"/>
    <n v="2380"/>
    <n v="2230"/>
    <n v="2230"/>
    <n v="2230"/>
    <n v="2320"/>
    <n v="2320"/>
    <n v="2320"/>
    <n v="2470"/>
    <n v="2470"/>
    <n v="2470"/>
    <n v="2620"/>
    <n v="2620"/>
    <n v="2620"/>
    <n v="2620"/>
    <n v="2620"/>
    <n v="2620"/>
    <n v="2540"/>
    <n v="2540"/>
    <n v="2540"/>
    <n v="2340"/>
    <n v="2340"/>
    <n v="2640"/>
    <n v="2640"/>
    <n v="2640"/>
    <n v="2640"/>
    <n v="2560"/>
    <n v="2560"/>
    <n v="2560"/>
    <n v="2610"/>
    <n v="2610"/>
    <n v="2610"/>
    <n v="2710"/>
    <n v="2710"/>
    <n v="2710"/>
    <n v="2790"/>
    <n v="2790"/>
    <n v="2790"/>
    <m/>
    <m/>
    <m/>
    <x v="97"/>
    <x v="2"/>
    <x v="82"/>
    <n v="2.79"/>
    <n v="16.461000000000002"/>
    <n v="0.14176320000000001"/>
    <n v="2.1399300000000006"/>
    <n v="0"/>
    <n v="9.1999999999999998E-2"/>
    <x v="108"/>
    <x v="132"/>
    <n v="105"/>
    <n v="120"/>
    <x v="3"/>
    <n v="-0.1396906292243898"/>
    <x v="117"/>
    <x v="136"/>
  </r>
  <r>
    <n v="17059"/>
    <x v="36"/>
    <x v="9"/>
    <x v="6"/>
    <m/>
    <x v="5"/>
    <s v="TECHNOCELL 6287"/>
    <s v="brown"/>
    <n v="6287"/>
    <m/>
    <m/>
    <s v="EU"/>
    <x v="4"/>
    <x v="1"/>
    <m/>
    <m/>
    <m/>
    <x v="0"/>
    <m/>
    <m/>
    <m/>
    <s v="ton"/>
    <x v="2"/>
    <x v="2"/>
    <m/>
    <m/>
    <m/>
    <m/>
    <m/>
    <m/>
    <m/>
    <m/>
    <m/>
    <m/>
    <m/>
    <m/>
    <m/>
    <m/>
    <m/>
    <n v="2340"/>
    <n v="2340"/>
    <n v="2340"/>
    <n v="2490"/>
    <n v="2490"/>
    <n v="2490"/>
    <n v="2490"/>
    <n v="2490"/>
    <n v="2490"/>
    <n v="2410"/>
    <n v="2410"/>
    <n v="2410"/>
    <n v="2210"/>
    <n v="2210"/>
    <n v="2510"/>
    <n v="2510"/>
    <n v="2510"/>
    <n v="2510"/>
    <n v="2430"/>
    <n v="2430"/>
    <n v="2430"/>
    <n v="2480"/>
    <n v="2480"/>
    <n v="2480"/>
    <n v="2580"/>
    <n v="2580"/>
    <n v="2580"/>
    <n v="2660"/>
    <n v="2660"/>
    <n v="2660"/>
    <m/>
    <m/>
    <m/>
    <x v="95"/>
    <x v="2"/>
    <x v="80"/>
    <n v="2.66"/>
    <n v="15.694000000000003"/>
    <n v="0.14176320000000001"/>
    <n v="2.0402200000000006"/>
    <n v="0"/>
    <n v="9.1999999999999998E-2"/>
    <x v="106"/>
    <x v="133"/>
    <n v="105"/>
    <n v="120"/>
    <x v="3"/>
    <n v="-0.13326253061033455"/>
    <x v="115"/>
    <x v="137"/>
  </r>
  <r>
    <n v="17059"/>
    <x v="36"/>
    <x v="9"/>
    <x v="6"/>
    <m/>
    <x v="5"/>
    <s v="TECHNOCELL 6287"/>
    <s v="brown"/>
    <n v="6287"/>
    <m/>
    <m/>
    <s v="EU"/>
    <x v="4"/>
    <x v="1"/>
    <m/>
    <m/>
    <m/>
    <x v="0"/>
    <m/>
    <m/>
    <m/>
    <s v="ton"/>
    <x v="11"/>
    <x v="2"/>
    <m/>
    <m/>
    <m/>
    <m/>
    <m/>
    <m/>
    <m/>
    <m/>
    <m/>
    <m/>
    <m/>
    <m/>
    <m/>
    <m/>
    <m/>
    <n v="2390"/>
    <n v="2390"/>
    <n v="2390"/>
    <n v="2540"/>
    <n v="2540"/>
    <n v="2540"/>
    <n v="2540"/>
    <n v="2540"/>
    <n v="2540"/>
    <n v="2460"/>
    <n v="2460"/>
    <n v="2460"/>
    <n v="2260"/>
    <n v="2260"/>
    <n v="2560"/>
    <n v="2560"/>
    <n v="2560"/>
    <n v="2560"/>
    <n v="2480"/>
    <n v="2480"/>
    <n v="2480"/>
    <n v="2530"/>
    <n v="2530"/>
    <n v="2530"/>
    <n v="2630"/>
    <n v="2630"/>
    <n v="2630"/>
    <n v="2710"/>
    <n v="2710"/>
    <n v="2710"/>
    <m/>
    <m/>
    <m/>
    <x v="96"/>
    <x v="2"/>
    <x v="81"/>
    <n v="2.71"/>
    <n v="15.989000000000001"/>
    <n v="0.14176320000000001"/>
    <n v="2.07857"/>
    <n v="0"/>
    <n v="9.1999999999999998E-2"/>
    <x v="107"/>
    <x v="134"/>
    <n v="105"/>
    <n v="120"/>
    <x v="3"/>
    <n v="-0.13573487623112612"/>
    <x v="116"/>
    <x v="138"/>
  </r>
  <r>
    <n v="17059"/>
    <x v="36"/>
    <x v="9"/>
    <x v="6"/>
    <m/>
    <x v="5"/>
    <s v="TECHNOCELL 6287"/>
    <s v="brown"/>
    <n v="6287"/>
    <m/>
    <m/>
    <s v="EU"/>
    <x v="4"/>
    <x v="1"/>
    <m/>
    <m/>
    <m/>
    <x v="0"/>
    <m/>
    <m/>
    <m/>
    <s v="ton"/>
    <x v="1"/>
    <x v="2"/>
    <m/>
    <m/>
    <m/>
    <m/>
    <m/>
    <m/>
    <m/>
    <m/>
    <m/>
    <m/>
    <m/>
    <m/>
    <m/>
    <m/>
    <m/>
    <n v="2440"/>
    <n v="2440"/>
    <n v="2440"/>
    <n v="2590"/>
    <n v="2590"/>
    <n v="2590"/>
    <n v="2590"/>
    <n v="2590"/>
    <n v="2590"/>
    <n v="2510"/>
    <n v="2510"/>
    <n v="2510"/>
    <n v="2310"/>
    <n v="2310"/>
    <n v="2610"/>
    <n v="2610"/>
    <n v="2610"/>
    <n v="2610"/>
    <n v="2530"/>
    <n v="2530"/>
    <n v="2530"/>
    <n v="2580"/>
    <n v="2580"/>
    <n v="2580"/>
    <n v="2680"/>
    <n v="2680"/>
    <n v="2680"/>
    <n v="2760"/>
    <n v="2760"/>
    <n v="2760"/>
    <m/>
    <m/>
    <m/>
    <x v="98"/>
    <x v="2"/>
    <x v="75"/>
    <n v="2.76"/>
    <n v="16.283999999999999"/>
    <n v="0.14176320000000001"/>
    <n v="2.1169199999999999"/>
    <n v="0"/>
    <n v="9.1999999999999998E-2"/>
    <x v="109"/>
    <x v="135"/>
    <n v="105"/>
    <n v="120"/>
    <x v="3"/>
    <n v="-0.13820722185191769"/>
    <x v="118"/>
    <x v="139"/>
  </r>
  <r>
    <n v="17059"/>
    <x v="36"/>
    <x v="9"/>
    <x v="6"/>
    <m/>
    <x v="5"/>
    <s v="TECHNOCELL 6287"/>
    <s v="brown"/>
    <n v="6287"/>
    <m/>
    <m/>
    <s v="EU"/>
    <x v="4"/>
    <x v="1"/>
    <m/>
    <m/>
    <m/>
    <x v="0"/>
    <m/>
    <m/>
    <m/>
    <s v="ton"/>
    <x v="12"/>
    <x v="2"/>
    <m/>
    <m/>
    <m/>
    <m/>
    <m/>
    <m/>
    <m/>
    <m/>
    <m/>
    <m/>
    <m/>
    <m/>
    <m/>
    <m/>
    <m/>
    <n v="2520"/>
    <n v="2520"/>
    <n v="2520"/>
    <n v="2670"/>
    <n v="2670"/>
    <n v="2670"/>
    <n v="2670"/>
    <n v="2670"/>
    <n v="2670"/>
    <n v="2590"/>
    <n v="2590"/>
    <n v="2590"/>
    <n v="2390"/>
    <n v="2390"/>
    <n v="2690"/>
    <n v="2690"/>
    <n v="2690"/>
    <n v="2690"/>
    <n v="2610"/>
    <n v="2610"/>
    <n v="2610"/>
    <n v="2660"/>
    <n v="2660"/>
    <n v="2660"/>
    <n v="2760"/>
    <n v="2760"/>
    <n v="2760"/>
    <n v="2840"/>
    <n v="2840"/>
    <n v="2840"/>
    <m/>
    <m/>
    <m/>
    <x v="99"/>
    <x v="2"/>
    <x v="83"/>
    <n v="2.84"/>
    <n v="16.756"/>
    <n v="0.14176320000000001"/>
    <n v="2.17828"/>
    <n v="0"/>
    <n v="9.1999999999999998E-2"/>
    <x v="110"/>
    <x v="136"/>
    <n v="105"/>
    <n v="120"/>
    <x v="3"/>
    <n v="-0.14216297484518137"/>
    <x v="119"/>
    <x v="140"/>
  </r>
  <r>
    <n v="17062"/>
    <x v="37"/>
    <x v="3"/>
    <x v="6"/>
    <m/>
    <x v="5"/>
    <s v="TECHNOCELL 7936"/>
    <s v="beige"/>
    <n v="7936"/>
    <m/>
    <m/>
    <s v="EU"/>
    <x v="4"/>
    <x v="1"/>
    <m/>
    <m/>
    <m/>
    <x v="0"/>
    <m/>
    <m/>
    <m/>
    <s v="ton"/>
    <x v="2"/>
    <x v="2"/>
    <m/>
    <m/>
    <m/>
    <m/>
    <m/>
    <m/>
    <m/>
    <m/>
    <m/>
    <m/>
    <m/>
    <m/>
    <m/>
    <m/>
    <m/>
    <m/>
    <m/>
    <m/>
    <m/>
    <m/>
    <m/>
    <m/>
    <m/>
    <m/>
    <m/>
    <m/>
    <m/>
    <m/>
    <m/>
    <n v="2680"/>
    <n v="2680"/>
    <n v="2680"/>
    <n v="2680"/>
    <m/>
    <m/>
    <m/>
    <m/>
    <m/>
    <m/>
    <m/>
    <m/>
    <m/>
    <m/>
    <m/>
    <m/>
    <m/>
    <m/>
    <m/>
    <x v="91"/>
    <x v="0"/>
    <x v="0"/>
    <n v="2.68"/>
    <n v="15.812000000000001"/>
    <n v="0.14176320000000001"/>
    <n v="2.0555600000000003"/>
    <n v="0"/>
    <n v="9.1999999999999998E-2"/>
    <x v="101"/>
    <x v="137"/>
    <n v="105"/>
    <n v="120"/>
    <x v="3"/>
    <n v="-0.13425146885865402"/>
    <x v="109"/>
    <x v="141"/>
  </r>
  <r>
    <n v="17063"/>
    <x v="38"/>
    <x v="3"/>
    <x v="6"/>
    <m/>
    <x v="5"/>
    <s v="TECHNOCELL 8522"/>
    <s v="gray"/>
    <n v="8522"/>
    <m/>
    <m/>
    <s v="EU"/>
    <x v="4"/>
    <x v="1"/>
    <m/>
    <m/>
    <m/>
    <x v="0"/>
    <m/>
    <m/>
    <m/>
    <s v="ton"/>
    <x v="2"/>
    <x v="2"/>
    <m/>
    <m/>
    <m/>
    <m/>
    <m/>
    <m/>
    <m/>
    <m/>
    <m/>
    <m/>
    <m/>
    <m/>
    <m/>
    <m/>
    <m/>
    <m/>
    <m/>
    <m/>
    <m/>
    <m/>
    <m/>
    <m/>
    <m/>
    <m/>
    <m/>
    <m/>
    <m/>
    <m/>
    <m/>
    <n v="2680"/>
    <n v="2680"/>
    <n v="2680"/>
    <n v="2680"/>
    <m/>
    <m/>
    <m/>
    <m/>
    <m/>
    <m/>
    <m/>
    <m/>
    <m/>
    <m/>
    <m/>
    <m/>
    <m/>
    <m/>
    <m/>
    <x v="91"/>
    <x v="0"/>
    <x v="0"/>
    <n v="2.68"/>
    <n v="15.812000000000001"/>
    <n v="0.14176320000000001"/>
    <n v="2.0555600000000003"/>
    <n v="0"/>
    <n v="9.1999999999999998E-2"/>
    <x v="101"/>
    <x v="137"/>
    <n v="105"/>
    <n v="120"/>
    <x v="3"/>
    <n v="-0.13425146885865402"/>
    <x v="109"/>
    <x v="141"/>
  </r>
  <r>
    <n v="17064"/>
    <x v="4"/>
    <x v="3"/>
    <x v="0"/>
    <s v="FF"/>
    <x v="5"/>
    <s v="TECHNOCELL 9370-070 New White PO"/>
    <s v="white"/>
    <s v="9370-070"/>
    <m/>
    <m/>
    <s v="EU"/>
    <x v="4"/>
    <x v="1"/>
    <m/>
    <m/>
    <m/>
    <x v="0"/>
    <m/>
    <m/>
    <m/>
    <s v="ton"/>
    <x v="1"/>
    <x v="2"/>
    <m/>
    <m/>
    <m/>
    <m/>
    <m/>
    <m/>
    <m/>
    <m/>
    <m/>
    <m/>
    <m/>
    <m/>
    <m/>
    <m/>
    <m/>
    <m/>
    <m/>
    <m/>
    <m/>
    <m/>
    <m/>
    <m/>
    <m/>
    <m/>
    <m/>
    <m/>
    <m/>
    <n v="2800"/>
    <n v="2800"/>
    <n v="2800"/>
    <n v="2800"/>
    <n v="2800"/>
    <n v="2800"/>
    <m/>
    <m/>
    <m/>
    <m/>
    <m/>
    <m/>
    <m/>
    <m/>
    <m/>
    <m/>
    <m/>
    <m/>
    <m/>
    <m/>
    <m/>
    <x v="100"/>
    <x v="0"/>
    <x v="0"/>
    <n v="2.8"/>
    <n v="16.52"/>
    <n v="0.14176320000000001"/>
    <n v="2.1476000000000002"/>
    <n v="0"/>
    <n v="9.1999999999999998E-2"/>
    <x v="111"/>
    <x v="138"/>
    <n v="105"/>
    <n v="120"/>
    <x v="3"/>
    <n v="-0.14018509834854953"/>
    <x v="120"/>
    <x v="142"/>
  </r>
  <r>
    <n v="17418"/>
    <x v="22"/>
    <x v="6"/>
    <x v="6"/>
    <s v="DP"/>
    <x v="8"/>
    <s v="MUNKSJO 1430 ECO"/>
    <s v="brown"/>
    <n v="1430"/>
    <m/>
    <m/>
    <s v="EU"/>
    <x v="2"/>
    <x v="0"/>
    <m/>
    <m/>
    <m/>
    <x v="0"/>
    <m/>
    <m/>
    <m/>
    <s v="ton"/>
    <x v="3"/>
    <x v="2"/>
    <n v="2370"/>
    <n v="2370"/>
    <n v="2370"/>
    <n v="2170"/>
    <n v="2170"/>
    <n v="2170"/>
    <n v="1920"/>
    <n v="1920"/>
    <n v="1920"/>
    <n v="1720"/>
    <n v="1720"/>
    <n v="1720"/>
    <n v="1720"/>
    <n v="1720"/>
    <n v="1720"/>
    <n v="1860"/>
    <n v="1860"/>
    <n v="1860"/>
    <n v="2010"/>
    <n v="2010"/>
    <n v="2010"/>
    <n v="2010"/>
    <n v="2010"/>
    <n v="2010"/>
    <n v="1860"/>
    <n v="1860"/>
    <n v="1860"/>
    <n v="1940"/>
    <n v="1940"/>
    <n v="1940"/>
    <n v="1940"/>
    <n v="1940"/>
    <n v="1940"/>
    <n v="1790"/>
    <n v="1790"/>
    <n v="1790"/>
    <m/>
    <m/>
    <m/>
    <n v="1870"/>
    <n v="1950"/>
    <n v="1950"/>
    <n v="2070"/>
    <n v="2020"/>
    <n v="2020"/>
    <m/>
    <m/>
    <m/>
    <x v="56"/>
    <x v="2"/>
    <x v="84"/>
    <n v="2.02"/>
    <n v="11.918000000000001"/>
    <n v="0.14176320000000001"/>
    <n v="1.5493400000000002"/>
    <n v="0"/>
    <n v="9.1999999999999998E-2"/>
    <x v="112"/>
    <x v="139"/>
    <n v="105"/>
    <n v="60"/>
    <x v="2"/>
    <n v="0.30942797864185323"/>
    <x v="121"/>
    <x v="143"/>
  </r>
  <r>
    <n v="17418"/>
    <x v="22"/>
    <x v="6"/>
    <x v="6"/>
    <s v="DP"/>
    <x v="8"/>
    <s v="MUNKSJO 1430 ECO"/>
    <s v="brown"/>
    <n v="1430"/>
    <m/>
    <m/>
    <s v="EU"/>
    <x v="2"/>
    <x v="0"/>
    <m/>
    <m/>
    <m/>
    <x v="0"/>
    <m/>
    <m/>
    <m/>
    <s v="ton"/>
    <x v="2"/>
    <x v="2"/>
    <n v="2420"/>
    <n v="2420"/>
    <n v="2420"/>
    <n v="2220"/>
    <n v="2220"/>
    <n v="2220"/>
    <n v="1970"/>
    <n v="1970"/>
    <n v="1970"/>
    <n v="1770"/>
    <n v="1770"/>
    <n v="1770"/>
    <n v="1770"/>
    <n v="1770"/>
    <n v="1770"/>
    <n v="1910"/>
    <n v="1910"/>
    <n v="1910"/>
    <n v="2060"/>
    <n v="2060"/>
    <n v="2060"/>
    <n v="2060"/>
    <n v="2060"/>
    <n v="2060"/>
    <n v="1910"/>
    <n v="1910"/>
    <n v="1910"/>
    <n v="1990"/>
    <n v="1990"/>
    <n v="1990"/>
    <n v="1990"/>
    <n v="1990"/>
    <n v="1990"/>
    <n v="1840"/>
    <n v="1840"/>
    <n v="1840"/>
    <m/>
    <m/>
    <m/>
    <n v="1920"/>
    <n v="2000"/>
    <n v="2000"/>
    <n v="2120"/>
    <n v="2070"/>
    <n v="2070"/>
    <m/>
    <m/>
    <m/>
    <x v="64"/>
    <x v="2"/>
    <x v="85"/>
    <n v="2.0699999999999998"/>
    <n v="12.212999999999999"/>
    <n v="0.14176320000000001"/>
    <n v="1.58769"/>
    <n v="0"/>
    <n v="9.1999999999999998E-2"/>
    <x v="113"/>
    <x v="140"/>
    <n v="105"/>
    <n v="60"/>
    <x v="2"/>
    <n v="0.3169564101246749"/>
    <x v="122"/>
    <x v="144"/>
  </r>
  <r>
    <n v="17418"/>
    <x v="22"/>
    <x v="6"/>
    <x v="6"/>
    <s v="DP"/>
    <x v="8"/>
    <s v="MUNKSJO 1430 ECO"/>
    <s v="brown"/>
    <n v="1430"/>
    <m/>
    <m/>
    <s v="EU"/>
    <x v="2"/>
    <x v="0"/>
    <m/>
    <m/>
    <m/>
    <x v="0"/>
    <m/>
    <m/>
    <m/>
    <s v="ton"/>
    <x v="1"/>
    <x v="2"/>
    <n v="2570"/>
    <n v="2570"/>
    <n v="2570"/>
    <n v="2370"/>
    <n v="2370"/>
    <n v="2370"/>
    <n v="2120"/>
    <n v="2120"/>
    <n v="2120"/>
    <n v="1920"/>
    <n v="1920"/>
    <n v="1920"/>
    <n v="1920"/>
    <n v="1920"/>
    <n v="1920"/>
    <n v="2060"/>
    <n v="2060"/>
    <n v="2060"/>
    <n v="2210"/>
    <n v="2210"/>
    <n v="2210"/>
    <n v="2210"/>
    <n v="2210"/>
    <n v="2210"/>
    <n v="2060"/>
    <n v="2060"/>
    <n v="2060"/>
    <n v="2140"/>
    <n v="2140"/>
    <n v="2140"/>
    <n v="2140"/>
    <n v="2140"/>
    <n v="2140"/>
    <n v="1990"/>
    <n v="1990"/>
    <n v="1990"/>
    <m/>
    <m/>
    <m/>
    <n v="2070"/>
    <n v="2150"/>
    <n v="2150"/>
    <n v="2270"/>
    <n v="2220"/>
    <n v="2220"/>
    <m/>
    <m/>
    <m/>
    <x v="101"/>
    <x v="2"/>
    <x v="86"/>
    <n v="2.2200000000000002"/>
    <n v="13.098000000000003"/>
    <n v="0.14176320000000001"/>
    <n v="1.7027400000000004"/>
    <n v="0"/>
    <n v="9.1999999999999998E-2"/>
    <x v="114"/>
    <x v="141"/>
    <n v="105"/>
    <n v="60"/>
    <x v="2"/>
    <n v="0.33954170457313815"/>
    <x v="123"/>
    <x v="145"/>
  </r>
  <r>
    <n v="17418"/>
    <x v="22"/>
    <x v="6"/>
    <x v="6"/>
    <s v="DP"/>
    <x v="8"/>
    <s v="MUNKSJO 1430 ECO"/>
    <s v="brown"/>
    <n v="1430"/>
    <m/>
    <m/>
    <s v="EU"/>
    <x v="2"/>
    <x v="0"/>
    <m/>
    <m/>
    <m/>
    <x v="0"/>
    <m/>
    <m/>
    <m/>
    <s v="ton"/>
    <x v="12"/>
    <x v="2"/>
    <n v="2990"/>
    <n v="2990"/>
    <n v="2990"/>
    <n v="2790"/>
    <n v="2790"/>
    <n v="2790"/>
    <n v="2540"/>
    <n v="2540"/>
    <n v="2540"/>
    <n v="2340"/>
    <n v="2340"/>
    <n v="2340"/>
    <n v="2340"/>
    <n v="2340"/>
    <n v="2340"/>
    <n v="2480"/>
    <n v="2480"/>
    <n v="2480"/>
    <n v="2630"/>
    <n v="2630"/>
    <n v="2630"/>
    <n v="2630"/>
    <n v="2630"/>
    <n v="2630"/>
    <n v="2480"/>
    <n v="2480"/>
    <n v="2480"/>
    <n v="2560"/>
    <n v="2560"/>
    <n v="2560"/>
    <n v="2560"/>
    <n v="2560"/>
    <n v="2560"/>
    <n v="2410"/>
    <n v="2410"/>
    <n v="2410"/>
    <m/>
    <m/>
    <m/>
    <n v="2490"/>
    <n v="2570"/>
    <n v="2570"/>
    <n v="2690"/>
    <n v="2640"/>
    <n v="2640"/>
    <m/>
    <m/>
    <m/>
    <x v="13"/>
    <x v="2"/>
    <x v="87"/>
    <n v="2.64"/>
    <n v="15.576000000000002"/>
    <n v="0.14176320000000001"/>
    <n v="2.0248800000000005"/>
    <n v="0"/>
    <n v="9.1999999999999998E-2"/>
    <x v="13"/>
    <x v="126"/>
    <n v="105"/>
    <n v="60"/>
    <x v="2"/>
    <n v="0.40278052902883488"/>
    <x v="13"/>
    <x v="146"/>
  </r>
  <r>
    <n v="17418"/>
    <x v="22"/>
    <x v="6"/>
    <x v="6"/>
    <s v="DP"/>
    <x v="8"/>
    <s v="MUNKSJO 1430 ECO"/>
    <s v="brown"/>
    <n v="1430"/>
    <m/>
    <m/>
    <s v="EU"/>
    <x v="2"/>
    <x v="0"/>
    <m/>
    <m/>
    <m/>
    <x v="0"/>
    <m/>
    <m/>
    <m/>
    <s v="ton"/>
    <x v="18"/>
    <x v="2"/>
    <n v="3850"/>
    <n v="3850"/>
    <n v="3850"/>
    <n v="3650"/>
    <n v="3650"/>
    <n v="3650"/>
    <n v="3400"/>
    <n v="3400"/>
    <n v="3400"/>
    <n v="3200"/>
    <n v="3200"/>
    <n v="3200"/>
    <n v="3200"/>
    <n v="3200"/>
    <n v="3200"/>
    <n v="3340"/>
    <n v="3340"/>
    <n v="3340"/>
    <n v="3490"/>
    <n v="3490"/>
    <n v="3490"/>
    <n v="3490"/>
    <n v="3490"/>
    <n v="3490"/>
    <n v="3340"/>
    <n v="3340"/>
    <n v="3340"/>
    <n v="3420"/>
    <n v="3420"/>
    <n v="3420"/>
    <n v="3420"/>
    <n v="3420"/>
    <n v="3420"/>
    <n v="3270"/>
    <n v="3270"/>
    <n v="3270"/>
    <m/>
    <m/>
    <m/>
    <n v="3350"/>
    <n v="3430"/>
    <n v="3430"/>
    <n v="3650"/>
    <n v="3600"/>
    <n v="3600"/>
    <m/>
    <m/>
    <m/>
    <x v="102"/>
    <x v="2"/>
    <x v="88"/>
    <n v="3.6"/>
    <n v="21.240000000000002"/>
    <n v="0.14176320000000001"/>
    <n v="2.7612000000000005"/>
    <n v="0"/>
    <n v="9.1999999999999998E-2"/>
    <x v="115"/>
    <x v="142"/>
    <n v="105"/>
    <n v="60"/>
    <x v="2"/>
    <n v="0.54732641349900035"/>
    <x v="124"/>
    <x v="147"/>
  </r>
  <r>
    <n v="17425"/>
    <x v="21"/>
    <x v="6"/>
    <x v="12"/>
    <s v="DP"/>
    <x v="8"/>
    <s v="MUNKSJO 1410 ECO"/>
    <s v="brown"/>
    <n v="1410"/>
    <m/>
    <m/>
    <s v="EU"/>
    <x v="2"/>
    <x v="0"/>
    <m/>
    <m/>
    <m/>
    <x v="0"/>
    <m/>
    <m/>
    <m/>
    <s v="ton"/>
    <x v="3"/>
    <x v="2"/>
    <n v="2370"/>
    <n v="2370"/>
    <n v="2370"/>
    <n v="2170"/>
    <n v="2170"/>
    <n v="2170"/>
    <n v="2120"/>
    <n v="2120"/>
    <n v="2120"/>
    <n v="1720"/>
    <n v="1720"/>
    <n v="1720"/>
    <n v="1720"/>
    <n v="1720"/>
    <n v="1720"/>
    <n v="1860"/>
    <n v="1860"/>
    <n v="1860"/>
    <n v="2010"/>
    <n v="2010"/>
    <n v="2010"/>
    <n v="2010"/>
    <n v="2010"/>
    <n v="2010"/>
    <n v="1860"/>
    <n v="1860"/>
    <n v="1860"/>
    <n v="2500"/>
    <n v="2500"/>
    <n v="2500"/>
    <n v="1940"/>
    <n v="1940"/>
    <n v="1940"/>
    <n v="1790"/>
    <n v="1790"/>
    <n v="1790"/>
    <m/>
    <m/>
    <m/>
    <n v="1870"/>
    <n v="1950"/>
    <n v="1950"/>
    <n v="2070"/>
    <n v="2020"/>
    <n v="2020"/>
    <m/>
    <m/>
    <m/>
    <x v="56"/>
    <x v="2"/>
    <x v="84"/>
    <n v="2.02"/>
    <n v="11.918000000000001"/>
    <n v="0.14176320000000001"/>
    <n v="1.5493400000000002"/>
    <n v="0"/>
    <n v="9.1999999999999998E-2"/>
    <x v="112"/>
    <x v="139"/>
    <n v="105"/>
    <n v="60"/>
    <x v="2"/>
    <n v="0.30942797864185323"/>
    <x v="121"/>
    <x v="143"/>
  </r>
  <r>
    <n v="17425"/>
    <x v="21"/>
    <x v="6"/>
    <x v="12"/>
    <s v="DP"/>
    <x v="8"/>
    <s v="MUNKSJO 1410 ECO"/>
    <s v="brown"/>
    <n v="1410"/>
    <m/>
    <m/>
    <s v="EU"/>
    <x v="2"/>
    <x v="0"/>
    <m/>
    <m/>
    <m/>
    <x v="0"/>
    <m/>
    <m/>
    <m/>
    <s v="ton"/>
    <x v="2"/>
    <x v="2"/>
    <n v="2420"/>
    <n v="2420"/>
    <n v="2420"/>
    <n v="2220"/>
    <n v="2220"/>
    <n v="2220"/>
    <n v="1970"/>
    <n v="1970"/>
    <n v="1970"/>
    <n v="1770"/>
    <n v="1770"/>
    <n v="1770"/>
    <n v="1770"/>
    <n v="1770"/>
    <n v="1770"/>
    <n v="1910"/>
    <n v="1910"/>
    <n v="1910"/>
    <n v="2060"/>
    <n v="2060"/>
    <n v="2060"/>
    <n v="2060"/>
    <n v="2060"/>
    <n v="2060"/>
    <n v="1910"/>
    <n v="1910"/>
    <n v="1910"/>
    <n v="1990"/>
    <n v="1990"/>
    <n v="1990"/>
    <n v="1990"/>
    <n v="1990"/>
    <n v="1990"/>
    <n v="1840"/>
    <n v="1840"/>
    <n v="1840"/>
    <m/>
    <m/>
    <m/>
    <n v="1920"/>
    <n v="2000"/>
    <n v="2000"/>
    <n v="2120"/>
    <n v="2070"/>
    <n v="2070"/>
    <m/>
    <m/>
    <m/>
    <x v="64"/>
    <x v="2"/>
    <x v="85"/>
    <n v="2.0699999999999998"/>
    <n v="12.212999999999999"/>
    <n v="0.14176320000000001"/>
    <n v="1.58769"/>
    <n v="0"/>
    <n v="9.1999999999999998E-2"/>
    <x v="113"/>
    <x v="140"/>
    <n v="105"/>
    <n v="60"/>
    <x v="2"/>
    <n v="0.3169564101246749"/>
    <x v="122"/>
    <x v="144"/>
  </r>
  <r>
    <n v="17425"/>
    <x v="21"/>
    <x v="6"/>
    <x v="12"/>
    <s v="DP"/>
    <x v="8"/>
    <s v="MUNKSJO 1410 ECO"/>
    <s v="brown"/>
    <n v="1410"/>
    <m/>
    <m/>
    <s v="EU"/>
    <x v="2"/>
    <x v="0"/>
    <m/>
    <m/>
    <m/>
    <x v="0"/>
    <m/>
    <m/>
    <m/>
    <s v="ton"/>
    <x v="1"/>
    <x v="2"/>
    <n v="2570"/>
    <n v="2570"/>
    <n v="2570"/>
    <n v="2370"/>
    <n v="2370"/>
    <n v="2370"/>
    <n v="2120"/>
    <n v="2120"/>
    <n v="2120"/>
    <n v="1920"/>
    <n v="1920"/>
    <n v="1920"/>
    <n v="1920"/>
    <n v="1920"/>
    <n v="1920"/>
    <n v="2060"/>
    <n v="2060"/>
    <n v="2060"/>
    <n v="2210"/>
    <n v="2210"/>
    <n v="2210"/>
    <n v="2210"/>
    <n v="2210"/>
    <n v="2210"/>
    <n v="2060"/>
    <n v="2060"/>
    <n v="2060"/>
    <n v="2140"/>
    <n v="2140"/>
    <n v="2140"/>
    <n v="2140"/>
    <n v="2140"/>
    <n v="2140"/>
    <n v="1990"/>
    <n v="1990"/>
    <n v="1990"/>
    <m/>
    <m/>
    <m/>
    <n v="2070"/>
    <n v="2150"/>
    <n v="2150"/>
    <n v="2270"/>
    <n v="2220"/>
    <n v="2220"/>
    <m/>
    <m/>
    <m/>
    <x v="101"/>
    <x v="2"/>
    <x v="86"/>
    <n v="2.2200000000000002"/>
    <n v="13.098000000000003"/>
    <n v="0.14176320000000001"/>
    <n v="1.7027400000000004"/>
    <n v="0"/>
    <n v="9.1999999999999998E-2"/>
    <x v="114"/>
    <x v="141"/>
    <n v="105"/>
    <n v="60"/>
    <x v="2"/>
    <n v="0.33954170457313815"/>
    <x v="123"/>
    <x v="145"/>
  </r>
  <r>
    <n v="17444"/>
    <x v="12"/>
    <x v="2"/>
    <x v="10"/>
    <s v="IP"/>
    <x v="2"/>
    <s v="MUNKSJO SUPER BLACK"/>
    <s v="black"/>
    <m/>
    <m/>
    <m/>
    <s v="EU"/>
    <x v="2"/>
    <x v="0"/>
    <m/>
    <m/>
    <m/>
    <x v="0"/>
    <m/>
    <m/>
    <m/>
    <s v="ton"/>
    <x v="2"/>
    <x v="2"/>
    <n v="3020"/>
    <n v="3020"/>
    <n v="3020"/>
    <n v="2820"/>
    <n v="2820"/>
    <n v="2820"/>
    <n v="2570"/>
    <n v="2570"/>
    <n v="2570"/>
    <n v="2370"/>
    <n v="2370"/>
    <n v="2370"/>
    <n v="2670"/>
    <n v="2670"/>
    <n v="2670"/>
    <n v="2810"/>
    <n v="2810"/>
    <n v="2810"/>
    <n v="2960"/>
    <n v="2960"/>
    <n v="2960"/>
    <n v="2960"/>
    <n v="2960"/>
    <n v="2960"/>
    <n v="2810"/>
    <n v="2810"/>
    <n v="2810"/>
    <n v="2890"/>
    <n v="2890"/>
    <n v="2890"/>
    <n v="2890"/>
    <n v="2890"/>
    <n v="2890"/>
    <n v="2740"/>
    <n v="2740"/>
    <n v="2740"/>
    <m/>
    <m/>
    <m/>
    <n v="2820"/>
    <n v="2900"/>
    <n v="2900"/>
    <n v="2900"/>
    <n v="2850"/>
    <n v="2850"/>
    <m/>
    <m/>
    <m/>
    <x v="103"/>
    <x v="2"/>
    <x v="89"/>
    <n v="2.85"/>
    <n v="16.815000000000001"/>
    <n v="0.14176320000000001"/>
    <n v="2.1859500000000001"/>
    <n v="0"/>
    <n v="9.1999999999999998E-2"/>
    <x v="116"/>
    <x v="143"/>
    <n v="105"/>
    <n v="60"/>
    <x v="2"/>
    <n v="0.43439994125668591"/>
    <x v="125"/>
    <x v="148"/>
  </r>
  <r>
    <n v="17445"/>
    <x v="39"/>
    <x v="9"/>
    <x v="6"/>
    <s v="DP"/>
    <x v="9"/>
    <s v="MUNKSJO 0301"/>
    <s v="dark beige"/>
    <n v="301"/>
    <m/>
    <m/>
    <s v="EU"/>
    <x v="2"/>
    <x v="0"/>
    <m/>
    <m/>
    <m/>
    <x v="0"/>
    <m/>
    <m/>
    <m/>
    <s v="ton"/>
    <x v="2"/>
    <x v="2"/>
    <m/>
    <m/>
    <m/>
    <m/>
    <m/>
    <m/>
    <m/>
    <m/>
    <m/>
    <m/>
    <m/>
    <m/>
    <m/>
    <m/>
    <m/>
    <m/>
    <m/>
    <m/>
    <m/>
    <m/>
    <m/>
    <m/>
    <m/>
    <m/>
    <m/>
    <m/>
    <m/>
    <m/>
    <m/>
    <n v="2230"/>
    <n v="2230"/>
    <n v="2230"/>
    <n v="2230"/>
    <n v="2080"/>
    <n v="2080"/>
    <n v="2080"/>
    <m/>
    <m/>
    <m/>
    <n v="2160"/>
    <n v="2240"/>
    <n v="2240"/>
    <n v="2360"/>
    <n v="2310"/>
    <n v="2310"/>
    <m/>
    <m/>
    <m/>
    <x v="49"/>
    <x v="2"/>
    <x v="90"/>
    <n v="2.31"/>
    <n v="13.629000000000001"/>
    <n v="0.14176320000000001"/>
    <n v="1.7717700000000003"/>
    <n v="0"/>
    <n v="9.1999999999999998E-2"/>
    <x v="117"/>
    <x v="144"/>
    <n v="105"/>
    <n v="60"/>
    <x v="2"/>
    <n v="0.35309288124221538"/>
    <x v="126"/>
    <x v="149"/>
  </r>
  <r>
    <n v="17445"/>
    <x v="39"/>
    <x v="9"/>
    <x v="6"/>
    <s v="DP"/>
    <x v="9"/>
    <s v="MUNKSJO 0301"/>
    <s v="dark beige"/>
    <n v="301"/>
    <m/>
    <m/>
    <s v="EU"/>
    <x v="2"/>
    <x v="0"/>
    <m/>
    <m/>
    <m/>
    <x v="0"/>
    <m/>
    <m/>
    <m/>
    <s v="ton"/>
    <x v="3"/>
    <x v="2"/>
    <m/>
    <m/>
    <m/>
    <m/>
    <m/>
    <m/>
    <m/>
    <m/>
    <m/>
    <m/>
    <m/>
    <m/>
    <m/>
    <m/>
    <m/>
    <m/>
    <m/>
    <m/>
    <m/>
    <m/>
    <m/>
    <m/>
    <m/>
    <m/>
    <m/>
    <m/>
    <m/>
    <m/>
    <m/>
    <n v="2080"/>
    <n v="2080"/>
    <n v="2080"/>
    <n v="2080"/>
    <n v="1930"/>
    <n v="1930"/>
    <n v="1930"/>
    <m/>
    <m/>
    <m/>
    <n v="2010"/>
    <n v="2090"/>
    <n v="2090"/>
    <n v="2210"/>
    <n v="2160"/>
    <n v="2160"/>
    <m/>
    <m/>
    <m/>
    <x v="104"/>
    <x v="2"/>
    <x v="91"/>
    <n v="2.16"/>
    <n v="12.744000000000002"/>
    <n v="0.14176320000000001"/>
    <n v="1.6567200000000002"/>
    <n v="0"/>
    <n v="9.1999999999999998E-2"/>
    <x v="118"/>
    <x v="145"/>
    <n v="105"/>
    <n v="60"/>
    <x v="2"/>
    <n v="0.33050758679375214"/>
    <x v="127"/>
    <x v="150"/>
  </r>
  <r>
    <n v="17445"/>
    <x v="39"/>
    <x v="9"/>
    <x v="6"/>
    <s v="DP"/>
    <x v="9"/>
    <s v="MUNKSJO 0301"/>
    <s v="dark beige"/>
    <n v="301"/>
    <m/>
    <m/>
    <s v="EU"/>
    <x v="2"/>
    <x v="0"/>
    <m/>
    <m/>
    <m/>
    <x v="0"/>
    <m/>
    <m/>
    <m/>
    <s v="ton"/>
    <x v="1"/>
    <x v="2"/>
    <m/>
    <m/>
    <m/>
    <m/>
    <m/>
    <m/>
    <m/>
    <m/>
    <m/>
    <m/>
    <m/>
    <m/>
    <m/>
    <m/>
    <m/>
    <m/>
    <m/>
    <m/>
    <m/>
    <m/>
    <m/>
    <m/>
    <m/>
    <m/>
    <m/>
    <m/>
    <m/>
    <m/>
    <m/>
    <n v="2380"/>
    <n v="2380"/>
    <n v="2380"/>
    <n v="2380"/>
    <n v="2230"/>
    <n v="2230"/>
    <n v="2230"/>
    <m/>
    <m/>
    <m/>
    <n v="2310"/>
    <n v="2390"/>
    <n v="2390"/>
    <n v="2510"/>
    <n v="2460"/>
    <n v="2460"/>
    <m/>
    <m/>
    <m/>
    <x v="79"/>
    <x v="2"/>
    <x v="92"/>
    <n v="2.46"/>
    <n v="14.514000000000001"/>
    <n v="0.14176320000000001"/>
    <n v="1.8868200000000002"/>
    <n v="0"/>
    <n v="9.1999999999999998E-2"/>
    <x v="86"/>
    <x v="146"/>
    <n v="105"/>
    <n v="60"/>
    <x v="2"/>
    <n v="0.3756781756906804"/>
    <x v="128"/>
    <x v="151"/>
  </r>
  <r>
    <n v="18402"/>
    <x v="19"/>
    <x v="3"/>
    <x v="6"/>
    <s v="DP"/>
    <x v="10"/>
    <s v="SUNSHINE 0104 ECO"/>
    <s v="white"/>
    <m/>
    <m/>
    <m/>
    <s v="CN"/>
    <x v="1"/>
    <x v="2"/>
    <m/>
    <m/>
    <m/>
    <x v="0"/>
    <m/>
    <m/>
    <m/>
    <s v="ton"/>
    <x v="3"/>
    <x v="3"/>
    <m/>
    <m/>
    <m/>
    <m/>
    <m/>
    <m/>
    <m/>
    <m/>
    <m/>
    <m/>
    <m/>
    <m/>
    <m/>
    <m/>
    <m/>
    <m/>
    <m/>
    <m/>
    <m/>
    <m/>
    <m/>
    <m/>
    <m/>
    <n v="13600"/>
    <n v="13600"/>
    <n v="13600"/>
    <n v="13600"/>
    <n v="13600"/>
    <n v="13600"/>
    <n v="12800"/>
    <n v="12800"/>
    <n v="12800"/>
    <n v="12800"/>
    <n v="12800"/>
    <n v="11650"/>
    <n v="11650"/>
    <n v="11650"/>
    <m/>
    <m/>
    <m/>
    <m/>
    <m/>
    <m/>
    <m/>
    <m/>
    <m/>
    <m/>
    <m/>
    <x v="105"/>
    <x v="11"/>
    <x v="12"/>
    <n v="11.65"/>
    <n v="8.7375000000000007"/>
    <n v="1.11958"/>
    <n v="1.2232500000000002"/>
    <n v="0"/>
    <n v="9.1999999999999998E-2"/>
    <x v="119"/>
    <x v="147"/>
    <n v="120"/>
    <n v="90"/>
    <x v="1"/>
    <n v="0.1675849499999984"/>
    <x v="129"/>
    <x v="152"/>
  </r>
  <r>
    <n v="18402"/>
    <x v="19"/>
    <x v="3"/>
    <x v="6"/>
    <s v="DP"/>
    <x v="10"/>
    <s v="SUNSHINE 0104 ECO"/>
    <s v="white"/>
    <m/>
    <m/>
    <m/>
    <s v="CN"/>
    <x v="1"/>
    <x v="3"/>
    <m/>
    <m/>
    <m/>
    <x v="0"/>
    <m/>
    <m/>
    <m/>
    <s v="ton"/>
    <x v="3"/>
    <x v="2"/>
    <n v="2000"/>
    <n v="2000"/>
    <n v="2000"/>
    <n v="2000"/>
    <n v="2000"/>
    <n v="2000"/>
    <n v="1920"/>
    <n v="1860"/>
    <n v="1860"/>
    <n v="1860"/>
    <n v="1860"/>
    <n v="1860"/>
    <n v="1860"/>
    <n v="1860"/>
    <n v="1860"/>
    <n v="1830"/>
    <n v="1800"/>
    <n v="1800"/>
    <n v="1800"/>
    <n v="1800"/>
    <n v="1800"/>
    <n v="1800"/>
    <n v="1800"/>
    <n v="1800"/>
    <n v="1760"/>
    <n v="1760"/>
    <n v="1760"/>
    <m/>
    <m/>
    <m/>
    <m/>
    <m/>
    <m/>
    <m/>
    <m/>
    <m/>
    <m/>
    <m/>
    <m/>
    <m/>
    <m/>
    <m/>
    <m/>
    <m/>
    <m/>
    <m/>
    <m/>
    <m/>
    <x v="106"/>
    <x v="16"/>
    <x v="0"/>
    <n v="1.76"/>
    <n v="10.384"/>
    <n v="1.11958"/>
    <n v="1.4537600000000002"/>
    <n v="0"/>
    <n v="9.1999999999999998E-2"/>
    <x v="120"/>
    <x v="148"/>
    <n v="120"/>
    <n v="90"/>
    <x v="1"/>
    <n v="0.19574009999999831"/>
    <x v="130"/>
    <x v="153"/>
  </r>
  <r>
    <n v="18403"/>
    <x v="19"/>
    <x v="2"/>
    <x v="12"/>
    <s v="IP"/>
    <x v="10"/>
    <s v="SUNSHINE 0104 ECO"/>
    <s v="white"/>
    <m/>
    <m/>
    <m/>
    <s v="CN"/>
    <x v="1"/>
    <x v="2"/>
    <m/>
    <m/>
    <m/>
    <x v="0"/>
    <m/>
    <m/>
    <m/>
    <s v="ton"/>
    <x v="3"/>
    <x v="3"/>
    <m/>
    <m/>
    <m/>
    <m/>
    <m/>
    <m/>
    <m/>
    <m/>
    <m/>
    <m/>
    <m/>
    <m/>
    <m/>
    <m/>
    <m/>
    <m/>
    <m/>
    <m/>
    <m/>
    <m/>
    <m/>
    <m/>
    <m/>
    <n v="13400"/>
    <n v="13400"/>
    <n v="13400"/>
    <n v="13400"/>
    <n v="13400"/>
    <n v="13400"/>
    <n v="12400"/>
    <n v="12400"/>
    <n v="12400"/>
    <n v="12400"/>
    <n v="12400"/>
    <n v="11650"/>
    <n v="11650"/>
    <n v="11650"/>
    <m/>
    <m/>
    <m/>
    <m/>
    <m/>
    <m/>
    <m/>
    <m/>
    <m/>
    <m/>
    <m/>
    <x v="105"/>
    <x v="11"/>
    <x v="12"/>
    <n v="11.65"/>
    <n v="8.7375000000000007"/>
    <n v="1.11958"/>
    <n v="1.2232500000000002"/>
    <n v="0"/>
    <n v="9.1999999999999998E-2"/>
    <x v="119"/>
    <x v="149"/>
    <n v="120"/>
    <n v="90"/>
    <x v="1"/>
    <n v="0.1675849499999984"/>
    <x v="129"/>
    <x v="154"/>
  </r>
  <r>
    <n v="18403"/>
    <x v="19"/>
    <x v="2"/>
    <x v="12"/>
    <s v="IP"/>
    <x v="10"/>
    <s v="SUNSHINE 0104 ECO"/>
    <s v="white"/>
    <m/>
    <m/>
    <m/>
    <s v="CN"/>
    <x v="1"/>
    <x v="3"/>
    <m/>
    <m/>
    <m/>
    <x v="0"/>
    <m/>
    <m/>
    <m/>
    <s v="ton"/>
    <x v="3"/>
    <x v="2"/>
    <n v="2000"/>
    <n v="2000"/>
    <n v="2000"/>
    <n v="2000"/>
    <n v="2000"/>
    <n v="2000"/>
    <n v="1920"/>
    <n v="1860"/>
    <n v="1860"/>
    <n v="1860"/>
    <n v="1860"/>
    <n v="1860"/>
    <n v="1860"/>
    <n v="1860"/>
    <n v="1860"/>
    <n v="1830"/>
    <n v="1780"/>
    <n v="1780"/>
    <n v="1780"/>
    <n v="1780"/>
    <n v="1780"/>
    <n v="1780"/>
    <n v="1780"/>
    <n v="1780"/>
    <n v="1730"/>
    <n v="1730"/>
    <n v="1730"/>
    <m/>
    <m/>
    <m/>
    <m/>
    <m/>
    <m/>
    <m/>
    <m/>
    <m/>
    <m/>
    <m/>
    <m/>
    <m/>
    <m/>
    <m/>
    <m/>
    <m/>
    <m/>
    <m/>
    <m/>
    <m/>
    <x v="58"/>
    <x v="16"/>
    <x v="0"/>
    <n v="1.73"/>
    <n v="10.207000000000001"/>
    <n v="1.11958"/>
    <n v="1.4289800000000001"/>
    <n v="0"/>
    <n v="9.1999999999999998E-2"/>
    <x v="121"/>
    <x v="150"/>
    <n v="120"/>
    <n v="90"/>
    <x v="1"/>
    <n v="0.19271339999999881"/>
    <x v="131"/>
    <x v="155"/>
  </r>
  <r>
    <n v="18405"/>
    <x v="19"/>
    <x v="2"/>
    <x v="5"/>
    <s v="IP"/>
    <x v="10"/>
    <s v="SUNSHINE 0104 ECO"/>
    <s v="white"/>
    <m/>
    <m/>
    <m/>
    <s v="CN"/>
    <x v="1"/>
    <x v="2"/>
    <m/>
    <m/>
    <m/>
    <x v="0"/>
    <m/>
    <m/>
    <m/>
    <s v="ton"/>
    <x v="3"/>
    <x v="3"/>
    <m/>
    <m/>
    <m/>
    <m/>
    <m/>
    <m/>
    <m/>
    <m/>
    <m/>
    <m/>
    <m/>
    <m/>
    <m/>
    <m/>
    <m/>
    <m/>
    <m/>
    <m/>
    <m/>
    <m/>
    <m/>
    <m/>
    <m/>
    <n v="13400"/>
    <n v="13400"/>
    <n v="13400"/>
    <n v="13400"/>
    <n v="13400"/>
    <n v="13400"/>
    <n v="12400"/>
    <n v="12400"/>
    <n v="12400"/>
    <n v="12400"/>
    <n v="12400"/>
    <n v="11650"/>
    <n v="11650"/>
    <n v="11650"/>
    <m/>
    <m/>
    <m/>
    <m/>
    <m/>
    <m/>
    <m/>
    <m/>
    <m/>
    <m/>
    <m/>
    <x v="105"/>
    <x v="11"/>
    <x v="12"/>
    <n v="11.65"/>
    <n v="8.7375000000000007"/>
    <n v="1.11958"/>
    <n v="1.2232500000000002"/>
    <n v="0"/>
    <n v="9.1999999999999998E-2"/>
    <x v="119"/>
    <x v="149"/>
    <n v="120"/>
    <n v="90"/>
    <x v="1"/>
    <n v="0.1675849499999984"/>
    <x v="129"/>
    <x v="154"/>
  </r>
  <r>
    <n v="18405"/>
    <x v="19"/>
    <x v="2"/>
    <x v="5"/>
    <s v="IP"/>
    <x v="10"/>
    <s v="SUNSHINE 0104 ECO"/>
    <s v="white"/>
    <m/>
    <m/>
    <m/>
    <s v="CN"/>
    <x v="1"/>
    <x v="3"/>
    <m/>
    <m/>
    <m/>
    <x v="0"/>
    <m/>
    <m/>
    <m/>
    <s v="ton"/>
    <x v="3"/>
    <x v="2"/>
    <n v="2000"/>
    <n v="2000"/>
    <n v="2000"/>
    <n v="2000"/>
    <n v="2000"/>
    <n v="2000"/>
    <n v="1920"/>
    <n v="1860"/>
    <n v="1860"/>
    <n v="1860"/>
    <n v="1860"/>
    <n v="1860"/>
    <n v="1860"/>
    <n v="1860"/>
    <n v="1860"/>
    <n v="1830"/>
    <n v="1780"/>
    <n v="1780"/>
    <n v="1780"/>
    <n v="1780"/>
    <n v="1780"/>
    <n v="1780"/>
    <n v="1780"/>
    <n v="1780"/>
    <n v="1730"/>
    <n v="1730"/>
    <n v="1730"/>
    <m/>
    <m/>
    <m/>
    <m/>
    <m/>
    <m/>
    <m/>
    <m/>
    <m/>
    <m/>
    <m/>
    <m/>
    <m/>
    <m/>
    <m/>
    <m/>
    <m/>
    <m/>
    <m/>
    <m/>
    <m/>
    <x v="58"/>
    <x v="16"/>
    <x v="0"/>
    <n v="1.73"/>
    <n v="10.207000000000001"/>
    <n v="1.11958"/>
    <n v="1.4289800000000001"/>
    <n v="0"/>
    <n v="9.1999999999999998E-2"/>
    <x v="121"/>
    <x v="150"/>
    <n v="120"/>
    <n v="90"/>
    <x v="1"/>
    <n v="0.19271339999999881"/>
    <x v="131"/>
    <x v="155"/>
  </r>
  <r>
    <n v="18407"/>
    <x v="19"/>
    <x v="2"/>
    <x v="15"/>
    <s v="IP"/>
    <x v="10"/>
    <s v="SUNSHINE 0104 ECO"/>
    <s v="white"/>
    <m/>
    <m/>
    <m/>
    <s v="CN"/>
    <x v="1"/>
    <x v="2"/>
    <m/>
    <m/>
    <m/>
    <x v="0"/>
    <m/>
    <m/>
    <m/>
    <s v="ton"/>
    <x v="3"/>
    <x v="3"/>
    <m/>
    <m/>
    <m/>
    <m/>
    <m/>
    <m/>
    <m/>
    <m/>
    <m/>
    <m/>
    <m/>
    <m/>
    <m/>
    <m/>
    <m/>
    <m/>
    <m/>
    <m/>
    <m/>
    <m/>
    <m/>
    <m/>
    <m/>
    <n v="13400"/>
    <n v="13400"/>
    <n v="13400"/>
    <n v="13400"/>
    <n v="13400"/>
    <n v="13400"/>
    <n v="12400"/>
    <n v="12400"/>
    <n v="12400"/>
    <n v="12400"/>
    <n v="12400"/>
    <n v="11650"/>
    <n v="11650"/>
    <n v="11650"/>
    <m/>
    <m/>
    <m/>
    <m/>
    <m/>
    <m/>
    <m/>
    <m/>
    <m/>
    <m/>
    <m/>
    <x v="105"/>
    <x v="11"/>
    <x v="12"/>
    <n v="11.65"/>
    <n v="8.7375000000000007"/>
    <n v="1.11958"/>
    <n v="1.2232500000000002"/>
    <n v="0"/>
    <n v="9.1999999999999998E-2"/>
    <x v="119"/>
    <x v="149"/>
    <n v="120"/>
    <n v="90"/>
    <x v="1"/>
    <n v="0.1675849499999984"/>
    <x v="129"/>
    <x v="154"/>
  </r>
  <r>
    <n v="18407"/>
    <x v="19"/>
    <x v="2"/>
    <x v="15"/>
    <s v="IP"/>
    <x v="10"/>
    <s v="SUNSHINE 0104 ECO"/>
    <s v="white"/>
    <m/>
    <m/>
    <m/>
    <s v="CN"/>
    <x v="1"/>
    <x v="3"/>
    <m/>
    <m/>
    <m/>
    <x v="0"/>
    <m/>
    <m/>
    <m/>
    <s v="ton"/>
    <x v="3"/>
    <x v="2"/>
    <n v="2000"/>
    <n v="2000"/>
    <n v="2000"/>
    <n v="2000"/>
    <n v="2000"/>
    <n v="2000"/>
    <n v="1920"/>
    <n v="1860"/>
    <n v="1860"/>
    <n v="1860"/>
    <n v="1860"/>
    <n v="1860"/>
    <n v="1860"/>
    <n v="1860"/>
    <n v="1860"/>
    <n v="1830"/>
    <n v="1780"/>
    <n v="1780"/>
    <n v="1780"/>
    <n v="1780"/>
    <n v="1780"/>
    <n v="1780"/>
    <n v="1780"/>
    <n v="1780"/>
    <n v="1730"/>
    <n v="1730"/>
    <n v="1730"/>
    <m/>
    <m/>
    <m/>
    <m/>
    <m/>
    <m/>
    <m/>
    <m/>
    <m/>
    <m/>
    <m/>
    <m/>
    <m/>
    <m/>
    <m/>
    <m/>
    <m/>
    <m/>
    <m/>
    <m/>
    <m/>
    <x v="58"/>
    <x v="16"/>
    <x v="0"/>
    <n v="1.73"/>
    <n v="10.207000000000001"/>
    <n v="1.11958"/>
    <n v="1.4289800000000001"/>
    <n v="0"/>
    <n v="9.1999999999999998E-2"/>
    <x v="121"/>
    <x v="150"/>
    <n v="120"/>
    <n v="90"/>
    <x v="1"/>
    <n v="0.19271339999999881"/>
    <x v="131"/>
    <x v="155"/>
  </r>
  <r>
    <n v="18408"/>
    <x v="19"/>
    <x v="3"/>
    <x v="22"/>
    <s v="DP"/>
    <x v="10"/>
    <s v="SUNSHINE 0104 ECO"/>
    <s v="white"/>
    <m/>
    <m/>
    <m/>
    <s v="CN"/>
    <x v="1"/>
    <x v="2"/>
    <m/>
    <m/>
    <m/>
    <x v="0"/>
    <m/>
    <m/>
    <m/>
    <s v="ton"/>
    <x v="3"/>
    <x v="3"/>
    <m/>
    <m/>
    <m/>
    <m/>
    <m/>
    <m/>
    <m/>
    <m/>
    <m/>
    <m/>
    <m/>
    <m/>
    <m/>
    <m/>
    <m/>
    <m/>
    <m/>
    <m/>
    <m/>
    <m/>
    <m/>
    <m/>
    <m/>
    <n v="13600"/>
    <n v="13600"/>
    <n v="13600"/>
    <n v="13600"/>
    <n v="13600"/>
    <n v="13600"/>
    <n v="12800"/>
    <n v="12800"/>
    <n v="12800"/>
    <n v="12800"/>
    <n v="12800"/>
    <n v="11650"/>
    <n v="11650"/>
    <n v="11650"/>
    <m/>
    <m/>
    <m/>
    <m/>
    <m/>
    <m/>
    <m/>
    <m/>
    <m/>
    <m/>
    <m/>
    <x v="105"/>
    <x v="11"/>
    <x v="12"/>
    <n v="11.65"/>
    <n v="8.7375000000000007"/>
    <n v="1.11958"/>
    <n v="1.2232500000000002"/>
    <n v="0"/>
    <n v="9.1999999999999998E-2"/>
    <x v="119"/>
    <x v="147"/>
    <n v="120"/>
    <n v="90"/>
    <x v="1"/>
    <n v="0.1675849499999984"/>
    <x v="129"/>
    <x v="152"/>
  </r>
  <r>
    <n v="18408"/>
    <x v="19"/>
    <x v="3"/>
    <x v="22"/>
    <s v="DP"/>
    <x v="10"/>
    <s v="SUNSHINE 0104 ECO"/>
    <s v="white"/>
    <m/>
    <m/>
    <m/>
    <s v="CN"/>
    <x v="1"/>
    <x v="3"/>
    <m/>
    <m/>
    <m/>
    <x v="0"/>
    <m/>
    <m/>
    <m/>
    <s v="ton"/>
    <x v="3"/>
    <x v="2"/>
    <n v="2000"/>
    <n v="2000"/>
    <n v="2000"/>
    <n v="2000"/>
    <n v="2000"/>
    <n v="2000"/>
    <n v="1920"/>
    <n v="1860"/>
    <n v="1860"/>
    <n v="1860"/>
    <n v="1860"/>
    <n v="1860"/>
    <n v="1860"/>
    <n v="1860"/>
    <n v="1860"/>
    <n v="1830"/>
    <n v="1800"/>
    <n v="1800"/>
    <n v="1800"/>
    <n v="1800"/>
    <n v="1800"/>
    <n v="1800"/>
    <n v="1800"/>
    <n v="1800"/>
    <n v="1760"/>
    <n v="1760"/>
    <n v="1760"/>
    <m/>
    <m/>
    <m/>
    <m/>
    <m/>
    <m/>
    <m/>
    <m/>
    <m/>
    <m/>
    <m/>
    <m/>
    <m/>
    <m/>
    <m/>
    <m/>
    <m/>
    <m/>
    <m/>
    <m/>
    <m/>
    <x v="106"/>
    <x v="16"/>
    <x v="0"/>
    <n v="1.76"/>
    <n v="10.384"/>
    <n v="1.11958"/>
    <n v="1.4537600000000002"/>
    <n v="0"/>
    <n v="9.1999999999999998E-2"/>
    <x v="120"/>
    <x v="148"/>
    <n v="120"/>
    <n v="90"/>
    <x v="1"/>
    <n v="0.19574009999999831"/>
    <x v="130"/>
    <x v="153"/>
  </r>
  <r>
    <n v="18409"/>
    <x v="19"/>
    <x v="3"/>
    <x v="5"/>
    <s v="DP"/>
    <x v="10"/>
    <s v="SUNSHINE 0104 ECO"/>
    <s v="white"/>
    <m/>
    <m/>
    <m/>
    <s v="CN"/>
    <x v="1"/>
    <x v="2"/>
    <m/>
    <m/>
    <m/>
    <x v="0"/>
    <m/>
    <m/>
    <m/>
    <s v="ton"/>
    <x v="3"/>
    <x v="3"/>
    <m/>
    <m/>
    <m/>
    <m/>
    <m/>
    <m/>
    <m/>
    <m/>
    <m/>
    <m/>
    <m/>
    <m/>
    <m/>
    <m/>
    <m/>
    <m/>
    <m/>
    <m/>
    <m/>
    <m/>
    <m/>
    <m/>
    <m/>
    <n v="13600"/>
    <n v="13600"/>
    <n v="13600"/>
    <n v="13600"/>
    <n v="13600"/>
    <n v="13600"/>
    <n v="12800"/>
    <n v="12800"/>
    <n v="12800"/>
    <n v="12800"/>
    <n v="12800"/>
    <n v="11650"/>
    <n v="11650"/>
    <n v="11650"/>
    <m/>
    <m/>
    <m/>
    <m/>
    <m/>
    <m/>
    <m/>
    <m/>
    <m/>
    <m/>
    <m/>
    <x v="105"/>
    <x v="11"/>
    <x v="12"/>
    <n v="11.65"/>
    <n v="8.7375000000000007"/>
    <n v="1.11958"/>
    <n v="1.2232500000000002"/>
    <n v="0"/>
    <n v="9.1999999999999998E-2"/>
    <x v="119"/>
    <x v="147"/>
    <n v="120"/>
    <n v="90"/>
    <x v="1"/>
    <n v="0.1675849499999984"/>
    <x v="129"/>
    <x v="152"/>
  </r>
  <r>
    <n v="18409"/>
    <x v="19"/>
    <x v="3"/>
    <x v="5"/>
    <s v="DP"/>
    <x v="10"/>
    <s v="SUNSHINE 0104 ECO"/>
    <s v="white"/>
    <m/>
    <m/>
    <m/>
    <s v="CN"/>
    <x v="1"/>
    <x v="3"/>
    <m/>
    <m/>
    <m/>
    <x v="0"/>
    <m/>
    <m/>
    <m/>
    <s v="ton"/>
    <x v="3"/>
    <x v="2"/>
    <n v="2000"/>
    <n v="2000"/>
    <n v="2000"/>
    <n v="2000"/>
    <n v="2000"/>
    <n v="2000"/>
    <n v="1920"/>
    <n v="1860"/>
    <n v="1860"/>
    <n v="1860"/>
    <n v="1860"/>
    <n v="1860"/>
    <n v="1860"/>
    <n v="1860"/>
    <n v="1860"/>
    <n v="1830"/>
    <n v="1800"/>
    <n v="1800"/>
    <n v="1800"/>
    <n v="1800"/>
    <n v="1800"/>
    <n v="1800"/>
    <n v="1800"/>
    <n v="1800"/>
    <n v="1760"/>
    <n v="1760"/>
    <n v="1760"/>
    <m/>
    <m/>
    <m/>
    <m/>
    <m/>
    <m/>
    <m/>
    <m/>
    <m/>
    <m/>
    <m/>
    <m/>
    <m/>
    <m/>
    <m/>
    <m/>
    <m/>
    <m/>
    <m/>
    <m/>
    <m/>
    <x v="106"/>
    <x v="16"/>
    <x v="0"/>
    <n v="1.76"/>
    <n v="10.384"/>
    <n v="1.11958"/>
    <n v="1.4537600000000002"/>
    <n v="0"/>
    <n v="9.1999999999999998E-2"/>
    <x v="120"/>
    <x v="148"/>
    <n v="120"/>
    <n v="90"/>
    <x v="1"/>
    <n v="0.19574009999999831"/>
    <x v="130"/>
    <x v="153"/>
  </r>
  <r>
    <n v="18412"/>
    <x v="13"/>
    <x v="2"/>
    <x v="9"/>
    <s v="IP"/>
    <x v="10"/>
    <s v="SUNSHINE YG002PW"/>
    <s v="white"/>
    <s v="YG002PW"/>
    <m/>
    <m/>
    <s v="CN"/>
    <x v="1"/>
    <x v="2"/>
    <m/>
    <m/>
    <m/>
    <x v="0"/>
    <m/>
    <m/>
    <m/>
    <s v="ton"/>
    <x v="3"/>
    <x v="3"/>
    <m/>
    <m/>
    <m/>
    <m/>
    <m/>
    <m/>
    <m/>
    <m/>
    <m/>
    <m/>
    <m/>
    <m/>
    <m/>
    <m/>
    <m/>
    <m/>
    <m/>
    <m/>
    <m/>
    <m/>
    <m/>
    <m/>
    <m/>
    <n v="15100"/>
    <n v="15100"/>
    <n v="15100"/>
    <n v="15100"/>
    <n v="15100"/>
    <n v="15100"/>
    <n v="15100"/>
    <n v="15100"/>
    <n v="14500"/>
    <n v="14500"/>
    <n v="14500"/>
    <n v="14500"/>
    <n v="14500"/>
    <n v="14500"/>
    <m/>
    <m/>
    <m/>
    <m/>
    <m/>
    <m/>
    <m/>
    <m/>
    <m/>
    <m/>
    <m/>
    <x v="107"/>
    <x v="11"/>
    <x v="12"/>
    <n v="14.5"/>
    <n v="10.875"/>
    <n v="1.11958"/>
    <n v="1.5225000000000002"/>
    <n v="0"/>
    <n v="9.1999999999999998E-2"/>
    <x v="122"/>
    <x v="151"/>
    <n v="120"/>
    <n v="90"/>
    <x v="1"/>
    <n v="0.20413619999999888"/>
    <x v="132"/>
    <x v="156"/>
  </r>
  <r>
    <n v="18412"/>
    <x v="13"/>
    <x v="2"/>
    <x v="9"/>
    <s v="IP"/>
    <x v="10"/>
    <s v="SUNSHINE YG002PW"/>
    <s v="white"/>
    <s v="YG002PW"/>
    <m/>
    <m/>
    <s v="CN"/>
    <x v="1"/>
    <x v="3"/>
    <m/>
    <m/>
    <m/>
    <x v="0"/>
    <m/>
    <m/>
    <m/>
    <s v="ton"/>
    <x v="3"/>
    <x v="2"/>
    <m/>
    <m/>
    <m/>
    <m/>
    <m/>
    <m/>
    <n v="2070"/>
    <n v="2070"/>
    <n v="2070"/>
    <n v="2070"/>
    <n v="2070"/>
    <n v="2070"/>
    <n v="2070"/>
    <n v="2070"/>
    <n v="2070"/>
    <n v="2070"/>
    <n v="2070"/>
    <n v="2070"/>
    <n v="2000"/>
    <n v="2000"/>
    <n v="2000"/>
    <n v="2000"/>
    <n v="2000"/>
    <n v="2000"/>
    <n v="1950"/>
    <n v="1950"/>
    <n v="1950"/>
    <n v="1950"/>
    <n v="1950"/>
    <n v="1950"/>
    <n v="1950"/>
    <m/>
    <m/>
    <m/>
    <m/>
    <m/>
    <m/>
    <m/>
    <m/>
    <m/>
    <m/>
    <m/>
    <m/>
    <m/>
    <m/>
    <m/>
    <m/>
    <m/>
    <x v="108"/>
    <x v="17"/>
    <x v="0"/>
    <n v="1.95"/>
    <n v="11.505000000000001"/>
    <n v="1.11958"/>
    <n v="1.6107000000000002"/>
    <n v="0"/>
    <n v="9.1999999999999998E-2"/>
    <x v="123"/>
    <x v="152"/>
    <n v="120"/>
    <n v="90"/>
    <x v="1"/>
    <n v="0.21490919999999925"/>
    <x v="133"/>
    <x v="157"/>
  </r>
  <r>
    <n v="18413"/>
    <x v="40"/>
    <x v="9"/>
    <x v="6"/>
    <s v="DP"/>
    <x v="10"/>
    <s v="SUNSHINE 0128 ECO"/>
    <s v="white"/>
    <m/>
    <m/>
    <m/>
    <s v="CN"/>
    <x v="1"/>
    <x v="2"/>
    <m/>
    <m/>
    <m/>
    <x v="0"/>
    <m/>
    <m/>
    <m/>
    <s v="ton"/>
    <x v="3"/>
    <x v="3"/>
    <m/>
    <m/>
    <m/>
    <m/>
    <m/>
    <m/>
    <m/>
    <m/>
    <m/>
    <m/>
    <m/>
    <m/>
    <m/>
    <m/>
    <m/>
    <m/>
    <m/>
    <m/>
    <m/>
    <m/>
    <m/>
    <m/>
    <m/>
    <n v="12500"/>
    <n v="12500"/>
    <n v="12500"/>
    <n v="12500"/>
    <n v="12500"/>
    <n v="12500"/>
    <n v="12500"/>
    <n v="12500"/>
    <n v="11900"/>
    <n v="11900"/>
    <n v="11900"/>
    <n v="10950"/>
    <n v="10950"/>
    <n v="10950"/>
    <m/>
    <m/>
    <m/>
    <m/>
    <m/>
    <m/>
    <m/>
    <m/>
    <m/>
    <m/>
    <m/>
    <x v="109"/>
    <x v="11"/>
    <x v="12"/>
    <n v="10.95"/>
    <n v="8.2124999999999986"/>
    <n v="1.11958"/>
    <n v="1.1497499999999998"/>
    <n v="0"/>
    <n v="9.1999999999999998E-2"/>
    <x v="124"/>
    <x v="153"/>
    <n v="120"/>
    <n v="90"/>
    <x v="1"/>
    <n v="0.1586074499999981"/>
    <x v="134"/>
    <x v="158"/>
  </r>
  <r>
    <n v="18413"/>
    <x v="40"/>
    <x v="9"/>
    <x v="6"/>
    <s v="DP"/>
    <x v="10"/>
    <s v="SUNSHINE 0128 ECO"/>
    <s v="white"/>
    <m/>
    <m/>
    <m/>
    <s v="CN"/>
    <x v="1"/>
    <x v="3"/>
    <m/>
    <m/>
    <m/>
    <x v="0"/>
    <m/>
    <m/>
    <m/>
    <s v="ton"/>
    <x v="3"/>
    <x v="2"/>
    <n v="1790"/>
    <n v="1790"/>
    <n v="1790"/>
    <n v="1790"/>
    <n v="1790"/>
    <n v="1790"/>
    <n v="1750"/>
    <n v="1750"/>
    <n v="1750"/>
    <n v="1750"/>
    <n v="1750"/>
    <n v="1750"/>
    <m/>
    <m/>
    <n v="1750"/>
    <n v="1750"/>
    <n v="1750"/>
    <n v="1750"/>
    <n v="1750"/>
    <n v="1750"/>
    <n v="1750"/>
    <n v="1750"/>
    <n v="1750"/>
    <n v="1750"/>
    <n v="1620"/>
    <n v="1620"/>
    <n v="1620"/>
    <m/>
    <m/>
    <m/>
    <m/>
    <m/>
    <m/>
    <m/>
    <m/>
    <m/>
    <m/>
    <m/>
    <m/>
    <m/>
    <m/>
    <m/>
    <m/>
    <m/>
    <m/>
    <m/>
    <m/>
    <m/>
    <x v="110"/>
    <x v="16"/>
    <x v="0"/>
    <n v="1.62"/>
    <n v="9.5580000000000016"/>
    <n v="1.11958"/>
    <n v="1.3381200000000004"/>
    <n v="0"/>
    <n v="9.1999999999999998E-2"/>
    <x v="125"/>
    <x v="154"/>
    <n v="120"/>
    <n v="90"/>
    <x v="1"/>
    <n v="0.18161549999999949"/>
    <x v="135"/>
    <x v="159"/>
  </r>
  <r>
    <n v="18415"/>
    <x v="19"/>
    <x v="2"/>
    <x v="7"/>
    <s v="IP"/>
    <x v="10"/>
    <s v="SUNSHINE 0104 ECO"/>
    <s v="white"/>
    <m/>
    <m/>
    <m/>
    <s v="CN"/>
    <x v="1"/>
    <x v="2"/>
    <m/>
    <m/>
    <m/>
    <x v="0"/>
    <m/>
    <m/>
    <m/>
    <s v="ton"/>
    <x v="3"/>
    <x v="3"/>
    <m/>
    <m/>
    <m/>
    <m/>
    <m/>
    <m/>
    <m/>
    <m/>
    <m/>
    <m/>
    <m/>
    <m/>
    <m/>
    <m/>
    <m/>
    <m/>
    <m/>
    <m/>
    <m/>
    <m/>
    <m/>
    <m/>
    <m/>
    <n v="13400"/>
    <n v="13400"/>
    <n v="13400"/>
    <n v="13400"/>
    <n v="13400"/>
    <n v="13400"/>
    <n v="12400"/>
    <n v="12400"/>
    <n v="12400"/>
    <n v="12400"/>
    <n v="12400"/>
    <n v="11650"/>
    <n v="11650"/>
    <n v="11650"/>
    <m/>
    <m/>
    <m/>
    <m/>
    <m/>
    <m/>
    <m/>
    <m/>
    <m/>
    <m/>
    <m/>
    <x v="105"/>
    <x v="11"/>
    <x v="12"/>
    <n v="11.65"/>
    <n v="8.7375000000000007"/>
    <n v="1.11958"/>
    <n v="1.2232500000000002"/>
    <n v="0"/>
    <n v="9.1999999999999998E-2"/>
    <x v="119"/>
    <x v="149"/>
    <n v="120"/>
    <n v="90"/>
    <x v="1"/>
    <n v="0.1675849499999984"/>
    <x v="129"/>
    <x v="154"/>
  </r>
  <r>
    <n v="18415"/>
    <x v="19"/>
    <x v="2"/>
    <x v="7"/>
    <s v="IP"/>
    <x v="10"/>
    <s v="SUNSHINE 0104 ECO"/>
    <s v="white"/>
    <m/>
    <m/>
    <m/>
    <s v="CN"/>
    <x v="1"/>
    <x v="3"/>
    <m/>
    <m/>
    <m/>
    <x v="0"/>
    <m/>
    <m/>
    <m/>
    <s v="ton"/>
    <x v="3"/>
    <x v="2"/>
    <n v="2000"/>
    <n v="2000"/>
    <n v="2000"/>
    <n v="2000"/>
    <n v="2000"/>
    <n v="2000"/>
    <n v="1920"/>
    <n v="1860"/>
    <n v="1860"/>
    <n v="1860"/>
    <n v="1860"/>
    <n v="1860"/>
    <n v="1860"/>
    <n v="1860"/>
    <n v="1860"/>
    <n v="1830"/>
    <n v="1780"/>
    <n v="1780"/>
    <n v="1780"/>
    <n v="1780"/>
    <n v="1780"/>
    <n v="1780"/>
    <n v="1780"/>
    <n v="1780"/>
    <n v="1730"/>
    <n v="1730"/>
    <n v="1730"/>
    <m/>
    <m/>
    <m/>
    <m/>
    <m/>
    <m/>
    <m/>
    <m/>
    <m/>
    <m/>
    <m/>
    <m/>
    <m/>
    <m/>
    <m/>
    <m/>
    <m/>
    <m/>
    <m/>
    <m/>
    <m/>
    <x v="58"/>
    <x v="16"/>
    <x v="0"/>
    <n v="1.73"/>
    <n v="10.207000000000001"/>
    <n v="1.11958"/>
    <n v="1.4289800000000001"/>
    <n v="0"/>
    <n v="9.1999999999999998E-2"/>
    <x v="121"/>
    <x v="150"/>
    <n v="120"/>
    <n v="90"/>
    <x v="1"/>
    <n v="0.19271339999999881"/>
    <x v="131"/>
    <x v="155"/>
  </r>
  <r>
    <n v="18416"/>
    <x v="19"/>
    <x v="3"/>
    <x v="15"/>
    <s v="DP"/>
    <x v="10"/>
    <s v="SUNSHINE 0104 ECO"/>
    <s v="white"/>
    <m/>
    <m/>
    <m/>
    <s v="CN"/>
    <x v="1"/>
    <x v="2"/>
    <m/>
    <m/>
    <m/>
    <x v="0"/>
    <m/>
    <m/>
    <m/>
    <s v="ton"/>
    <x v="3"/>
    <x v="3"/>
    <m/>
    <m/>
    <m/>
    <m/>
    <m/>
    <m/>
    <m/>
    <m/>
    <m/>
    <m/>
    <m/>
    <m/>
    <m/>
    <m/>
    <m/>
    <m/>
    <m/>
    <m/>
    <m/>
    <m/>
    <m/>
    <m/>
    <m/>
    <n v="13600"/>
    <n v="13600"/>
    <n v="13600"/>
    <n v="13600"/>
    <n v="13600"/>
    <n v="13600"/>
    <n v="12800"/>
    <n v="12800"/>
    <n v="12800"/>
    <n v="12800"/>
    <n v="12800"/>
    <n v="11650"/>
    <n v="11650"/>
    <n v="11650"/>
    <m/>
    <m/>
    <m/>
    <m/>
    <m/>
    <m/>
    <m/>
    <m/>
    <m/>
    <m/>
    <m/>
    <x v="105"/>
    <x v="11"/>
    <x v="12"/>
    <n v="11.65"/>
    <n v="8.7375000000000007"/>
    <n v="1.11958"/>
    <n v="1.2232500000000002"/>
    <n v="0"/>
    <n v="9.1999999999999998E-2"/>
    <x v="119"/>
    <x v="147"/>
    <n v="120"/>
    <n v="90"/>
    <x v="1"/>
    <n v="0.1675849499999984"/>
    <x v="129"/>
    <x v="152"/>
  </r>
  <r>
    <n v="18416"/>
    <x v="19"/>
    <x v="3"/>
    <x v="15"/>
    <s v="DP"/>
    <x v="10"/>
    <s v="SUNSHINE 0104 ECO"/>
    <s v="white"/>
    <m/>
    <m/>
    <m/>
    <s v="CN"/>
    <x v="1"/>
    <x v="3"/>
    <m/>
    <m/>
    <m/>
    <x v="0"/>
    <m/>
    <m/>
    <m/>
    <s v="ton"/>
    <x v="3"/>
    <x v="2"/>
    <n v="2000"/>
    <n v="2000"/>
    <n v="2000"/>
    <n v="2000"/>
    <n v="2000"/>
    <n v="2000"/>
    <n v="1920"/>
    <n v="1860"/>
    <n v="1860"/>
    <n v="1860"/>
    <n v="1860"/>
    <n v="1860"/>
    <n v="1860"/>
    <n v="1860"/>
    <n v="1860"/>
    <n v="1830"/>
    <n v="1800"/>
    <n v="1800"/>
    <n v="1800"/>
    <n v="1800"/>
    <n v="1800"/>
    <n v="1800"/>
    <n v="1800"/>
    <n v="1800"/>
    <n v="1760"/>
    <n v="1760"/>
    <n v="1760"/>
    <m/>
    <m/>
    <m/>
    <m/>
    <m/>
    <m/>
    <m/>
    <m/>
    <m/>
    <m/>
    <m/>
    <m/>
    <m/>
    <m/>
    <m/>
    <m/>
    <m/>
    <m/>
    <m/>
    <m/>
    <m/>
    <x v="106"/>
    <x v="16"/>
    <x v="0"/>
    <n v="1.76"/>
    <n v="10.384"/>
    <n v="1.11958"/>
    <n v="1.4537600000000002"/>
    <n v="0"/>
    <n v="9.1999999999999998E-2"/>
    <x v="120"/>
    <x v="148"/>
    <n v="120"/>
    <n v="90"/>
    <x v="1"/>
    <n v="0.19574009999999831"/>
    <x v="130"/>
    <x v="153"/>
  </r>
  <r>
    <n v="18423"/>
    <x v="40"/>
    <x v="9"/>
    <x v="15"/>
    <s v="DP"/>
    <x v="10"/>
    <s v="SUNSHINE 0128 ECO"/>
    <s v="white"/>
    <m/>
    <m/>
    <m/>
    <s v="CN"/>
    <x v="1"/>
    <x v="2"/>
    <m/>
    <m/>
    <m/>
    <x v="0"/>
    <m/>
    <m/>
    <m/>
    <s v="ton"/>
    <x v="3"/>
    <x v="3"/>
    <m/>
    <m/>
    <m/>
    <m/>
    <m/>
    <m/>
    <m/>
    <m/>
    <m/>
    <m/>
    <m/>
    <m/>
    <m/>
    <m/>
    <m/>
    <m/>
    <m/>
    <m/>
    <m/>
    <m/>
    <m/>
    <m/>
    <m/>
    <m/>
    <m/>
    <m/>
    <m/>
    <m/>
    <m/>
    <m/>
    <n v="12500"/>
    <n v="11900"/>
    <n v="11900"/>
    <n v="11900"/>
    <n v="10950"/>
    <n v="10950"/>
    <n v="10950"/>
    <m/>
    <m/>
    <m/>
    <m/>
    <m/>
    <m/>
    <m/>
    <m/>
    <m/>
    <m/>
    <m/>
    <x v="109"/>
    <x v="11"/>
    <x v="12"/>
    <n v="10.95"/>
    <n v="8.2124999999999986"/>
    <n v="1.11958"/>
    <n v="1.1497499999999998"/>
    <n v="0"/>
    <n v="9.1999999999999998E-2"/>
    <x v="124"/>
    <x v="153"/>
    <n v="120"/>
    <n v="90"/>
    <x v="1"/>
    <n v="0.1586074499999981"/>
    <x v="134"/>
    <x v="158"/>
  </r>
  <r>
    <n v="18424"/>
    <x v="41"/>
    <x v="8"/>
    <x v="12"/>
    <m/>
    <x v="10"/>
    <s v="SUNSHINE 308"/>
    <s v="white"/>
    <m/>
    <m/>
    <m/>
    <s v="CN"/>
    <x v="1"/>
    <x v="3"/>
    <m/>
    <m/>
    <m/>
    <x v="0"/>
    <m/>
    <m/>
    <m/>
    <s v="ton"/>
    <x v="3"/>
    <x v="2"/>
    <n v="1600"/>
    <n v="1600"/>
    <n v="1600"/>
    <n v="1600"/>
    <n v="1600"/>
    <n v="1600"/>
    <n v="1600"/>
    <n v="1600"/>
    <n v="1600"/>
    <n v="1600"/>
    <n v="1600"/>
    <n v="1600"/>
    <m/>
    <m/>
    <m/>
    <m/>
    <m/>
    <m/>
    <m/>
    <m/>
    <m/>
    <m/>
    <m/>
    <m/>
    <m/>
    <m/>
    <m/>
    <m/>
    <m/>
    <m/>
    <m/>
    <m/>
    <m/>
    <m/>
    <m/>
    <m/>
    <m/>
    <m/>
    <m/>
    <m/>
    <m/>
    <m/>
    <m/>
    <m/>
    <m/>
    <m/>
    <m/>
    <m/>
    <x v="111"/>
    <x v="12"/>
    <x v="0"/>
    <n v="1.6"/>
    <n v="9.4400000000000013"/>
    <n v="1.11958"/>
    <n v="1.3216000000000003"/>
    <n v="0"/>
    <n v="9.1999999999999998E-2"/>
    <x v="126"/>
    <x v="155"/>
    <n v="120"/>
    <n v="90"/>
    <x v="1"/>
    <n v="0.17959769999999864"/>
    <x v="136"/>
    <x v="160"/>
  </r>
  <r>
    <n v="18426"/>
    <x v="42"/>
    <x v="3"/>
    <x v="23"/>
    <s v="IP"/>
    <x v="10"/>
    <s v="SUNSHINE YG0086PW"/>
    <s v="white"/>
    <s v="YG086PW"/>
    <m/>
    <m/>
    <s v="CN"/>
    <x v="1"/>
    <x v="2"/>
    <m/>
    <m/>
    <m/>
    <x v="0"/>
    <m/>
    <m/>
    <m/>
    <s v="ton"/>
    <x v="3"/>
    <x v="3"/>
    <m/>
    <m/>
    <m/>
    <m/>
    <m/>
    <m/>
    <m/>
    <m/>
    <m/>
    <m/>
    <m/>
    <m/>
    <m/>
    <m/>
    <m/>
    <m/>
    <m/>
    <m/>
    <m/>
    <m/>
    <m/>
    <m/>
    <m/>
    <n v="12100"/>
    <n v="12100"/>
    <n v="12100"/>
    <n v="12100"/>
    <n v="12100"/>
    <n v="12100"/>
    <n v="12100"/>
    <n v="12100"/>
    <n v="11600"/>
    <n v="11600"/>
    <m/>
    <n v="11600"/>
    <n v="11600"/>
    <n v="11600"/>
    <m/>
    <m/>
    <m/>
    <m/>
    <m/>
    <m/>
    <m/>
    <m/>
    <m/>
    <m/>
    <m/>
    <x v="112"/>
    <x v="11"/>
    <x v="12"/>
    <n v="11.6"/>
    <n v="8.6999999999999993"/>
    <n v="1.11958"/>
    <n v="1.218"/>
    <n v="0"/>
    <n v="9.1999999999999998E-2"/>
    <x v="127"/>
    <x v="156"/>
    <n v="120"/>
    <n v="90"/>
    <x v="1"/>
    <n v="0.16694369999999914"/>
    <x v="137"/>
    <x v="161"/>
  </r>
  <r>
    <n v="18427"/>
    <x v="13"/>
    <x v="2"/>
    <x v="19"/>
    <s v="IP"/>
    <x v="10"/>
    <s v="SUNSHINE YG002PW"/>
    <s v="white"/>
    <s v="YG002PW"/>
    <m/>
    <m/>
    <s v="CN"/>
    <x v="1"/>
    <x v="2"/>
    <m/>
    <m/>
    <m/>
    <x v="0"/>
    <m/>
    <m/>
    <m/>
    <s v="ton"/>
    <x v="3"/>
    <x v="3"/>
    <m/>
    <m/>
    <m/>
    <m/>
    <m/>
    <m/>
    <m/>
    <m/>
    <m/>
    <m/>
    <m/>
    <m/>
    <m/>
    <m/>
    <m/>
    <m/>
    <m/>
    <m/>
    <m/>
    <m/>
    <m/>
    <m/>
    <m/>
    <n v="15100"/>
    <n v="15100"/>
    <n v="15100"/>
    <n v="15100"/>
    <n v="15100"/>
    <n v="15100"/>
    <n v="15100"/>
    <m/>
    <m/>
    <m/>
    <m/>
    <n v="14500"/>
    <n v="14500"/>
    <n v="14500"/>
    <m/>
    <m/>
    <m/>
    <m/>
    <m/>
    <m/>
    <m/>
    <m/>
    <m/>
    <m/>
    <m/>
    <x v="107"/>
    <x v="11"/>
    <x v="12"/>
    <n v="14.5"/>
    <n v="10.875"/>
    <n v="1.11958"/>
    <n v="1.5225000000000002"/>
    <n v="0"/>
    <n v="9.1999999999999998E-2"/>
    <x v="122"/>
    <x v="151"/>
    <n v="120"/>
    <n v="90"/>
    <x v="1"/>
    <n v="0.20413619999999888"/>
    <x v="132"/>
    <x v="156"/>
  </r>
  <r>
    <n v="18427"/>
    <x v="13"/>
    <x v="2"/>
    <x v="19"/>
    <s v="IP"/>
    <x v="10"/>
    <s v="SUNSHINE YG002PW"/>
    <s v="white"/>
    <s v="YG002PW"/>
    <m/>
    <m/>
    <s v="CN"/>
    <x v="1"/>
    <x v="3"/>
    <m/>
    <m/>
    <m/>
    <x v="0"/>
    <m/>
    <m/>
    <m/>
    <s v="ton"/>
    <x v="3"/>
    <x v="2"/>
    <m/>
    <m/>
    <m/>
    <m/>
    <m/>
    <m/>
    <n v="2070"/>
    <n v="2070"/>
    <n v="2070"/>
    <n v="2070"/>
    <n v="2070"/>
    <n v="2070"/>
    <n v="2070"/>
    <n v="2070"/>
    <n v="2070"/>
    <n v="2070"/>
    <n v="2070"/>
    <n v="2070"/>
    <n v="2000"/>
    <n v="2000"/>
    <m/>
    <m/>
    <m/>
    <m/>
    <n v="1950"/>
    <n v="1950"/>
    <n v="1950"/>
    <n v="1950"/>
    <n v="1950"/>
    <n v="1950"/>
    <n v="1950"/>
    <m/>
    <m/>
    <m/>
    <m/>
    <m/>
    <m/>
    <m/>
    <m/>
    <m/>
    <m/>
    <m/>
    <m/>
    <m/>
    <m/>
    <m/>
    <m/>
    <m/>
    <x v="108"/>
    <x v="17"/>
    <x v="0"/>
    <n v="1.95"/>
    <n v="11.505000000000001"/>
    <n v="1.11958"/>
    <n v="1.6107000000000002"/>
    <n v="0"/>
    <n v="9.1999999999999998E-2"/>
    <x v="123"/>
    <x v="152"/>
    <n v="120"/>
    <n v="90"/>
    <x v="1"/>
    <n v="0.21490919999999925"/>
    <x v="133"/>
    <x v="157"/>
  </r>
  <r>
    <n v="18430"/>
    <x v="43"/>
    <x v="3"/>
    <x v="6"/>
    <s v="IP"/>
    <x v="10"/>
    <s v="SUNSHINE YG006PW"/>
    <s v="white"/>
    <s v="YG002PW"/>
    <m/>
    <m/>
    <s v="CN"/>
    <x v="1"/>
    <x v="2"/>
    <m/>
    <m/>
    <m/>
    <x v="0"/>
    <m/>
    <m/>
    <m/>
    <s v="ton"/>
    <x v="3"/>
    <x v="3"/>
    <m/>
    <m/>
    <m/>
    <m/>
    <m/>
    <m/>
    <m/>
    <m/>
    <m/>
    <m/>
    <m/>
    <m/>
    <m/>
    <m/>
    <m/>
    <m/>
    <m/>
    <m/>
    <m/>
    <m/>
    <m/>
    <m/>
    <m/>
    <n v="10300"/>
    <n v="10300"/>
    <n v="10300"/>
    <n v="10300"/>
    <n v="10300"/>
    <n v="10300"/>
    <n v="10300"/>
    <m/>
    <m/>
    <m/>
    <m/>
    <n v="10300"/>
    <n v="10300"/>
    <n v="10300"/>
    <m/>
    <m/>
    <m/>
    <m/>
    <m/>
    <m/>
    <m/>
    <m/>
    <m/>
    <m/>
    <m/>
    <x v="113"/>
    <x v="11"/>
    <x v="12"/>
    <n v="10.3"/>
    <n v="7.7250000000000005"/>
    <n v="1.11958"/>
    <n v="1.0815000000000001"/>
    <n v="0"/>
    <n v="9.1999999999999998E-2"/>
    <x v="128"/>
    <x v="157"/>
    <n v="120"/>
    <n v="90"/>
    <x v="1"/>
    <n v="0.15027119999999883"/>
    <x v="138"/>
    <x v="162"/>
  </r>
  <r>
    <n v="18430"/>
    <x v="43"/>
    <x v="3"/>
    <x v="6"/>
    <s v="IP"/>
    <x v="10"/>
    <s v="SUNSHINE YG006PW"/>
    <s v="white"/>
    <s v="YG002PW"/>
    <m/>
    <m/>
    <s v="CN"/>
    <x v="1"/>
    <x v="3"/>
    <m/>
    <m/>
    <m/>
    <x v="0"/>
    <m/>
    <m/>
    <m/>
    <s v="ton"/>
    <x v="3"/>
    <x v="2"/>
    <m/>
    <m/>
    <m/>
    <m/>
    <m/>
    <m/>
    <m/>
    <m/>
    <m/>
    <m/>
    <m/>
    <m/>
    <m/>
    <m/>
    <m/>
    <m/>
    <m/>
    <m/>
    <m/>
    <m/>
    <n v="1337"/>
    <m/>
    <m/>
    <m/>
    <n v="1337"/>
    <n v="1337"/>
    <n v="1337"/>
    <m/>
    <m/>
    <m/>
    <m/>
    <m/>
    <m/>
    <m/>
    <m/>
    <m/>
    <m/>
    <m/>
    <m/>
    <m/>
    <m/>
    <m/>
    <m/>
    <m/>
    <m/>
    <m/>
    <m/>
    <m/>
    <x v="114"/>
    <x v="16"/>
    <x v="0"/>
    <n v="1.337"/>
    <n v="7.8883000000000001"/>
    <n v="1.11958"/>
    <n v="1.1043620000000001"/>
    <n v="0"/>
    <n v="9.1999999999999998E-2"/>
    <x v="129"/>
    <x v="158"/>
    <n v="120"/>
    <n v="90"/>
    <x v="1"/>
    <n v="0.15306362999999834"/>
    <x v="139"/>
    <x v="163"/>
  </r>
  <r>
    <n v="18431"/>
    <x v="14"/>
    <x v="6"/>
    <x v="6"/>
    <s v="DP"/>
    <x v="10"/>
    <s v="SUNSHINE 0483"/>
    <s v="gray"/>
    <n v="483"/>
    <m/>
    <m/>
    <s v="CN"/>
    <x v="1"/>
    <x v="2"/>
    <m/>
    <m/>
    <m/>
    <x v="0"/>
    <m/>
    <m/>
    <m/>
    <s v="ton"/>
    <x v="3"/>
    <x v="3"/>
    <m/>
    <m/>
    <m/>
    <m/>
    <m/>
    <m/>
    <m/>
    <m/>
    <m/>
    <m/>
    <m/>
    <m/>
    <m/>
    <m/>
    <m/>
    <m/>
    <m/>
    <m/>
    <m/>
    <m/>
    <m/>
    <m/>
    <m/>
    <n v="12400"/>
    <n v="12400"/>
    <n v="12400"/>
    <n v="12400"/>
    <n v="12400"/>
    <n v="12400"/>
    <n v="12400"/>
    <n v="12400"/>
    <n v="12400"/>
    <n v="12400"/>
    <n v="12400"/>
    <n v="11900"/>
    <n v="11900"/>
    <n v="11900"/>
    <m/>
    <m/>
    <m/>
    <m/>
    <m/>
    <m/>
    <m/>
    <m/>
    <m/>
    <m/>
    <m/>
    <x v="115"/>
    <x v="11"/>
    <x v="12"/>
    <n v="11.9"/>
    <n v="8.9250000000000007"/>
    <n v="1.11958"/>
    <n v="1.2495000000000003"/>
    <n v="0"/>
    <n v="9.1999999999999998E-2"/>
    <x v="130"/>
    <x v="159"/>
    <n v="120"/>
    <n v="90"/>
    <x v="1"/>
    <n v="0.17079119999999826"/>
    <x v="140"/>
    <x v="164"/>
  </r>
  <r>
    <n v="18431"/>
    <x v="14"/>
    <x v="6"/>
    <x v="6"/>
    <s v="DP"/>
    <x v="10"/>
    <s v="SUNSHINE 0483"/>
    <s v="gray"/>
    <n v="483"/>
    <m/>
    <m/>
    <s v="CN"/>
    <x v="1"/>
    <x v="3"/>
    <m/>
    <m/>
    <m/>
    <x v="0"/>
    <m/>
    <m/>
    <m/>
    <s v="ton"/>
    <x v="3"/>
    <x v="2"/>
    <m/>
    <m/>
    <m/>
    <m/>
    <m/>
    <m/>
    <m/>
    <m/>
    <m/>
    <m/>
    <m/>
    <m/>
    <m/>
    <m/>
    <m/>
    <m/>
    <m/>
    <m/>
    <m/>
    <m/>
    <m/>
    <m/>
    <m/>
    <m/>
    <n v="1600"/>
    <n v="1600"/>
    <n v="1600"/>
    <m/>
    <m/>
    <m/>
    <m/>
    <m/>
    <m/>
    <m/>
    <m/>
    <m/>
    <m/>
    <m/>
    <m/>
    <m/>
    <m/>
    <m/>
    <m/>
    <m/>
    <m/>
    <m/>
    <m/>
    <m/>
    <x v="111"/>
    <x v="16"/>
    <x v="0"/>
    <n v="1.6"/>
    <n v="9.4400000000000013"/>
    <n v="1.11958"/>
    <n v="1.3216000000000003"/>
    <n v="0"/>
    <n v="9.1999999999999998E-2"/>
    <x v="126"/>
    <x v="160"/>
    <n v="120"/>
    <n v="90"/>
    <x v="1"/>
    <n v="0.17959769999999864"/>
    <x v="136"/>
    <x v="165"/>
  </r>
  <r>
    <n v="18433"/>
    <x v="25"/>
    <x v="9"/>
    <x v="6"/>
    <s v="DP"/>
    <x v="10"/>
    <s v="SUNSHINE 0248"/>
    <s v="gray"/>
    <m/>
    <m/>
    <m/>
    <s v="CN"/>
    <x v="1"/>
    <x v="3"/>
    <m/>
    <m/>
    <m/>
    <x v="0"/>
    <m/>
    <m/>
    <m/>
    <s v="ton"/>
    <x v="3"/>
    <x v="2"/>
    <m/>
    <m/>
    <m/>
    <m/>
    <m/>
    <m/>
    <m/>
    <m/>
    <m/>
    <m/>
    <m/>
    <m/>
    <m/>
    <m/>
    <m/>
    <m/>
    <m/>
    <m/>
    <m/>
    <m/>
    <m/>
    <m/>
    <m/>
    <m/>
    <n v="1800"/>
    <n v="1800"/>
    <n v="1800"/>
    <m/>
    <m/>
    <m/>
    <n v="1800"/>
    <n v="1800"/>
    <n v="1800"/>
    <m/>
    <m/>
    <m/>
    <m/>
    <m/>
    <m/>
    <m/>
    <m/>
    <m/>
    <m/>
    <m/>
    <m/>
    <m/>
    <m/>
    <m/>
    <x v="116"/>
    <x v="0"/>
    <x v="0"/>
    <n v="1.8"/>
    <n v="10.620000000000001"/>
    <n v="1.11958"/>
    <n v="1.4868000000000003"/>
    <n v="0"/>
    <n v="9.1999999999999998E-2"/>
    <x v="131"/>
    <x v="161"/>
    <n v="120"/>
    <n v="90"/>
    <x v="1"/>
    <n v="0.19977569999999822"/>
    <x v="141"/>
    <x v="166"/>
  </r>
  <r>
    <n v="18434"/>
    <x v="42"/>
    <x v="3"/>
    <x v="6"/>
    <s v="IP"/>
    <x v="10"/>
    <s v="SUNSHINE YG0086PW"/>
    <s v="white"/>
    <s v="YG086PW"/>
    <m/>
    <m/>
    <s v="CN"/>
    <x v="1"/>
    <x v="2"/>
    <m/>
    <m/>
    <m/>
    <x v="0"/>
    <m/>
    <m/>
    <m/>
    <s v="ton"/>
    <x v="3"/>
    <x v="3"/>
    <m/>
    <m/>
    <m/>
    <m/>
    <m/>
    <m/>
    <m/>
    <m/>
    <m/>
    <m/>
    <m/>
    <m/>
    <m/>
    <m/>
    <m/>
    <m/>
    <m/>
    <m/>
    <m/>
    <m/>
    <m/>
    <m/>
    <m/>
    <n v="12100"/>
    <n v="12100"/>
    <n v="12100"/>
    <n v="12100"/>
    <n v="12100"/>
    <n v="12100"/>
    <n v="12100"/>
    <n v="12100"/>
    <n v="11600"/>
    <n v="11600"/>
    <n v="11600"/>
    <n v="11600"/>
    <n v="11600"/>
    <n v="11600"/>
    <m/>
    <m/>
    <m/>
    <m/>
    <m/>
    <m/>
    <m/>
    <m/>
    <m/>
    <m/>
    <m/>
    <x v="112"/>
    <x v="11"/>
    <x v="12"/>
    <n v="11.6"/>
    <n v="8.6999999999999993"/>
    <n v="1.11958"/>
    <n v="1.218"/>
    <n v="0"/>
    <n v="9.1999999999999998E-2"/>
    <x v="127"/>
    <x v="156"/>
    <n v="120"/>
    <n v="90"/>
    <x v="1"/>
    <n v="0.16694369999999914"/>
    <x v="137"/>
    <x v="161"/>
  </r>
  <r>
    <n v="18435"/>
    <x v="44"/>
    <x v="9"/>
    <x v="6"/>
    <s v="DP"/>
    <x v="10"/>
    <s v="SUNSHINE 0128K"/>
    <s v="white"/>
    <m/>
    <m/>
    <m/>
    <s v="CN"/>
    <x v="1"/>
    <x v="2"/>
    <m/>
    <m/>
    <m/>
    <x v="0"/>
    <m/>
    <m/>
    <m/>
    <s v="ton"/>
    <x v="3"/>
    <x v="3"/>
    <m/>
    <m/>
    <m/>
    <m/>
    <m/>
    <m/>
    <m/>
    <m/>
    <m/>
    <m/>
    <m/>
    <m/>
    <m/>
    <m/>
    <m/>
    <m/>
    <m/>
    <m/>
    <m/>
    <m/>
    <m/>
    <m/>
    <m/>
    <m/>
    <m/>
    <m/>
    <m/>
    <m/>
    <m/>
    <m/>
    <n v="12500"/>
    <n v="11900"/>
    <n v="11900"/>
    <n v="11900"/>
    <n v="10950"/>
    <n v="10950"/>
    <n v="10950"/>
    <m/>
    <m/>
    <m/>
    <m/>
    <m/>
    <m/>
    <m/>
    <m/>
    <m/>
    <m/>
    <m/>
    <x v="109"/>
    <x v="11"/>
    <x v="12"/>
    <n v="10.95"/>
    <n v="8.2124999999999986"/>
    <n v="1.11958"/>
    <n v="1.1497499999999998"/>
    <n v="0"/>
    <n v="9.1999999999999998E-2"/>
    <x v="124"/>
    <x v="153"/>
    <n v="120"/>
    <n v="90"/>
    <x v="1"/>
    <n v="0.1586074499999981"/>
    <x v="134"/>
    <x v="158"/>
  </r>
  <r>
    <n v="18436"/>
    <x v="13"/>
    <x v="2"/>
    <x v="7"/>
    <s v="IP"/>
    <x v="10"/>
    <s v="SUNSHINE YG002PW"/>
    <s v="white"/>
    <s v="YG002PW"/>
    <m/>
    <m/>
    <s v="CN"/>
    <x v="1"/>
    <x v="2"/>
    <m/>
    <m/>
    <m/>
    <x v="0"/>
    <m/>
    <m/>
    <m/>
    <s v="ton"/>
    <x v="3"/>
    <x v="3"/>
    <m/>
    <m/>
    <m/>
    <m/>
    <m/>
    <m/>
    <m/>
    <m/>
    <m/>
    <m/>
    <m/>
    <m/>
    <m/>
    <m/>
    <m/>
    <m/>
    <m/>
    <m/>
    <m/>
    <m/>
    <m/>
    <m/>
    <m/>
    <n v="15100"/>
    <n v="15100"/>
    <n v="15100"/>
    <n v="15100"/>
    <n v="15100"/>
    <n v="15100"/>
    <n v="15100"/>
    <n v="15100"/>
    <n v="14500"/>
    <m/>
    <m/>
    <n v="14500"/>
    <n v="14500"/>
    <n v="14500"/>
    <m/>
    <m/>
    <m/>
    <m/>
    <m/>
    <m/>
    <m/>
    <m/>
    <m/>
    <m/>
    <m/>
    <x v="107"/>
    <x v="11"/>
    <x v="12"/>
    <n v="14.5"/>
    <n v="10.875"/>
    <n v="1.11958"/>
    <n v="1.5225000000000002"/>
    <n v="0"/>
    <n v="9.1999999999999998E-2"/>
    <x v="122"/>
    <x v="151"/>
    <n v="120"/>
    <n v="90"/>
    <x v="1"/>
    <n v="0.20413619999999888"/>
    <x v="132"/>
    <x v="156"/>
  </r>
  <r>
    <n v="18437"/>
    <x v="42"/>
    <x v="3"/>
    <x v="12"/>
    <s v="IP"/>
    <x v="10"/>
    <s v="SUNSHINE YG0086PW"/>
    <s v="white"/>
    <s v="YG086PW"/>
    <m/>
    <m/>
    <s v="CN"/>
    <x v="1"/>
    <x v="2"/>
    <m/>
    <m/>
    <m/>
    <x v="0"/>
    <m/>
    <m/>
    <m/>
    <s v="ton"/>
    <x v="3"/>
    <x v="3"/>
    <m/>
    <m/>
    <m/>
    <m/>
    <m/>
    <m/>
    <m/>
    <m/>
    <m/>
    <m/>
    <m/>
    <m/>
    <m/>
    <m/>
    <m/>
    <m/>
    <m/>
    <m/>
    <m/>
    <m/>
    <m/>
    <m/>
    <m/>
    <n v="12100"/>
    <n v="12100"/>
    <n v="12100"/>
    <n v="12100"/>
    <n v="12100"/>
    <n v="12100"/>
    <n v="12100"/>
    <n v="12100"/>
    <n v="11600"/>
    <n v="11600"/>
    <n v="11600"/>
    <n v="11600"/>
    <n v="11600"/>
    <n v="11600"/>
    <m/>
    <m/>
    <m/>
    <m/>
    <m/>
    <m/>
    <m/>
    <m/>
    <m/>
    <m/>
    <m/>
    <x v="112"/>
    <x v="11"/>
    <x v="12"/>
    <n v="11.6"/>
    <n v="8.6999999999999993"/>
    <n v="1.11958"/>
    <n v="1.218"/>
    <n v="0"/>
    <n v="9.1999999999999998E-2"/>
    <x v="127"/>
    <x v="156"/>
    <n v="120"/>
    <n v="90"/>
    <x v="1"/>
    <n v="0.16694369999999914"/>
    <x v="137"/>
    <x v="161"/>
  </r>
  <r>
    <n v="18437"/>
    <x v="42"/>
    <x v="3"/>
    <x v="12"/>
    <s v="IP"/>
    <x v="10"/>
    <s v="SUNSHINE YG0086PW"/>
    <s v="white"/>
    <s v="YG086PW"/>
    <m/>
    <m/>
    <s v="CN"/>
    <x v="1"/>
    <x v="3"/>
    <m/>
    <m/>
    <m/>
    <x v="0"/>
    <m/>
    <m/>
    <m/>
    <s v="ton"/>
    <x v="3"/>
    <x v="2"/>
    <m/>
    <m/>
    <m/>
    <m/>
    <m/>
    <m/>
    <n v="1920"/>
    <n v="1920"/>
    <n v="1920"/>
    <n v="1920"/>
    <n v="1920"/>
    <n v="1920"/>
    <m/>
    <m/>
    <m/>
    <m/>
    <m/>
    <m/>
    <m/>
    <m/>
    <n v="1723"/>
    <m/>
    <m/>
    <m/>
    <n v="1570"/>
    <n v="1570"/>
    <n v="1570"/>
    <m/>
    <m/>
    <m/>
    <m/>
    <n v="1380"/>
    <n v="1380"/>
    <n v="1380"/>
    <m/>
    <m/>
    <m/>
    <m/>
    <m/>
    <m/>
    <m/>
    <m/>
    <m/>
    <m/>
    <m/>
    <m/>
    <m/>
    <m/>
    <x v="117"/>
    <x v="18"/>
    <x v="0"/>
    <n v="1.38"/>
    <n v="8.1419999999999995"/>
    <n v="1.11958"/>
    <n v="1.13988"/>
    <n v="0"/>
    <n v="9.1999999999999998E-2"/>
    <x v="132"/>
    <x v="162"/>
    <n v="120"/>
    <n v="90"/>
    <x v="1"/>
    <n v="0.15740189999999821"/>
    <x v="142"/>
    <x v="167"/>
  </r>
  <r>
    <n v="18443"/>
    <x v="26"/>
    <x v="9"/>
    <x v="6"/>
    <s v="DP"/>
    <x v="10"/>
    <s v="SUNSHINE 0244"/>
    <s v="gray"/>
    <m/>
    <m/>
    <m/>
    <s v="CN"/>
    <x v="1"/>
    <x v="2"/>
    <m/>
    <m/>
    <m/>
    <x v="0"/>
    <m/>
    <m/>
    <m/>
    <s v="ton"/>
    <x v="3"/>
    <x v="3"/>
    <m/>
    <m/>
    <m/>
    <m/>
    <m/>
    <m/>
    <m/>
    <m/>
    <m/>
    <m/>
    <m/>
    <m/>
    <m/>
    <m/>
    <m/>
    <m/>
    <m/>
    <m/>
    <m/>
    <m/>
    <m/>
    <m/>
    <m/>
    <m/>
    <m/>
    <m/>
    <m/>
    <m/>
    <m/>
    <n v="13800"/>
    <n v="13800"/>
    <n v="13800"/>
    <n v="13800"/>
    <m/>
    <n v="13000"/>
    <n v="13000"/>
    <m/>
    <m/>
    <m/>
    <m/>
    <m/>
    <m/>
    <m/>
    <m/>
    <m/>
    <m/>
    <m/>
    <m/>
    <x v="118"/>
    <x v="7"/>
    <x v="12"/>
    <n v="13"/>
    <n v="9.75"/>
    <n v="1.11958"/>
    <n v="1.3650000000000002"/>
    <n v="0"/>
    <n v="9.1999999999999998E-2"/>
    <x v="133"/>
    <x v="163"/>
    <n v="120"/>
    <n v="90"/>
    <x v="1"/>
    <n v="0.18489869999999797"/>
    <x v="143"/>
    <x v="168"/>
  </r>
  <r>
    <n v="18444"/>
    <x v="44"/>
    <x v="9"/>
    <x v="15"/>
    <s v="DP"/>
    <x v="10"/>
    <s v="SUNSHINE 0128K ECO"/>
    <s v="white"/>
    <m/>
    <m/>
    <m/>
    <s v="CN"/>
    <x v="1"/>
    <x v="2"/>
    <m/>
    <m/>
    <m/>
    <x v="0"/>
    <m/>
    <m/>
    <m/>
    <s v="ton"/>
    <x v="3"/>
    <x v="3"/>
    <m/>
    <m/>
    <m/>
    <m/>
    <m/>
    <m/>
    <m/>
    <m/>
    <m/>
    <m/>
    <m/>
    <m/>
    <m/>
    <m/>
    <m/>
    <m/>
    <m/>
    <m/>
    <m/>
    <m/>
    <m/>
    <m/>
    <m/>
    <m/>
    <m/>
    <m/>
    <m/>
    <m/>
    <m/>
    <m/>
    <n v="12500"/>
    <n v="11900"/>
    <n v="11900"/>
    <n v="11900"/>
    <n v="10950"/>
    <n v="10950"/>
    <n v="10950"/>
    <m/>
    <m/>
    <m/>
    <m/>
    <m/>
    <m/>
    <m/>
    <m/>
    <m/>
    <m/>
    <m/>
    <x v="109"/>
    <x v="11"/>
    <x v="12"/>
    <n v="10.95"/>
    <n v="8.2124999999999986"/>
    <n v="1.11958"/>
    <n v="1.1497499999999998"/>
    <n v="0"/>
    <n v="9.1999999999999998E-2"/>
    <x v="124"/>
    <x v="153"/>
    <n v="120"/>
    <n v="90"/>
    <x v="1"/>
    <n v="0.1586074499999981"/>
    <x v="134"/>
    <x v="158"/>
  </r>
  <r>
    <n v="18505"/>
    <x v="19"/>
    <x v="2"/>
    <x v="6"/>
    <s v="IP"/>
    <x v="11"/>
    <s v="KINGDECOR YH0021D"/>
    <s v="white"/>
    <s v="KD7002V"/>
    <m/>
    <m/>
    <s v="CN"/>
    <x v="1"/>
    <x v="2"/>
    <m/>
    <m/>
    <m/>
    <x v="0"/>
    <m/>
    <m/>
    <m/>
    <s v="ton"/>
    <x v="0"/>
    <x v="3"/>
    <m/>
    <m/>
    <m/>
    <m/>
    <m/>
    <m/>
    <m/>
    <m/>
    <m/>
    <m/>
    <m/>
    <m/>
    <m/>
    <m/>
    <m/>
    <m/>
    <m/>
    <m/>
    <m/>
    <m/>
    <m/>
    <m/>
    <m/>
    <m/>
    <m/>
    <m/>
    <m/>
    <m/>
    <m/>
    <n v="12500"/>
    <n v="12500"/>
    <n v="12500"/>
    <n v="12500"/>
    <n v="12500"/>
    <n v="12000"/>
    <n v="12000"/>
    <n v="12000"/>
    <m/>
    <m/>
    <m/>
    <m/>
    <m/>
    <m/>
    <m/>
    <m/>
    <m/>
    <m/>
    <m/>
    <x v="119"/>
    <x v="11"/>
    <x v="12"/>
    <n v="12"/>
    <n v="9"/>
    <n v="1.11958"/>
    <n v="1.2600000000000002"/>
    <n v="0"/>
    <n v="9.1999999999999998E-2"/>
    <x v="134"/>
    <x v="164"/>
    <n v="120"/>
    <n v="90"/>
    <x v="1"/>
    <n v="0.17207369999999855"/>
    <x v="144"/>
    <x v="169"/>
  </r>
  <r>
    <n v="18506"/>
    <x v="19"/>
    <x v="3"/>
    <x v="6"/>
    <s v="DP"/>
    <x v="11"/>
    <s v="KINGDECOR YH0021D"/>
    <s v="white"/>
    <s v="KD7002V"/>
    <m/>
    <m/>
    <s v="CN"/>
    <x v="1"/>
    <x v="2"/>
    <m/>
    <m/>
    <m/>
    <x v="0"/>
    <m/>
    <m/>
    <m/>
    <s v="ton"/>
    <x v="0"/>
    <x v="3"/>
    <m/>
    <m/>
    <m/>
    <m/>
    <m/>
    <m/>
    <m/>
    <m/>
    <m/>
    <m/>
    <m/>
    <m/>
    <m/>
    <m/>
    <m/>
    <m/>
    <m/>
    <m/>
    <m/>
    <m/>
    <m/>
    <m/>
    <m/>
    <m/>
    <m/>
    <m/>
    <m/>
    <m/>
    <m/>
    <n v="12500"/>
    <n v="12500"/>
    <n v="12500"/>
    <n v="12500"/>
    <n v="12500"/>
    <n v="12000"/>
    <n v="12000"/>
    <n v="12000"/>
    <m/>
    <m/>
    <m/>
    <m/>
    <m/>
    <m/>
    <m/>
    <m/>
    <m/>
    <m/>
    <m/>
    <x v="119"/>
    <x v="11"/>
    <x v="12"/>
    <n v="12"/>
    <n v="9"/>
    <n v="1.11958"/>
    <n v="1.2600000000000002"/>
    <n v="0"/>
    <n v="9.1999999999999998E-2"/>
    <x v="134"/>
    <x v="165"/>
    <n v="120"/>
    <n v="90"/>
    <x v="1"/>
    <n v="0.17207369999999855"/>
    <x v="144"/>
    <x v="170"/>
  </r>
  <r>
    <n v="18507"/>
    <x v="40"/>
    <x v="9"/>
    <x v="6"/>
    <s v="DP"/>
    <x v="11"/>
    <s v="KINGDECOR KD0124D"/>
    <s v="white"/>
    <s v="KD7002V"/>
    <m/>
    <m/>
    <s v="CN"/>
    <x v="1"/>
    <x v="2"/>
    <m/>
    <m/>
    <m/>
    <x v="0"/>
    <m/>
    <m/>
    <m/>
    <s v="ton"/>
    <x v="0"/>
    <x v="3"/>
    <m/>
    <m/>
    <m/>
    <m/>
    <m/>
    <m/>
    <m/>
    <m/>
    <m/>
    <m/>
    <m/>
    <m/>
    <m/>
    <m/>
    <m/>
    <m/>
    <m/>
    <m/>
    <m/>
    <m/>
    <m/>
    <m/>
    <m/>
    <m/>
    <m/>
    <m/>
    <m/>
    <m/>
    <m/>
    <n v="12000"/>
    <n v="12000"/>
    <n v="12000"/>
    <n v="12000"/>
    <n v="12000"/>
    <n v="11500"/>
    <n v="11500"/>
    <n v="11500"/>
    <m/>
    <m/>
    <m/>
    <m/>
    <m/>
    <m/>
    <m/>
    <m/>
    <m/>
    <m/>
    <m/>
    <x v="120"/>
    <x v="11"/>
    <x v="12"/>
    <n v="11.5"/>
    <n v="8.625"/>
    <n v="1.11958"/>
    <n v="1.2075"/>
    <n v="0"/>
    <n v="9.1999999999999998E-2"/>
    <x v="135"/>
    <x v="166"/>
    <n v="120"/>
    <n v="90"/>
    <x v="1"/>
    <n v="0.16566119999999884"/>
    <x v="145"/>
    <x v="171"/>
  </r>
  <r>
    <n v="18508"/>
    <x v="4"/>
    <x v="9"/>
    <x v="2"/>
    <s v="FF"/>
    <x v="11"/>
    <s v="KINGDECOR KD7002V"/>
    <s v="white"/>
    <s v="KD7002V"/>
    <m/>
    <m/>
    <s v="CN"/>
    <x v="1"/>
    <x v="2"/>
    <m/>
    <m/>
    <m/>
    <x v="0"/>
    <m/>
    <m/>
    <m/>
    <s v="ton"/>
    <x v="3"/>
    <x v="3"/>
    <m/>
    <m/>
    <m/>
    <m/>
    <m/>
    <m/>
    <m/>
    <m/>
    <m/>
    <m/>
    <m/>
    <m/>
    <m/>
    <m/>
    <m/>
    <m/>
    <m/>
    <m/>
    <m/>
    <m/>
    <m/>
    <m/>
    <m/>
    <m/>
    <m/>
    <m/>
    <m/>
    <m/>
    <m/>
    <n v="19500"/>
    <n v="19500"/>
    <n v="19500"/>
    <n v="19500"/>
    <n v="19500"/>
    <n v="19500"/>
    <n v="19500"/>
    <n v="19500"/>
    <m/>
    <m/>
    <m/>
    <m/>
    <m/>
    <m/>
    <m/>
    <m/>
    <m/>
    <m/>
    <m/>
    <x v="121"/>
    <x v="11"/>
    <x v="12"/>
    <n v="19.5"/>
    <n v="14.625"/>
    <n v="1.11958"/>
    <n v="2.0475000000000003"/>
    <n v="0"/>
    <n v="9.1999999999999998E-2"/>
    <x v="136"/>
    <x v="167"/>
    <n v="120"/>
    <n v="90"/>
    <x v="1"/>
    <n v="0.26826119999999776"/>
    <x v="146"/>
    <x v="172"/>
  </r>
  <r>
    <n v="18509"/>
    <x v="4"/>
    <x v="3"/>
    <x v="2"/>
    <s v="FF"/>
    <x v="11"/>
    <s v="KINGDECOR KD7002V"/>
    <s v="white"/>
    <s v="KD7002V"/>
    <m/>
    <m/>
    <s v="CN"/>
    <x v="1"/>
    <x v="2"/>
    <m/>
    <m/>
    <m/>
    <x v="0"/>
    <m/>
    <m/>
    <m/>
    <s v="ton"/>
    <x v="3"/>
    <x v="3"/>
    <m/>
    <m/>
    <m/>
    <m/>
    <m/>
    <m/>
    <m/>
    <m/>
    <m/>
    <m/>
    <m/>
    <m/>
    <m/>
    <m/>
    <m/>
    <m/>
    <m/>
    <m/>
    <m/>
    <m/>
    <m/>
    <m/>
    <m/>
    <m/>
    <m/>
    <m/>
    <m/>
    <m/>
    <m/>
    <n v="19500"/>
    <n v="19500"/>
    <n v="19500"/>
    <n v="19500"/>
    <n v="19500"/>
    <n v="19500"/>
    <n v="19500"/>
    <n v="19500"/>
    <m/>
    <m/>
    <m/>
    <m/>
    <m/>
    <m/>
    <m/>
    <m/>
    <m/>
    <m/>
    <m/>
    <x v="121"/>
    <x v="11"/>
    <x v="12"/>
    <n v="19.5"/>
    <n v="14.625"/>
    <n v="1.11958"/>
    <n v="2.0475000000000003"/>
    <n v="0"/>
    <n v="9.1999999999999998E-2"/>
    <x v="136"/>
    <x v="168"/>
    <n v="120"/>
    <n v="90"/>
    <x v="1"/>
    <n v="0.26826119999999776"/>
    <x v="146"/>
    <x v="173"/>
  </r>
  <r>
    <n v="18509"/>
    <x v="4"/>
    <x v="3"/>
    <x v="0"/>
    <s v="FF"/>
    <x v="11"/>
    <s v="KINGDECOR KD7002V"/>
    <s v="white"/>
    <s v="KD7002V"/>
    <m/>
    <m/>
    <s v="CN"/>
    <x v="5"/>
    <x v="3"/>
    <m/>
    <m/>
    <m/>
    <x v="0"/>
    <m/>
    <m/>
    <m/>
    <s v="ton"/>
    <x v="19"/>
    <x v="2"/>
    <m/>
    <m/>
    <m/>
    <m/>
    <m/>
    <m/>
    <m/>
    <m/>
    <m/>
    <m/>
    <m/>
    <m/>
    <m/>
    <m/>
    <m/>
    <m/>
    <m/>
    <m/>
    <m/>
    <m/>
    <m/>
    <m/>
    <m/>
    <m/>
    <m/>
    <m/>
    <m/>
    <n v="2500"/>
    <n v="2500"/>
    <n v="2500"/>
    <m/>
    <m/>
    <m/>
    <m/>
    <n v="19500"/>
    <m/>
    <m/>
    <m/>
    <m/>
    <m/>
    <m/>
    <m/>
    <m/>
    <m/>
    <m/>
    <m/>
    <m/>
    <m/>
    <x v="121"/>
    <x v="19"/>
    <x v="0"/>
    <n v="19.5"/>
    <n v="115.05000000000001"/>
    <n v="1.11958"/>
    <n v="16.107000000000003"/>
    <n v="0"/>
    <n v="9.1999999999999998E-2"/>
    <x v="137"/>
    <x v="169"/>
    <n v="120"/>
    <n v="75"/>
    <x v="2"/>
    <n v="2.9894338833308325"/>
    <x v="147"/>
    <x v="174"/>
  </r>
  <r>
    <n v="18510"/>
    <x v="8"/>
    <x v="5"/>
    <x v="4"/>
    <s v="IP"/>
    <x v="11"/>
    <s v="XH4029G 60g"/>
    <s v="brown"/>
    <s v="XH4029G"/>
    <m/>
    <m/>
    <s v="CN"/>
    <x v="1"/>
    <x v="2"/>
    <m/>
    <m/>
    <m/>
    <x v="0"/>
    <m/>
    <m/>
    <m/>
    <s v="ton"/>
    <x v="0"/>
    <x v="3"/>
    <m/>
    <m/>
    <m/>
    <m/>
    <m/>
    <m/>
    <m/>
    <m/>
    <m/>
    <m/>
    <m/>
    <m/>
    <m/>
    <m/>
    <m/>
    <m/>
    <m/>
    <m/>
    <m/>
    <m/>
    <m/>
    <m/>
    <m/>
    <m/>
    <m/>
    <m/>
    <m/>
    <m/>
    <m/>
    <n v="9000"/>
    <n v="9000"/>
    <n v="9000"/>
    <n v="9000"/>
    <n v="9000"/>
    <n v="9000"/>
    <n v="9000"/>
    <n v="9000"/>
    <m/>
    <m/>
    <m/>
    <m/>
    <m/>
    <m/>
    <m/>
    <m/>
    <m/>
    <m/>
    <m/>
    <x v="122"/>
    <x v="11"/>
    <x v="12"/>
    <n v="9"/>
    <n v="6.75"/>
    <n v="1.11958"/>
    <n v="0.94500000000000006"/>
    <n v="0"/>
    <n v="9.1999999999999998E-2"/>
    <x v="138"/>
    <x v="170"/>
    <n v="120"/>
    <n v="90"/>
    <x v="1"/>
    <n v="0.13359869999999852"/>
    <x v="148"/>
    <x v="175"/>
  </r>
  <r>
    <n v="18511"/>
    <x v="8"/>
    <x v="7"/>
    <x v="4"/>
    <s v="IP"/>
    <x v="11"/>
    <s v="XH4029G 50g"/>
    <s v="brown"/>
    <s v="XH4029G"/>
    <m/>
    <m/>
    <s v="CN"/>
    <x v="1"/>
    <x v="2"/>
    <m/>
    <m/>
    <m/>
    <x v="0"/>
    <m/>
    <m/>
    <m/>
    <s v="ton"/>
    <x v="0"/>
    <x v="3"/>
    <m/>
    <m/>
    <m/>
    <m/>
    <m/>
    <m/>
    <m/>
    <m/>
    <m/>
    <m/>
    <m/>
    <m/>
    <m/>
    <m/>
    <m/>
    <m/>
    <m/>
    <m/>
    <m/>
    <m/>
    <m/>
    <m/>
    <m/>
    <m/>
    <m/>
    <m/>
    <m/>
    <m/>
    <m/>
    <n v="10000"/>
    <n v="10000"/>
    <n v="10000"/>
    <n v="10000"/>
    <n v="10000"/>
    <n v="9000"/>
    <n v="9000"/>
    <m/>
    <m/>
    <m/>
    <m/>
    <m/>
    <m/>
    <m/>
    <m/>
    <m/>
    <m/>
    <m/>
    <m/>
    <x v="122"/>
    <x v="7"/>
    <x v="12"/>
    <n v="9"/>
    <n v="6.75"/>
    <n v="1.11958"/>
    <n v="0.94500000000000006"/>
    <n v="0"/>
    <n v="9.1999999999999998E-2"/>
    <x v="138"/>
    <x v="171"/>
    <n v="120"/>
    <n v="90"/>
    <x v="1"/>
    <n v="0.13359869999999852"/>
    <x v="148"/>
    <x v="176"/>
  </r>
  <r>
    <n v="18854"/>
    <x v="26"/>
    <x v="9"/>
    <x v="6"/>
    <s v="DP"/>
    <x v="12"/>
    <s v="HUAWON HW1389"/>
    <s v="beige"/>
    <s v="HY2001"/>
    <m/>
    <m/>
    <s v="CN"/>
    <x v="1"/>
    <x v="2"/>
    <m/>
    <n v="90"/>
    <m/>
    <x v="0"/>
    <m/>
    <m/>
    <m/>
    <s v="ton"/>
    <x v="3"/>
    <x v="3"/>
    <m/>
    <m/>
    <m/>
    <m/>
    <m/>
    <m/>
    <m/>
    <m/>
    <m/>
    <m/>
    <m/>
    <m/>
    <m/>
    <m/>
    <m/>
    <m/>
    <m/>
    <m/>
    <m/>
    <m/>
    <m/>
    <m/>
    <m/>
    <m/>
    <m/>
    <m/>
    <m/>
    <n v="13500"/>
    <n v="13500"/>
    <n v="13500"/>
    <m/>
    <m/>
    <m/>
    <m/>
    <m/>
    <m/>
    <m/>
    <m/>
    <m/>
    <m/>
    <m/>
    <m/>
    <m/>
    <m/>
    <m/>
    <m/>
    <m/>
    <m/>
    <x v="123"/>
    <x v="9"/>
    <x v="0"/>
    <n v="13.5"/>
    <n v="10.125"/>
    <n v="1.11958"/>
    <n v="1.4175000000000002"/>
    <n v="0"/>
    <n v="9.1999999999999998E-2"/>
    <x v="139"/>
    <x v="172"/>
    <n v="120"/>
    <n v="90"/>
    <x v="1"/>
    <n v="0.19131119999999946"/>
    <x v="149"/>
    <x v="177"/>
  </r>
  <r>
    <n v="18854"/>
    <x v="26"/>
    <x v="9"/>
    <x v="6"/>
    <s v="DP"/>
    <x v="12"/>
    <s v="HUAWON HW1389"/>
    <s v="beige"/>
    <s v="HY2001"/>
    <m/>
    <m/>
    <s v="CN"/>
    <x v="1"/>
    <x v="3"/>
    <m/>
    <n v="90"/>
    <m/>
    <x v="0"/>
    <m/>
    <m/>
    <m/>
    <s v="ton"/>
    <x v="3"/>
    <x v="2"/>
    <m/>
    <m/>
    <m/>
    <n v="1800"/>
    <n v="1800"/>
    <n v="1800"/>
    <n v="1800"/>
    <n v="1800"/>
    <n v="1800"/>
    <n v="1800"/>
    <n v="1800"/>
    <n v="1800"/>
    <n v="1800"/>
    <n v="1800"/>
    <m/>
    <m/>
    <m/>
    <m/>
    <m/>
    <m/>
    <m/>
    <m/>
    <m/>
    <m/>
    <m/>
    <m/>
    <m/>
    <m/>
    <m/>
    <m/>
    <m/>
    <m/>
    <m/>
    <m/>
    <m/>
    <m/>
    <m/>
    <m/>
    <m/>
    <m/>
    <m/>
    <m/>
    <m/>
    <m/>
    <m/>
    <m/>
    <m/>
    <m/>
    <x v="116"/>
    <x v="20"/>
    <x v="0"/>
    <n v="1.8"/>
    <n v="10.620000000000001"/>
    <n v="1.11958"/>
    <n v="1.4868000000000003"/>
    <n v="0"/>
    <n v="9.1999999999999998E-2"/>
    <x v="131"/>
    <x v="161"/>
    <n v="120"/>
    <n v="90"/>
    <x v="1"/>
    <n v="0.19977569999999822"/>
    <x v="141"/>
    <x v="166"/>
  </r>
  <r>
    <n v="18855"/>
    <x v="14"/>
    <x v="6"/>
    <x v="6"/>
    <s v="DP"/>
    <x v="12"/>
    <s v="HUAWON HG5083"/>
    <s v="gray"/>
    <s v="HG5083"/>
    <m/>
    <m/>
    <s v="CN"/>
    <x v="1"/>
    <x v="2"/>
    <m/>
    <n v="90"/>
    <m/>
    <x v="0"/>
    <m/>
    <m/>
    <m/>
    <s v="ton"/>
    <x v="3"/>
    <x v="3"/>
    <m/>
    <m/>
    <m/>
    <m/>
    <m/>
    <m/>
    <m/>
    <m/>
    <m/>
    <m/>
    <m/>
    <m/>
    <m/>
    <m/>
    <m/>
    <m/>
    <m/>
    <m/>
    <m/>
    <m/>
    <m/>
    <m/>
    <m/>
    <m/>
    <m/>
    <m/>
    <m/>
    <n v="12600"/>
    <n v="12600"/>
    <n v="12600"/>
    <n v="12600"/>
    <n v="12600"/>
    <n v="12600"/>
    <n v="12600"/>
    <n v="12000"/>
    <n v="12000"/>
    <n v="12000"/>
    <m/>
    <m/>
    <m/>
    <m/>
    <m/>
    <m/>
    <m/>
    <m/>
    <m/>
    <m/>
    <m/>
    <x v="119"/>
    <x v="11"/>
    <x v="12"/>
    <n v="12"/>
    <n v="9"/>
    <n v="1.11958"/>
    <n v="1.2600000000000002"/>
    <n v="0"/>
    <n v="9.1999999999999998E-2"/>
    <x v="134"/>
    <x v="173"/>
    <n v="120"/>
    <n v="90"/>
    <x v="1"/>
    <n v="0.17207369999999855"/>
    <x v="144"/>
    <x v="178"/>
  </r>
  <r>
    <n v="18855"/>
    <x v="14"/>
    <x v="6"/>
    <x v="6"/>
    <s v="DP"/>
    <x v="12"/>
    <s v="HUAWON HG5083"/>
    <s v="gray"/>
    <s v="HG5083"/>
    <m/>
    <m/>
    <s v="CN"/>
    <x v="1"/>
    <x v="3"/>
    <m/>
    <n v="90"/>
    <m/>
    <x v="0"/>
    <m/>
    <m/>
    <m/>
    <s v="ton"/>
    <x v="4"/>
    <x v="2"/>
    <m/>
    <m/>
    <m/>
    <n v="1800"/>
    <n v="1800"/>
    <n v="1800"/>
    <n v="1800"/>
    <n v="1800"/>
    <n v="1800"/>
    <n v="1800"/>
    <n v="1800"/>
    <n v="1800"/>
    <n v="1800"/>
    <n v="1800"/>
    <n v="1650"/>
    <n v="1650"/>
    <n v="1650"/>
    <n v="1650"/>
    <m/>
    <m/>
    <m/>
    <m/>
    <m/>
    <m/>
    <m/>
    <m/>
    <m/>
    <m/>
    <m/>
    <m/>
    <m/>
    <m/>
    <m/>
    <m/>
    <m/>
    <m/>
    <m/>
    <m/>
    <m/>
    <m/>
    <m/>
    <m/>
    <m/>
    <m/>
    <m/>
    <m/>
    <m/>
    <m/>
    <x v="124"/>
    <x v="1"/>
    <x v="0"/>
    <n v="1.65"/>
    <n v="9.7349999999999994"/>
    <n v="1.11958"/>
    <n v="1.3629"/>
    <n v="0"/>
    <n v="9.1999999999999998E-2"/>
    <x v="140"/>
    <x v="174"/>
    <n v="120"/>
    <n v="90"/>
    <x v="1"/>
    <n v="0.18464219999999898"/>
    <x v="150"/>
    <x v="179"/>
  </r>
  <r>
    <n v="18855"/>
    <x v="14"/>
    <x v="6"/>
    <x v="6"/>
    <s v="DP"/>
    <x v="12"/>
    <s v="HUAWON HG5083"/>
    <s v="gray"/>
    <s v="HG5083"/>
    <m/>
    <m/>
    <s v="CN"/>
    <x v="1"/>
    <x v="3"/>
    <m/>
    <n v="90"/>
    <m/>
    <x v="0"/>
    <m/>
    <m/>
    <m/>
    <s v="ton"/>
    <x v="3"/>
    <x v="2"/>
    <m/>
    <m/>
    <m/>
    <n v="1800"/>
    <n v="1800"/>
    <n v="1800"/>
    <n v="1800"/>
    <n v="1800"/>
    <n v="1800"/>
    <n v="1800"/>
    <n v="1800"/>
    <n v="1800"/>
    <n v="1800"/>
    <n v="1800"/>
    <m/>
    <m/>
    <m/>
    <m/>
    <m/>
    <m/>
    <m/>
    <m/>
    <m/>
    <m/>
    <m/>
    <m/>
    <m/>
    <m/>
    <m/>
    <m/>
    <m/>
    <m/>
    <m/>
    <m/>
    <m/>
    <m/>
    <m/>
    <m/>
    <m/>
    <m/>
    <m/>
    <m/>
    <m/>
    <m/>
    <m/>
    <m/>
    <m/>
    <m/>
    <x v="116"/>
    <x v="20"/>
    <x v="0"/>
    <n v="1.8"/>
    <n v="10.620000000000001"/>
    <n v="1.11958"/>
    <n v="1.4868000000000003"/>
    <n v="0"/>
    <n v="9.1999999999999998E-2"/>
    <x v="131"/>
    <x v="175"/>
    <n v="120"/>
    <n v="90"/>
    <x v="1"/>
    <n v="0.19977569999999822"/>
    <x v="141"/>
    <x v="180"/>
  </r>
  <r>
    <n v="18856"/>
    <x v="15"/>
    <x v="6"/>
    <x v="6"/>
    <s v="DP"/>
    <x v="12"/>
    <s v="HUAWON HG5089"/>
    <s v="gray"/>
    <s v="HG5089"/>
    <m/>
    <m/>
    <s v="CN"/>
    <x v="1"/>
    <x v="2"/>
    <m/>
    <n v="90"/>
    <m/>
    <x v="0"/>
    <m/>
    <m/>
    <m/>
    <s v="ton"/>
    <x v="3"/>
    <x v="3"/>
    <m/>
    <m/>
    <m/>
    <m/>
    <m/>
    <m/>
    <m/>
    <m/>
    <m/>
    <m/>
    <m/>
    <m/>
    <m/>
    <m/>
    <m/>
    <m/>
    <m/>
    <m/>
    <m/>
    <m/>
    <m/>
    <m/>
    <m/>
    <m/>
    <m/>
    <m/>
    <m/>
    <n v="12600"/>
    <n v="12600"/>
    <n v="12600"/>
    <n v="12600"/>
    <n v="12600"/>
    <n v="12600"/>
    <n v="12600"/>
    <n v="12000"/>
    <n v="12000"/>
    <n v="12000"/>
    <m/>
    <m/>
    <m/>
    <m/>
    <m/>
    <m/>
    <m/>
    <m/>
    <m/>
    <m/>
    <m/>
    <x v="119"/>
    <x v="11"/>
    <x v="12"/>
    <n v="12"/>
    <n v="9"/>
    <n v="1.11958"/>
    <n v="1.2600000000000002"/>
    <n v="0"/>
    <n v="9.1999999999999998E-2"/>
    <x v="134"/>
    <x v="173"/>
    <n v="120"/>
    <n v="90"/>
    <x v="1"/>
    <n v="0.17207369999999855"/>
    <x v="144"/>
    <x v="178"/>
  </r>
  <r>
    <n v="18856"/>
    <x v="15"/>
    <x v="6"/>
    <x v="6"/>
    <s v="DP"/>
    <x v="12"/>
    <s v="HUAWON HG5089"/>
    <s v="gray"/>
    <s v="HG5089"/>
    <m/>
    <m/>
    <s v="CN"/>
    <x v="1"/>
    <x v="3"/>
    <m/>
    <n v="90"/>
    <m/>
    <x v="0"/>
    <m/>
    <m/>
    <m/>
    <s v="ton"/>
    <x v="4"/>
    <x v="2"/>
    <m/>
    <m/>
    <m/>
    <n v="1800"/>
    <n v="1800"/>
    <n v="1800"/>
    <n v="1800"/>
    <n v="1800"/>
    <n v="1800"/>
    <n v="1800"/>
    <n v="1800"/>
    <n v="1800"/>
    <n v="1800"/>
    <n v="1800"/>
    <n v="1650"/>
    <n v="1650"/>
    <n v="1650"/>
    <n v="1650"/>
    <m/>
    <m/>
    <m/>
    <m/>
    <m/>
    <m/>
    <m/>
    <m/>
    <m/>
    <m/>
    <m/>
    <m/>
    <m/>
    <m/>
    <m/>
    <m/>
    <m/>
    <m/>
    <m/>
    <m/>
    <m/>
    <m/>
    <m/>
    <m/>
    <m/>
    <m/>
    <m/>
    <m/>
    <m/>
    <m/>
    <x v="124"/>
    <x v="1"/>
    <x v="0"/>
    <n v="1.65"/>
    <n v="9.7349999999999994"/>
    <n v="1.11958"/>
    <n v="1.3629"/>
    <n v="0"/>
    <n v="9.1999999999999998E-2"/>
    <x v="140"/>
    <x v="174"/>
    <n v="120"/>
    <n v="90"/>
    <x v="1"/>
    <n v="0.18464219999999898"/>
    <x v="150"/>
    <x v="179"/>
  </r>
  <r>
    <n v="18856"/>
    <x v="15"/>
    <x v="6"/>
    <x v="6"/>
    <s v="DP"/>
    <x v="12"/>
    <s v="HUAWON HG5089"/>
    <s v="gray"/>
    <s v="HG5089"/>
    <m/>
    <m/>
    <s v="CN"/>
    <x v="1"/>
    <x v="3"/>
    <m/>
    <n v="90"/>
    <m/>
    <x v="0"/>
    <m/>
    <m/>
    <m/>
    <s v="ton"/>
    <x v="3"/>
    <x v="2"/>
    <m/>
    <m/>
    <m/>
    <n v="1800"/>
    <n v="1800"/>
    <n v="1800"/>
    <n v="1800"/>
    <n v="1800"/>
    <n v="1800"/>
    <n v="1800"/>
    <n v="1800"/>
    <n v="1800"/>
    <n v="1800"/>
    <n v="1800"/>
    <m/>
    <m/>
    <m/>
    <m/>
    <m/>
    <m/>
    <m/>
    <m/>
    <m/>
    <m/>
    <m/>
    <m/>
    <m/>
    <m/>
    <m/>
    <m/>
    <m/>
    <m/>
    <m/>
    <m/>
    <m/>
    <m/>
    <m/>
    <m/>
    <m/>
    <m/>
    <m/>
    <m/>
    <m/>
    <m/>
    <m/>
    <m/>
    <m/>
    <m/>
    <x v="116"/>
    <x v="20"/>
    <x v="0"/>
    <n v="1.8"/>
    <n v="10.620000000000001"/>
    <n v="1.11958"/>
    <n v="1.4868000000000003"/>
    <n v="0"/>
    <n v="9.1999999999999998E-2"/>
    <x v="131"/>
    <x v="175"/>
    <n v="120"/>
    <n v="90"/>
    <x v="1"/>
    <n v="0.19977569999999822"/>
    <x v="141"/>
    <x v="180"/>
  </r>
  <r>
    <n v="18857"/>
    <x v="40"/>
    <x v="9"/>
    <x v="6"/>
    <s v="DP"/>
    <x v="12"/>
    <s v="HUAWON HW1831"/>
    <s v="white"/>
    <s v="HW1831"/>
    <m/>
    <m/>
    <s v="CN"/>
    <x v="1"/>
    <x v="2"/>
    <m/>
    <n v="90"/>
    <m/>
    <x v="0"/>
    <m/>
    <m/>
    <m/>
    <s v="ton"/>
    <x v="3"/>
    <x v="3"/>
    <m/>
    <m/>
    <m/>
    <m/>
    <m/>
    <m/>
    <m/>
    <m/>
    <m/>
    <m/>
    <m/>
    <m/>
    <m/>
    <m/>
    <m/>
    <m/>
    <m/>
    <m/>
    <m/>
    <m/>
    <m/>
    <m/>
    <m/>
    <m/>
    <m/>
    <m/>
    <m/>
    <n v="12100"/>
    <n v="12100"/>
    <n v="12100"/>
    <m/>
    <m/>
    <m/>
    <m/>
    <m/>
    <m/>
    <m/>
    <m/>
    <m/>
    <m/>
    <m/>
    <m/>
    <m/>
    <m/>
    <m/>
    <m/>
    <m/>
    <m/>
    <x v="125"/>
    <x v="9"/>
    <x v="0"/>
    <n v="12.1"/>
    <n v="9.0749999999999993"/>
    <n v="1.11958"/>
    <n v="1.2705"/>
    <n v="0"/>
    <n v="9.1999999999999998E-2"/>
    <x v="141"/>
    <x v="176"/>
    <n v="120"/>
    <n v="90"/>
    <x v="1"/>
    <n v="0.17335619999999885"/>
    <x v="151"/>
    <x v="181"/>
  </r>
  <r>
    <n v="18857"/>
    <x v="40"/>
    <x v="9"/>
    <x v="6"/>
    <s v="DP"/>
    <x v="12"/>
    <s v="HUAWON HW1831"/>
    <s v="white"/>
    <s v="HW1831"/>
    <m/>
    <m/>
    <s v="CN"/>
    <x v="1"/>
    <x v="3"/>
    <m/>
    <n v="90"/>
    <m/>
    <x v="0"/>
    <m/>
    <m/>
    <m/>
    <s v="ton"/>
    <x v="3"/>
    <x v="2"/>
    <m/>
    <m/>
    <m/>
    <n v="1750"/>
    <n v="1750"/>
    <n v="1750"/>
    <n v="1750"/>
    <n v="1750"/>
    <n v="1750"/>
    <n v="1750"/>
    <n v="1750"/>
    <n v="1750"/>
    <n v="1750"/>
    <n v="1750"/>
    <n v="1600"/>
    <n v="1600"/>
    <n v="1600"/>
    <n v="1600"/>
    <m/>
    <m/>
    <m/>
    <m/>
    <m/>
    <m/>
    <m/>
    <m/>
    <m/>
    <m/>
    <m/>
    <m/>
    <m/>
    <m/>
    <m/>
    <m/>
    <m/>
    <m/>
    <m/>
    <m/>
    <m/>
    <m/>
    <m/>
    <m/>
    <m/>
    <m/>
    <m/>
    <m/>
    <m/>
    <m/>
    <x v="111"/>
    <x v="1"/>
    <x v="0"/>
    <n v="1.6"/>
    <n v="9.4400000000000013"/>
    <n v="1.11958"/>
    <n v="1.3216000000000003"/>
    <n v="0"/>
    <n v="9.1999999999999998E-2"/>
    <x v="126"/>
    <x v="177"/>
    <n v="120"/>
    <n v="90"/>
    <x v="1"/>
    <n v="0.17959769999999864"/>
    <x v="136"/>
    <x v="182"/>
  </r>
  <r>
    <n v="18858"/>
    <x v="39"/>
    <x v="9"/>
    <x v="6"/>
    <s v="DP"/>
    <x v="12"/>
    <s v="HUAWON HY2059"/>
    <s v="dark beige"/>
    <s v="HY2059"/>
    <m/>
    <m/>
    <s v="CN"/>
    <x v="1"/>
    <x v="2"/>
    <m/>
    <n v="90"/>
    <m/>
    <x v="0"/>
    <m/>
    <m/>
    <m/>
    <s v="ton"/>
    <x v="3"/>
    <x v="3"/>
    <m/>
    <m/>
    <m/>
    <m/>
    <m/>
    <m/>
    <m/>
    <m/>
    <m/>
    <m/>
    <m/>
    <m/>
    <m/>
    <m/>
    <m/>
    <m/>
    <m/>
    <m/>
    <m/>
    <m/>
    <m/>
    <m/>
    <m/>
    <m/>
    <m/>
    <m/>
    <m/>
    <n v="13650"/>
    <n v="13650"/>
    <n v="13650"/>
    <m/>
    <m/>
    <m/>
    <m/>
    <m/>
    <m/>
    <m/>
    <m/>
    <m/>
    <m/>
    <m/>
    <m/>
    <m/>
    <m/>
    <m/>
    <m/>
    <m/>
    <m/>
    <x v="126"/>
    <x v="9"/>
    <x v="0"/>
    <n v="13.65"/>
    <n v="10.237500000000001"/>
    <n v="1.11958"/>
    <n v="1.4332500000000001"/>
    <n v="0"/>
    <n v="9.1999999999999998E-2"/>
    <x v="142"/>
    <x v="178"/>
    <n v="120"/>
    <n v="90"/>
    <x v="1"/>
    <n v="0.19323494999999902"/>
    <x v="152"/>
    <x v="183"/>
  </r>
  <r>
    <n v="18858"/>
    <x v="39"/>
    <x v="9"/>
    <x v="6"/>
    <s v="DP"/>
    <x v="12"/>
    <s v="HUAWON HY2059"/>
    <s v="dark beige"/>
    <s v="HY2059"/>
    <m/>
    <m/>
    <s v="CN"/>
    <x v="1"/>
    <x v="3"/>
    <m/>
    <n v="90"/>
    <m/>
    <x v="0"/>
    <m/>
    <m/>
    <m/>
    <s v="ton"/>
    <x v="3"/>
    <x v="2"/>
    <m/>
    <m/>
    <m/>
    <n v="1800"/>
    <n v="1800"/>
    <n v="1800"/>
    <n v="1800"/>
    <n v="1800"/>
    <n v="1800"/>
    <n v="1800"/>
    <n v="1800"/>
    <n v="1800"/>
    <n v="1800"/>
    <n v="1800"/>
    <m/>
    <m/>
    <m/>
    <m/>
    <m/>
    <m/>
    <m/>
    <m/>
    <m/>
    <m/>
    <m/>
    <m/>
    <m/>
    <m/>
    <m/>
    <m/>
    <m/>
    <m/>
    <m/>
    <m/>
    <m/>
    <m/>
    <m/>
    <m/>
    <m/>
    <m/>
    <m/>
    <m/>
    <m/>
    <m/>
    <m/>
    <m/>
    <m/>
    <m/>
    <x v="116"/>
    <x v="20"/>
    <x v="0"/>
    <n v="1.8"/>
    <n v="10.620000000000001"/>
    <n v="1.11958"/>
    <n v="1.4868000000000003"/>
    <n v="0"/>
    <n v="9.1999999999999998E-2"/>
    <x v="131"/>
    <x v="161"/>
    <n v="120"/>
    <n v="90"/>
    <x v="1"/>
    <n v="0.19977569999999822"/>
    <x v="141"/>
    <x v="166"/>
  </r>
  <r>
    <n v="18860"/>
    <x v="15"/>
    <x v="6"/>
    <x v="5"/>
    <s v="DP"/>
    <x v="12"/>
    <s v="HUAWON HG5089"/>
    <s v="gray"/>
    <s v="HG5089"/>
    <m/>
    <m/>
    <s v="CN"/>
    <x v="1"/>
    <x v="2"/>
    <m/>
    <n v="90"/>
    <m/>
    <x v="0"/>
    <m/>
    <m/>
    <m/>
    <s v="ton"/>
    <x v="3"/>
    <x v="3"/>
    <m/>
    <m/>
    <m/>
    <m/>
    <m/>
    <m/>
    <m/>
    <m/>
    <m/>
    <m/>
    <m/>
    <m/>
    <m/>
    <m/>
    <m/>
    <m/>
    <m/>
    <m/>
    <m/>
    <m/>
    <m/>
    <m/>
    <m/>
    <m/>
    <m/>
    <m/>
    <m/>
    <n v="12600"/>
    <n v="12600"/>
    <n v="12600"/>
    <n v="12600"/>
    <n v="12600"/>
    <n v="12600"/>
    <n v="12600"/>
    <n v="12000"/>
    <n v="12000"/>
    <n v="12000"/>
    <m/>
    <m/>
    <m/>
    <m/>
    <m/>
    <m/>
    <m/>
    <m/>
    <m/>
    <m/>
    <m/>
    <x v="119"/>
    <x v="11"/>
    <x v="12"/>
    <n v="12"/>
    <n v="9"/>
    <n v="1.11958"/>
    <n v="1.2600000000000002"/>
    <n v="0"/>
    <n v="9.1999999999999998E-2"/>
    <x v="134"/>
    <x v="173"/>
    <n v="120"/>
    <n v="90"/>
    <x v="1"/>
    <n v="0.17207369999999855"/>
    <x v="144"/>
    <x v="178"/>
  </r>
  <r>
    <n v="18860"/>
    <x v="15"/>
    <x v="6"/>
    <x v="5"/>
    <s v="DP"/>
    <x v="12"/>
    <s v="HUAWON HG5089"/>
    <s v="gray"/>
    <s v="HG5089"/>
    <m/>
    <m/>
    <s v="CN"/>
    <x v="1"/>
    <x v="3"/>
    <m/>
    <n v="90"/>
    <m/>
    <x v="0"/>
    <m/>
    <m/>
    <m/>
    <s v="ton"/>
    <x v="3"/>
    <x v="2"/>
    <m/>
    <m/>
    <m/>
    <m/>
    <m/>
    <m/>
    <m/>
    <m/>
    <m/>
    <m/>
    <m/>
    <m/>
    <n v="1800"/>
    <n v="1800"/>
    <n v="1650"/>
    <n v="1650"/>
    <n v="1650"/>
    <n v="1650"/>
    <m/>
    <m/>
    <m/>
    <m/>
    <m/>
    <m/>
    <m/>
    <m/>
    <m/>
    <m/>
    <m/>
    <m/>
    <m/>
    <m/>
    <m/>
    <m/>
    <m/>
    <m/>
    <m/>
    <m/>
    <m/>
    <m/>
    <m/>
    <m/>
    <m/>
    <m/>
    <m/>
    <m/>
    <m/>
    <m/>
    <x v="124"/>
    <x v="1"/>
    <x v="0"/>
    <n v="1.65"/>
    <n v="9.7349999999999994"/>
    <n v="1.11958"/>
    <n v="1.3629"/>
    <n v="0"/>
    <n v="9.1999999999999998E-2"/>
    <x v="140"/>
    <x v="174"/>
    <n v="120"/>
    <n v="90"/>
    <x v="1"/>
    <n v="0.18464219999999898"/>
    <x v="150"/>
    <x v="179"/>
  </r>
  <r>
    <n v="18861"/>
    <x v="15"/>
    <x v="6"/>
    <x v="15"/>
    <s v="DP"/>
    <x v="12"/>
    <s v="HUAWON HG5089"/>
    <s v="gray"/>
    <s v="HG5089"/>
    <m/>
    <m/>
    <s v="CN"/>
    <x v="1"/>
    <x v="2"/>
    <m/>
    <n v="90"/>
    <m/>
    <x v="0"/>
    <m/>
    <m/>
    <m/>
    <s v="ton"/>
    <x v="3"/>
    <x v="3"/>
    <m/>
    <m/>
    <m/>
    <m/>
    <m/>
    <m/>
    <m/>
    <m/>
    <m/>
    <m/>
    <m/>
    <m/>
    <m/>
    <m/>
    <m/>
    <m/>
    <m/>
    <m/>
    <m/>
    <m/>
    <m/>
    <m/>
    <m/>
    <m/>
    <m/>
    <m/>
    <m/>
    <n v="12600"/>
    <n v="12600"/>
    <n v="12600"/>
    <n v="12600"/>
    <n v="12600"/>
    <n v="12600"/>
    <n v="12600"/>
    <n v="12000"/>
    <n v="12000"/>
    <n v="12000"/>
    <m/>
    <m/>
    <m/>
    <m/>
    <m/>
    <m/>
    <m/>
    <m/>
    <m/>
    <m/>
    <m/>
    <x v="119"/>
    <x v="11"/>
    <x v="12"/>
    <n v="12"/>
    <n v="9"/>
    <n v="1.11958"/>
    <n v="1.2600000000000002"/>
    <n v="0"/>
    <n v="9.1999999999999998E-2"/>
    <x v="134"/>
    <x v="173"/>
    <n v="120"/>
    <n v="90"/>
    <x v="1"/>
    <n v="0.17207369999999855"/>
    <x v="144"/>
    <x v="178"/>
  </r>
  <r>
    <n v="18861"/>
    <x v="15"/>
    <x v="6"/>
    <x v="15"/>
    <s v="DP"/>
    <x v="12"/>
    <s v="HUAWON HG5089"/>
    <s v="gray"/>
    <s v="HG5089"/>
    <m/>
    <m/>
    <s v="CN"/>
    <x v="1"/>
    <x v="3"/>
    <m/>
    <n v="90"/>
    <m/>
    <x v="0"/>
    <m/>
    <m/>
    <m/>
    <s v="ton"/>
    <x v="3"/>
    <x v="2"/>
    <m/>
    <m/>
    <m/>
    <m/>
    <m/>
    <m/>
    <m/>
    <m/>
    <m/>
    <m/>
    <m/>
    <m/>
    <n v="1800"/>
    <n v="1800"/>
    <n v="1650"/>
    <n v="1650"/>
    <n v="1650"/>
    <n v="1650"/>
    <m/>
    <m/>
    <m/>
    <m/>
    <m/>
    <m/>
    <m/>
    <m/>
    <m/>
    <m/>
    <m/>
    <m/>
    <m/>
    <m/>
    <m/>
    <m/>
    <m/>
    <m/>
    <m/>
    <m/>
    <m/>
    <m/>
    <m/>
    <m/>
    <m/>
    <m/>
    <m/>
    <m/>
    <m/>
    <m/>
    <x v="124"/>
    <x v="1"/>
    <x v="0"/>
    <n v="1.65"/>
    <n v="9.7349999999999994"/>
    <n v="1.11958"/>
    <n v="1.3629"/>
    <n v="0"/>
    <n v="9.1999999999999998E-2"/>
    <x v="140"/>
    <x v="174"/>
    <n v="120"/>
    <n v="90"/>
    <x v="1"/>
    <n v="0.18464219999999898"/>
    <x v="150"/>
    <x v="179"/>
  </r>
  <r>
    <n v="18864"/>
    <x v="25"/>
    <x v="9"/>
    <x v="6"/>
    <s v="DP"/>
    <x v="12"/>
    <s v="HUAWON HG5098"/>
    <s v="gray"/>
    <s v="HG5098"/>
    <m/>
    <m/>
    <s v="CN"/>
    <x v="1"/>
    <x v="3"/>
    <m/>
    <n v="90"/>
    <m/>
    <x v="0"/>
    <m/>
    <m/>
    <m/>
    <s v="ton"/>
    <x v="3"/>
    <x v="2"/>
    <m/>
    <m/>
    <m/>
    <n v="1800"/>
    <n v="1800"/>
    <n v="1800"/>
    <n v="1800"/>
    <n v="1800"/>
    <n v="1800"/>
    <n v="1800"/>
    <n v="1800"/>
    <n v="1800"/>
    <n v="1800"/>
    <n v="1800"/>
    <m/>
    <m/>
    <m/>
    <m/>
    <m/>
    <m/>
    <m/>
    <m/>
    <m/>
    <m/>
    <m/>
    <m/>
    <m/>
    <n v="1530"/>
    <n v="1530"/>
    <n v="1530"/>
    <m/>
    <m/>
    <m/>
    <m/>
    <m/>
    <m/>
    <m/>
    <m/>
    <m/>
    <m/>
    <m/>
    <m/>
    <m/>
    <m/>
    <m/>
    <m/>
    <m/>
    <m/>
    <x v="127"/>
    <x v="9"/>
    <x v="0"/>
    <n v="1.53"/>
    <n v="9.027000000000001"/>
    <n v="1.11958"/>
    <n v="1.2637800000000003"/>
    <n v="0"/>
    <n v="9.1999999999999998E-2"/>
    <x v="143"/>
    <x v="179"/>
    <n v="120"/>
    <n v="90"/>
    <x v="1"/>
    <n v="0.17253539999999923"/>
    <x v="153"/>
    <x v="184"/>
  </r>
  <r>
    <n v="18864"/>
    <x v="25"/>
    <x v="9"/>
    <x v="6"/>
    <s v="DP"/>
    <x v="12"/>
    <s v="HUAWON HG5098"/>
    <s v="gray"/>
    <s v="HG5098"/>
    <m/>
    <m/>
    <s v="CN"/>
    <x v="1"/>
    <x v="2"/>
    <m/>
    <n v="90"/>
    <m/>
    <x v="0"/>
    <m/>
    <m/>
    <m/>
    <s v="ton"/>
    <x v="3"/>
    <x v="3"/>
    <m/>
    <m/>
    <m/>
    <m/>
    <m/>
    <m/>
    <m/>
    <m/>
    <m/>
    <m/>
    <m/>
    <m/>
    <m/>
    <m/>
    <m/>
    <m/>
    <m/>
    <m/>
    <m/>
    <m/>
    <m/>
    <m/>
    <m/>
    <m/>
    <m/>
    <m/>
    <m/>
    <n v="12300"/>
    <n v="12300"/>
    <n v="12300"/>
    <n v="12300"/>
    <n v="12300"/>
    <n v="12300"/>
    <n v="12300"/>
    <n v="12300"/>
    <n v="12300"/>
    <n v="12300"/>
    <m/>
    <m/>
    <m/>
    <m/>
    <m/>
    <m/>
    <m/>
    <m/>
    <m/>
    <m/>
    <m/>
    <x v="128"/>
    <x v="11"/>
    <x v="12"/>
    <n v="12.3"/>
    <n v="9.2250000000000014"/>
    <n v="1.11958"/>
    <n v="1.2915000000000003"/>
    <n v="0"/>
    <n v="9.1999999999999998E-2"/>
    <x v="144"/>
    <x v="180"/>
    <n v="120"/>
    <n v="90"/>
    <x v="1"/>
    <n v="0.17592119999999944"/>
    <x v="154"/>
    <x v="185"/>
  </r>
  <r>
    <n v="18865"/>
    <x v="25"/>
    <x v="9"/>
    <x v="5"/>
    <s v="DP"/>
    <x v="12"/>
    <s v="HUAWON HG5098"/>
    <s v="gray"/>
    <s v="HG5098"/>
    <m/>
    <m/>
    <s v="CN"/>
    <x v="1"/>
    <x v="3"/>
    <m/>
    <n v="90"/>
    <m/>
    <x v="0"/>
    <m/>
    <m/>
    <m/>
    <s v="ton"/>
    <x v="3"/>
    <x v="2"/>
    <m/>
    <m/>
    <m/>
    <n v="1800"/>
    <n v="1800"/>
    <n v="1800"/>
    <n v="1800"/>
    <n v="1800"/>
    <n v="1800"/>
    <n v="1800"/>
    <n v="1800"/>
    <n v="1800"/>
    <n v="1800"/>
    <n v="1800"/>
    <m/>
    <m/>
    <m/>
    <m/>
    <m/>
    <m/>
    <m/>
    <m/>
    <m/>
    <m/>
    <m/>
    <m/>
    <m/>
    <n v="1530"/>
    <n v="1530"/>
    <n v="1530"/>
    <m/>
    <m/>
    <m/>
    <m/>
    <m/>
    <m/>
    <m/>
    <m/>
    <m/>
    <m/>
    <m/>
    <m/>
    <m/>
    <m/>
    <m/>
    <m/>
    <m/>
    <m/>
    <x v="127"/>
    <x v="9"/>
    <x v="0"/>
    <n v="1.53"/>
    <n v="9.027000000000001"/>
    <n v="1.11958"/>
    <n v="1.2637800000000003"/>
    <n v="0"/>
    <n v="9.1999999999999998E-2"/>
    <x v="143"/>
    <x v="179"/>
    <n v="120"/>
    <n v="90"/>
    <x v="1"/>
    <n v="0.17253539999999923"/>
    <x v="153"/>
    <x v="184"/>
  </r>
  <r>
    <n v="18871"/>
    <x v="45"/>
    <x v="3"/>
    <x v="6"/>
    <s v="DP"/>
    <x v="12"/>
    <s v="HUAWON HW1833"/>
    <s v="white"/>
    <s v="HW1833"/>
    <m/>
    <m/>
    <s v="CN"/>
    <x v="1"/>
    <x v="3"/>
    <m/>
    <n v="90"/>
    <m/>
    <x v="0"/>
    <m/>
    <m/>
    <m/>
    <s v="ton"/>
    <x v="3"/>
    <x v="2"/>
    <m/>
    <m/>
    <m/>
    <m/>
    <m/>
    <m/>
    <m/>
    <m/>
    <m/>
    <m/>
    <m/>
    <m/>
    <m/>
    <m/>
    <m/>
    <m/>
    <m/>
    <m/>
    <m/>
    <m/>
    <m/>
    <m/>
    <m/>
    <m/>
    <m/>
    <m/>
    <m/>
    <n v="1080"/>
    <n v="1080"/>
    <n v="1080"/>
    <m/>
    <m/>
    <m/>
    <m/>
    <m/>
    <m/>
    <m/>
    <m/>
    <m/>
    <m/>
    <m/>
    <m/>
    <m/>
    <m/>
    <m/>
    <m/>
    <m/>
    <m/>
    <x v="129"/>
    <x v="9"/>
    <x v="0"/>
    <n v="1.08"/>
    <n v="6.3720000000000008"/>
    <n v="1.11958"/>
    <n v="0.89208000000000021"/>
    <n v="0"/>
    <n v="9.1999999999999998E-2"/>
    <x v="145"/>
    <x v="181"/>
    <n v="120"/>
    <n v="90"/>
    <x v="1"/>
    <n v="0.12713489999999972"/>
    <x v="155"/>
    <x v="186"/>
  </r>
  <r>
    <n v="18871"/>
    <x v="45"/>
    <x v="3"/>
    <x v="6"/>
    <s v="DP"/>
    <x v="12"/>
    <s v="HUAWON HW1833"/>
    <s v="white"/>
    <s v="HW1833"/>
    <m/>
    <m/>
    <s v="CN"/>
    <x v="1"/>
    <x v="2"/>
    <m/>
    <n v="90"/>
    <m/>
    <x v="0"/>
    <m/>
    <m/>
    <m/>
    <s v="ton"/>
    <x v="3"/>
    <x v="3"/>
    <m/>
    <m/>
    <m/>
    <m/>
    <m/>
    <m/>
    <m/>
    <m/>
    <m/>
    <m/>
    <m/>
    <m/>
    <m/>
    <m/>
    <m/>
    <m/>
    <m/>
    <m/>
    <m/>
    <m/>
    <m/>
    <m/>
    <m/>
    <m/>
    <m/>
    <m/>
    <m/>
    <n v="8300"/>
    <n v="8300"/>
    <n v="8300"/>
    <n v="8300"/>
    <n v="8300"/>
    <n v="8300"/>
    <n v="8300"/>
    <n v="8300"/>
    <n v="8300"/>
    <n v="8300"/>
    <m/>
    <m/>
    <m/>
    <m/>
    <m/>
    <m/>
    <m/>
    <m/>
    <m/>
    <m/>
    <m/>
    <x v="130"/>
    <x v="11"/>
    <x v="12"/>
    <n v="8.3000000000000007"/>
    <n v="6.2250000000000005"/>
    <n v="1.11958"/>
    <n v="0.87150000000000016"/>
    <n v="0"/>
    <n v="9.1999999999999998E-2"/>
    <x v="146"/>
    <x v="182"/>
    <n v="120"/>
    <n v="90"/>
    <x v="1"/>
    <n v="0.12462119999999999"/>
    <x v="156"/>
    <x v="187"/>
  </r>
  <r>
    <n v="18872"/>
    <x v="12"/>
    <x v="9"/>
    <x v="10"/>
    <s v="IP"/>
    <x v="12"/>
    <s v="HUAWON HG5050"/>
    <s v="black"/>
    <s v="HG5050"/>
    <m/>
    <m/>
    <s v="CN"/>
    <x v="1"/>
    <x v="2"/>
    <m/>
    <n v="90"/>
    <m/>
    <x v="0"/>
    <m/>
    <m/>
    <m/>
    <s v="ton"/>
    <x v="3"/>
    <x v="3"/>
    <m/>
    <m/>
    <m/>
    <m/>
    <m/>
    <m/>
    <m/>
    <m/>
    <m/>
    <m/>
    <m/>
    <m/>
    <m/>
    <m/>
    <m/>
    <m/>
    <m/>
    <m/>
    <m/>
    <m/>
    <m/>
    <m/>
    <m/>
    <m/>
    <m/>
    <m/>
    <m/>
    <n v="12300"/>
    <n v="12300"/>
    <n v="12300"/>
    <m/>
    <m/>
    <m/>
    <m/>
    <n v="12000"/>
    <n v="12000"/>
    <n v="12000"/>
    <m/>
    <m/>
    <m/>
    <m/>
    <m/>
    <m/>
    <m/>
    <m/>
    <m/>
    <m/>
    <m/>
    <x v="119"/>
    <x v="11"/>
    <x v="12"/>
    <n v="12"/>
    <n v="9"/>
    <n v="1.11958"/>
    <n v="1.2600000000000002"/>
    <n v="0"/>
    <n v="9.1999999999999998E-2"/>
    <x v="134"/>
    <x v="183"/>
    <n v="120"/>
    <n v="90"/>
    <x v="1"/>
    <n v="0.17207369999999855"/>
    <x v="144"/>
    <x v="188"/>
  </r>
  <r>
    <n v="18872"/>
    <x v="12"/>
    <x v="9"/>
    <x v="10"/>
    <s v="IP"/>
    <x v="12"/>
    <s v="HUAWON HG5050"/>
    <s v="black"/>
    <s v="HG5050"/>
    <m/>
    <m/>
    <s v="CN"/>
    <x v="1"/>
    <x v="3"/>
    <m/>
    <n v="90"/>
    <m/>
    <x v="0"/>
    <m/>
    <m/>
    <m/>
    <s v="ton"/>
    <x v="3"/>
    <x v="2"/>
    <m/>
    <m/>
    <m/>
    <m/>
    <m/>
    <m/>
    <m/>
    <m/>
    <m/>
    <m/>
    <m/>
    <m/>
    <m/>
    <m/>
    <m/>
    <m/>
    <m/>
    <m/>
    <m/>
    <m/>
    <m/>
    <m/>
    <m/>
    <m/>
    <m/>
    <m/>
    <m/>
    <n v="1450"/>
    <n v="1450"/>
    <n v="1450"/>
    <m/>
    <m/>
    <m/>
    <m/>
    <m/>
    <m/>
    <m/>
    <m/>
    <m/>
    <m/>
    <m/>
    <m/>
    <m/>
    <m/>
    <m/>
    <m/>
    <m/>
    <m/>
    <x v="131"/>
    <x v="9"/>
    <x v="0"/>
    <n v="1.45"/>
    <n v="8.5549999999999997"/>
    <n v="1.11958"/>
    <n v="1.1977"/>
    <n v="0"/>
    <n v="9.1999999999999998E-2"/>
    <x v="147"/>
    <x v="184"/>
    <n v="120"/>
    <n v="90"/>
    <x v="1"/>
    <n v="0.16446419999999939"/>
    <x v="157"/>
    <x v="189"/>
  </r>
  <r>
    <n v="18873"/>
    <x v="40"/>
    <x v="9"/>
    <x v="12"/>
    <s v="DP"/>
    <x v="12"/>
    <s v="HUAWON HW1831"/>
    <s v="white"/>
    <s v="HW1831"/>
    <m/>
    <m/>
    <s v="CN"/>
    <x v="1"/>
    <x v="2"/>
    <m/>
    <n v="90"/>
    <m/>
    <x v="0"/>
    <m/>
    <m/>
    <m/>
    <s v="ton"/>
    <x v="3"/>
    <x v="3"/>
    <m/>
    <m/>
    <m/>
    <m/>
    <m/>
    <m/>
    <m/>
    <m/>
    <m/>
    <m/>
    <m/>
    <m/>
    <m/>
    <m/>
    <m/>
    <m/>
    <m/>
    <m/>
    <m/>
    <m/>
    <m/>
    <m/>
    <m/>
    <m/>
    <m/>
    <m/>
    <m/>
    <n v="12100"/>
    <n v="12100"/>
    <n v="12100"/>
    <m/>
    <m/>
    <m/>
    <m/>
    <m/>
    <m/>
    <m/>
    <m/>
    <m/>
    <m/>
    <m/>
    <m/>
    <m/>
    <m/>
    <m/>
    <m/>
    <m/>
    <m/>
    <x v="125"/>
    <x v="9"/>
    <x v="0"/>
    <n v="12.1"/>
    <n v="9.0749999999999993"/>
    <n v="1.11958"/>
    <n v="1.2705"/>
    <n v="0"/>
    <n v="9.1999999999999998E-2"/>
    <x v="141"/>
    <x v="176"/>
    <n v="120"/>
    <n v="90"/>
    <x v="1"/>
    <n v="0.17335619999999885"/>
    <x v="151"/>
    <x v="181"/>
  </r>
  <r>
    <n v="19505"/>
    <x v="44"/>
    <x v="9"/>
    <x v="6"/>
    <s v="DP"/>
    <x v="13"/>
    <s v="MALTADECOR 128"/>
    <s v="white"/>
    <s v="M128"/>
    <m/>
    <m/>
    <s v="EU"/>
    <x v="0"/>
    <x v="4"/>
    <m/>
    <m/>
    <m/>
    <x v="0"/>
    <m/>
    <m/>
    <m/>
    <s v="ton"/>
    <x v="20"/>
    <x v="2"/>
    <n v="2280"/>
    <n v="2280"/>
    <n v="2280"/>
    <n v="2210"/>
    <n v="2210"/>
    <n v="2210"/>
    <n v="2060"/>
    <n v="2060"/>
    <n v="2060"/>
    <n v="1910"/>
    <n v="1910"/>
    <n v="1910"/>
    <n v="1910"/>
    <n v="1910"/>
    <n v="1910"/>
    <n v="1910"/>
    <n v="1910"/>
    <n v="1910"/>
    <n v="1960"/>
    <n v="2110"/>
    <n v="2110"/>
    <n v="2110"/>
    <n v="2110"/>
    <n v="2110"/>
    <n v="2510"/>
    <n v="2510"/>
    <n v="2010"/>
    <n v="2010"/>
    <n v="2010"/>
    <n v="2140"/>
    <n v="2140"/>
    <n v="2140"/>
    <n v="2140"/>
    <n v="1990"/>
    <n v="1990"/>
    <n v="1990"/>
    <m/>
    <m/>
    <m/>
    <n v="1960"/>
    <n v="1960"/>
    <n v="1960"/>
    <n v="2040"/>
    <n v="2040"/>
    <n v="2040"/>
    <m/>
    <m/>
    <m/>
    <x v="63"/>
    <x v="2"/>
    <x v="93"/>
    <n v="2.04"/>
    <n v="12.036000000000001"/>
    <n v="0.14176320000000001"/>
    <n v="1.5646800000000003"/>
    <n v="0"/>
    <n v="9.1999999999999998E-2"/>
    <x v="148"/>
    <x v="185"/>
    <n v="105"/>
    <n v="30"/>
    <x v="4"/>
    <n v="0.52464258950350562"/>
    <x v="158"/>
    <x v="190"/>
  </r>
  <r>
    <n v="19505"/>
    <x v="44"/>
    <x v="9"/>
    <x v="6"/>
    <s v="DP"/>
    <x v="13"/>
    <s v="MALTADECOR 128"/>
    <s v="white"/>
    <s v="M128"/>
    <m/>
    <m/>
    <s v="EU"/>
    <x v="0"/>
    <x v="4"/>
    <m/>
    <m/>
    <m/>
    <x v="0"/>
    <m/>
    <m/>
    <m/>
    <s v="ton"/>
    <x v="2"/>
    <x v="2"/>
    <n v="2480"/>
    <n v="2480"/>
    <n v="2480"/>
    <n v="2410"/>
    <n v="2410"/>
    <n v="2410"/>
    <n v="2260"/>
    <n v="2260"/>
    <n v="2260"/>
    <n v="2110"/>
    <n v="2110"/>
    <n v="2110"/>
    <n v="2110"/>
    <n v="2110"/>
    <n v="2110"/>
    <n v="2110"/>
    <n v="2110"/>
    <n v="2110"/>
    <n v="2160"/>
    <n v="2310"/>
    <n v="2310"/>
    <n v="2310"/>
    <n v="2310"/>
    <n v="2310"/>
    <n v="2530"/>
    <n v="2530"/>
    <n v="2030"/>
    <n v="2030"/>
    <n v="2030"/>
    <n v="2160"/>
    <n v="2160"/>
    <n v="2160"/>
    <n v="2160"/>
    <n v="2010"/>
    <n v="2010"/>
    <n v="2010"/>
    <m/>
    <m/>
    <m/>
    <n v="1980"/>
    <n v="1980"/>
    <n v="1980"/>
    <n v="2240"/>
    <n v="2240"/>
    <n v="2240"/>
    <m/>
    <m/>
    <m/>
    <x v="132"/>
    <x v="2"/>
    <x v="94"/>
    <n v="2.2400000000000002"/>
    <n v="13.216000000000003"/>
    <n v="0.14176320000000001"/>
    <n v="1.7180800000000005"/>
    <n v="0"/>
    <n v="9.1999999999999998E-2"/>
    <x v="149"/>
    <x v="186"/>
    <n v="105"/>
    <n v="30"/>
    <x v="4"/>
    <n v="0.57520902132375973"/>
    <x v="159"/>
    <x v="191"/>
  </r>
  <r>
    <n v="19505"/>
    <x v="44"/>
    <x v="9"/>
    <x v="6"/>
    <s v="DP"/>
    <x v="13"/>
    <s v="MALTADECOR 128"/>
    <s v="white"/>
    <s v="M128"/>
    <m/>
    <m/>
    <s v="EU"/>
    <x v="0"/>
    <x v="4"/>
    <m/>
    <m/>
    <m/>
    <x v="0"/>
    <m/>
    <m/>
    <m/>
    <s v="ton"/>
    <x v="1"/>
    <x v="2"/>
    <n v="2980"/>
    <n v="2980"/>
    <n v="2980"/>
    <n v="2910"/>
    <n v="2910"/>
    <n v="2910"/>
    <n v="2760"/>
    <n v="2760"/>
    <n v="2760"/>
    <n v="2610"/>
    <n v="2610"/>
    <n v="2610"/>
    <n v="2610"/>
    <n v="2610"/>
    <n v="2610"/>
    <n v="2610"/>
    <n v="2610"/>
    <n v="2610"/>
    <n v="2660"/>
    <n v="2810"/>
    <n v="2810"/>
    <n v="2810"/>
    <n v="2810"/>
    <n v="2810"/>
    <n v="2580"/>
    <n v="2580"/>
    <n v="2080"/>
    <n v="2080"/>
    <n v="2080"/>
    <n v="2210"/>
    <n v="2210"/>
    <n v="2210"/>
    <n v="2210"/>
    <n v="2060"/>
    <n v="2060"/>
    <n v="2060"/>
    <m/>
    <m/>
    <m/>
    <n v="2010"/>
    <n v="2010"/>
    <n v="2010"/>
    <n v="2740"/>
    <n v="2740"/>
    <n v="2740"/>
    <m/>
    <m/>
    <m/>
    <x v="93"/>
    <x v="2"/>
    <x v="95"/>
    <n v="2.74"/>
    <n v="16.166000000000004"/>
    <n v="0.14176320000000001"/>
    <n v="2.1015800000000007"/>
    <n v="0"/>
    <n v="9.1999999999999998E-2"/>
    <x v="104"/>
    <x v="187"/>
    <n v="105"/>
    <n v="30"/>
    <x v="4"/>
    <n v="0.701625100874395"/>
    <x v="160"/>
    <x v="192"/>
  </r>
  <r>
    <n v="19507"/>
    <x v="26"/>
    <x v="9"/>
    <x v="6"/>
    <s v="DP"/>
    <x v="13"/>
    <s v="MALTADECOR 244"/>
    <s v="beige"/>
    <s v="U244"/>
    <m/>
    <m/>
    <s v="EU"/>
    <x v="0"/>
    <x v="4"/>
    <m/>
    <m/>
    <m/>
    <x v="0"/>
    <m/>
    <m/>
    <m/>
    <s v="ton"/>
    <x v="20"/>
    <x v="2"/>
    <n v="2280"/>
    <n v="2280"/>
    <n v="2280"/>
    <n v="2130"/>
    <n v="2130"/>
    <n v="2130"/>
    <n v="2030"/>
    <n v="2030"/>
    <n v="2030"/>
    <n v="1830"/>
    <n v="1830"/>
    <n v="1830"/>
    <n v="1830"/>
    <n v="1830"/>
    <n v="1830"/>
    <n v="1830"/>
    <n v="1830"/>
    <n v="1830"/>
    <n v="1880"/>
    <n v="2080"/>
    <n v="2080"/>
    <n v="2080"/>
    <n v="2080"/>
    <n v="2080"/>
    <n v="2480"/>
    <n v="2480"/>
    <n v="1980"/>
    <n v="1980"/>
    <n v="1980"/>
    <n v="2110"/>
    <n v="2110"/>
    <n v="2110"/>
    <n v="2110"/>
    <n v="2020"/>
    <n v="2020"/>
    <n v="2020"/>
    <m/>
    <m/>
    <m/>
    <n v="1990"/>
    <n v="1990"/>
    <n v="1990"/>
    <n v="2070"/>
    <n v="2070"/>
    <n v="2070"/>
    <m/>
    <m/>
    <m/>
    <x v="64"/>
    <x v="2"/>
    <x v="96"/>
    <n v="2.0699999999999998"/>
    <n v="12.212999999999999"/>
    <n v="0.14176320000000001"/>
    <n v="1.58769"/>
    <n v="0"/>
    <n v="9.1999999999999998E-2"/>
    <x v="113"/>
    <x v="188"/>
    <n v="105"/>
    <n v="30"/>
    <x v="4"/>
    <n v="0.53222755427654356"/>
    <x v="161"/>
    <x v="193"/>
  </r>
  <r>
    <n v="19507"/>
    <x v="26"/>
    <x v="9"/>
    <x v="6"/>
    <s v="DP"/>
    <x v="13"/>
    <s v="MALTADECOR 244"/>
    <s v="beige"/>
    <s v="U244"/>
    <m/>
    <m/>
    <s v="EU"/>
    <x v="0"/>
    <x v="4"/>
    <m/>
    <m/>
    <m/>
    <x v="0"/>
    <m/>
    <m/>
    <m/>
    <s v="ton"/>
    <x v="2"/>
    <x v="2"/>
    <n v="2480"/>
    <n v="2480"/>
    <n v="2480"/>
    <n v="2330"/>
    <n v="2330"/>
    <n v="2330"/>
    <n v="2230"/>
    <n v="2230"/>
    <n v="2230"/>
    <n v="2030"/>
    <n v="2030"/>
    <n v="2030"/>
    <n v="2030"/>
    <n v="2030"/>
    <n v="2030"/>
    <n v="2030"/>
    <n v="2030"/>
    <n v="2030"/>
    <n v="2080"/>
    <n v="2280"/>
    <n v="2280"/>
    <n v="2280"/>
    <n v="2280"/>
    <n v="2280"/>
    <n v="2500"/>
    <n v="2500"/>
    <n v="2000"/>
    <n v="2000"/>
    <n v="2000"/>
    <n v="2130"/>
    <n v="2130"/>
    <n v="2130"/>
    <n v="2130"/>
    <n v="2040"/>
    <n v="2040"/>
    <n v="2040"/>
    <m/>
    <m/>
    <m/>
    <n v="2010"/>
    <n v="2010"/>
    <n v="2010"/>
    <n v="2270"/>
    <n v="2270"/>
    <n v="2270"/>
    <m/>
    <m/>
    <m/>
    <x v="46"/>
    <x v="2"/>
    <x v="97"/>
    <n v="2.27"/>
    <n v="13.393000000000001"/>
    <n v="0.14176320000000001"/>
    <n v="1.7410900000000002"/>
    <n v="0"/>
    <n v="9.1999999999999998E-2"/>
    <x v="150"/>
    <x v="189"/>
    <n v="105"/>
    <n v="30"/>
    <x v="4"/>
    <n v="0.58279398609679767"/>
    <x v="162"/>
    <x v="194"/>
  </r>
  <r>
    <n v="19507"/>
    <x v="26"/>
    <x v="9"/>
    <x v="6"/>
    <s v="DP"/>
    <x v="13"/>
    <s v="MALTADECOR 244"/>
    <s v="beige"/>
    <s v="U244"/>
    <m/>
    <m/>
    <s v="EU"/>
    <x v="0"/>
    <x v="4"/>
    <m/>
    <m/>
    <m/>
    <x v="0"/>
    <m/>
    <m/>
    <m/>
    <s v="ton"/>
    <x v="1"/>
    <x v="2"/>
    <n v="2980"/>
    <n v="2980"/>
    <n v="2980"/>
    <n v="2830"/>
    <n v="2830"/>
    <n v="2830"/>
    <n v="2730"/>
    <n v="2730"/>
    <n v="2730"/>
    <n v="2530"/>
    <n v="2530"/>
    <n v="2530"/>
    <n v="2530"/>
    <n v="2530"/>
    <n v="2530"/>
    <n v="2530"/>
    <n v="2530"/>
    <n v="2530"/>
    <n v="2580"/>
    <n v="2780"/>
    <n v="2780"/>
    <n v="2780"/>
    <n v="2780"/>
    <n v="2780"/>
    <n v="2550"/>
    <n v="2550"/>
    <n v="2050"/>
    <n v="2050"/>
    <n v="2050"/>
    <n v="2180"/>
    <n v="2180"/>
    <n v="2180"/>
    <n v="2180"/>
    <n v="2090"/>
    <n v="2090"/>
    <n v="2090"/>
    <m/>
    <m/>
    <m/>
    <n v="2040"/>
    <n v="2040"/>
    <n v="2040"/>
    <n v="2770"/>
    <n v="2770"/>
    <n v="2770"/>
    <m/>
    <m/>
    <m/>
    <x v="83"/>
    <x v="2"/>
    <x v="98"/>
    <n v="2.77"/>
    <n v="16.343"/>
    <n v="0.14176320000000001"/>
    <n v="2.12459"/>
    <n v="0"/>
    <n v="9.1999999999999998E-2"/>
    <x v="90"/>
    <x v="190"/>
    <n v="105"/>
    <n v="30"/>
    <x v="4"/>
    <n v="0.70921006564743294"/>
    <x v="163"/>
    <x v="195"/>
  </r>
  <r>
    <n v="19508"/>
    <x v="39"/>
    <x v="9"/>
    <x v="6"/>
    <s v="DP"/>
    <x v="13"/>
    <s v="MALTADECOR 0301"/>
    <s v="dark beige"/>
    <s v="U301"/>
    <m/>
    <m/>
    <s v="EU"/>
    <x v="0"/>
    <x v="4"/>
    <m/>
    <m/>
    <m/>
    <x v="0"/>
    <m/>
    <m/>
    <m/>
    <s v="ton"/>
    <x v="20"/>
    <x v="2"/>
    <n v="2650"/>
    <n v="2650"/>
    <n v="2650"/>
    <n v="2550"/>
    <n v="2550"/>
    <n v="2550"/>
    <n v="2350"/>
    <n v="2350"/>
    <n v="2350"/>
    <n v="2200"/>
    <n v="1900"/>
    <n v="1900"/>
    <n v="1900"/>
    <n v="1900"/>
    <n v="1900"/>
    <n v="1900"/>
    <n v="1900"/>
    <n v="1900"/>
    <n v="2010"/>
    <n v="2400"/>
    <n v="2400"/>
    <n v="2400"/>
    <n v="2400"/>
    <n v="2400"/>
    <n v="2800"/>
    <n v="2800"/>
    <n v="2300"/>
    <n v="2300"/>
    <n v="2300"/>
    <n v="2430"/>
    <n v="2430"/>
    <n v="2430"/>
    <n v="2430"/>
    <n v="2280"/>
    <n v="2280"/>
    <n v="2280"/>
    <m/>
    <m/>
    <m/>
    <n v="2250"/>
    <n v="2250"/>
    <n v="2250"/>
    <n v="2330"/>
    <n v="2330"/>
    <n v="2330"/>
    <m/>
    <m/>
    <m/>
    <x v="45"/>
    <x v="2"/>
    <x v="99"/>
    <n v="2.33"/>
    <n v="13.747000000000002"/>
    <n v="0.14176320000000001"/>
    <n v="1.7871100000000002"/>
    <n v="0"/>
    <n v="9.1999999999999998E-2"/>
    <x v="95"/>
    <x v="191"/>
    <n v="105"/>
    <n v="30"/>
    <x v="4"/>
    <n v="0.59796391564287354"/>
    <x v="164"/>
    <x v="196"/>
  </r>
  <r>
    <n v="19508"/>
    <x v="39"/>
    <x v="9"/>
    <x v="6"/>
    <s v="DP"/>
    <x v="13"/>
    <s v="MALTADECOR 0301"/>
    <s v="dark beige"/>
    <s v="U301"/>
    <m/>
    <m/>
    <s v="EU"/>
    <x v="0"/>
    <x v="4"/>
    <m/>
    <m/>
    <m/>
    <x v="0"/>
    <m/>
    <m/>
    <m/>
    <s v="ton"/>
    <x v="2"/>
    <x v="2"/>
    <n v="2850"/>
    <n v="2850"/>
    <n v="2850"/>
    <n v="2750"/>
    <n v="2750"/>
    <n v="2750"/>
    <n v="2550"/>
    <n v="2550"/>
    <n v="2550"/>
    <n v="2400"/>
    <n v="2400"/>
    <n v="2400"/>
    <n v="2400"/>
    <n v="2400"/>
    <n v="2400"/>
    <n v="2400"/>
    <n v="2400"/>
    <n v="2400"/>
    <n v="2210"/>
    <n v="2600"/>
    <n v="2600"/>
    <n v="2600"/>
    <n v="2600"/>
    <n v="2600"/>
    <n v="2820"/>
    <n v="2820"/>
    <n v="2320"/>
    <n v="2320"/>
    <n v="2320"/>
    <n v="2450"/>
    <n v="2450"/>
    <n v="2450"/>
    <n v="2450"/>
    <n v="2300"/>
    <n v="2300"/>
    <n v="2300"/>
    <m/>
    <m/>
    <m/>
    <n v="2270"/>
    <n v="2270"/>
    <n v="2270"/>
    <n v="2530"/>
    <n v="2530"/>
    <n v="2530"/>
    <m/>
    <m/>
    <m/>
    <x v="87"/>
    <x v="2"/>
    <x v="100"/>
    <n v="2.5299999999999998"/>
    <n v="14.927"/>
    <n v="0.14176320000000001"/>
    <n v="1.94051"/>
    <n v="0"/>
    <n v="9.1999999999999998E-2"/>
    <x v="97"/>
    <x v="192"/>
    <n v="105"/>
    <n v="30"/>
    <x v="4"/>
    <n v="0.64853034746312943"/>
    <x v="165"/>
    <x v="197"/>
  </r>
  <r>
    <n v="19508"/>
    <x v="39"/>
    <x v="9"/>
    <x v="6"/>
    <s v="DP"/>
    <x v="13"/>
    <s v="MALTADECOR 0301"/>
    <s v="dark beige"/>
    <s v="U301"/>
    <m/>
    <m/>
    <s v="EU"/>
    <x v="0"/>
    <x v="4"/>
    <m/>
    <m/>
    <m/>
    <x v="0"/>
    <m/>
    <m/>
    <m/>
    <s v="ton"/>
    <x v="1"/>
    <x v="2"/>
    <n v="3350"/>
    <n v="3350"/>
    <n v="3350"/>
    <n v="3250"/>
    <n v="3250"/>
    <n v="3250"/>
    <n v="3050"/>
    <n v="3050"/>
    <n v="3050"/>
    <n v="2900"/>
    <n v="2900"/>
    <n v="2900"/>
    <n v="2900"/>
    <n v="2900"/>
    <n v="2900"/>
    <n v="2900"/>
    <n v="2900"/>
    <n v="2900"/>
    <n v="2710"/>
    <n v="3100"/>
    <n v="3100"/>
    <n v="3100"/>
    <n v="3100"/>
    <n v="3100"/>
    <n v="2870"/>
    <n v="2870"/>
    <n v="2370"/>
    <n v="2370"/>
    <n v="2370"/>
    <n v="2500"/>
    <n v="2500"/>
    <n v="2500"/>
    <n v="2500"/>
    <n v="2350"/>
    <n v="2350"/>
    <n v="2350"/>
    <m/>
    <m/>
    <m/>
    <n v="2300"/>
    <n v="2300"/>
    <n v="2300"/>
    <n v="3030"/>
    <n v="3030"/>
    <n v="3030"/>
    <m/>
    <m/>
    <m/>
    <x v="133"/>
    <x v="2"/>
    <x v="101"/>
    <n v="3.03"/>
    <n v="17.876999999999999"/>
    <n v="0.14176320000000001"/>
    <n v="2.3240099999999999"/>
    <n v="0"/>
    <n v="9.1999999999999998E-2"/>
    <x v="151"/>
    <x v="193"/>
    <n v="105"/>
    <n v="30"/>
    <x v="4"/>
    <n v="0.77494642701376293"/>
    <x v="166"/>
    <x v="198"/>
  </r>
  <r>
    <n v="19509"/>
    <x v="46"/>
    <x v="9"/>
    <x v="6"/>
    <s v="DP"/>
    <x v="13"/>
    <s v="MALTADECOR 408"/>
    <s v="brown"/>
    <s v="M408"/>
    <m/>
    <m/>
    <s v="EU"/>
    <x v="0"/>
    <x v="4"/>
    <m/>
    <m/>
    <m/>
    <x v="0"/>
    <m/>
    <m/>
    <m/>
    <s v="ton"/>
    <x v="20"/>
    <x v="2"/>
    <n v="2310"/>
    <n v="2310"/>
    <n v="2310"/>
    <n v="2230"/>
    <n v="2230"/>
    <n v="2230"/>
    <n v="2060"/>
    <n v="2060"/>
    <n v="2060"/>
    <n v="1860"/>
    <n v="1860"/>
    <n v="1860"/>
    <n v="1860"/>
    <n v="1860"/>
    <n v="1860"/>
    <n v="1860"/>
    <n v="1860"/>
    <n v="1860"/>
    <n v="1910"/>
    <n v="1960"/>
    <n v="1960"/>
    <n v="1960"/>
    <n v="1960"/>
    <n v="1960"/>
    <n v="2360"/>
    <n v="2360"/>
    <n v="1860"/>
    <n v="1860"/>
    <n v="1860"/>
    <n v="2480"/>
    <n v="2480"/>
    <n v="2480"/>
    <n v="2480"/>
    <n v="2330"/>
    <n v="2330"/>
    <n v="2330"/>
    <m/>
    <m/>
    <m/>
    <n v="2340"/>
    <n v="2340"/>
    <n v="2340"/>
    <n v="2450"/>
    <n v="2450"/>
    <n v="2450"/>
    <m/>
    <m/>
    <m/>
    <x v="22"/>
    <x v="2"/>
    <x v="102"/>
    <n v="2.4500000000000002"/>
    <n v="14.455000000000002"/>
    <n v="0.14176320000000001"/>
    <n v="1.8791500000000003"/>
    <n v="0"/>
    <n v="9.1999999999999998E-2"/>
    <x v="22"/>
    <x v="194"/>
    <n v="105"/>
    <n v="30"/>
    <x v="4"/>
    <n v="0.62830377473502708"/>
    <x v="167"/>
    <x v="199"/>
  </r>
  <r>
    <n v="19509"/>
    <x v="46"/>
    <x v="9"/>
    <x v="6"/>
    <s v="DP"/>
    <x v="13"/>
    <s v="MALTADECOR 408"/>
    <s v="brown"/>
    <s v="M408"/>
    <m/>
    <m/>
    <s v="EU"/>
    <x v="0"/>
    <x v="4"/>
    <m/>
    <m/>
    <m/>
    <x v="0"/>
    <m/>
    <m/>
    <m/>
    <s v="ton"/>
    <x v="2"/>
    <x v="2"/>
    <n v="2510"/>
    <n v="2510"/>
    <n v="2510"/>
    <n v="2430"/>
    <n v="2430"/>
    <n v="2430"/>
    <n v="2260"/>
    <n v="2260"/>
    <n v="2260"/>
    <n v="1880"/>
    <n v="1880"/>
    <n v="1880"/>
    <n v="1880"/>
    <n v="1880"/>
    <n v="1880"/>
    <n v="1880"/>
    <n v="1880"/>
    <n v="1880"/>
    <n v="2110"/>
    <n v="2160"/>
    <n v="2160"/>
    <n v="2160"/>
    <n v="2160"/>
    <n v="2160"/>
    <n v="2380"/>
    <n v="2380"/>
    <n v="1880"/>
    <n v="1880"/>
    <n v="1880"/>
    <n v="2500"/>
    <n v="2500"/>
    <n v="2500"/>
    <n v="2500"/>
    <n v="2350"/>
    <n v="2350"/>
    <n v="2350"/>
    <m/>
    <m/>
    <m/>
    <n v="2360"/>
    <n v="2360"/>
    <n v="2360"/>
    <n v="2650"/>
    <n v="2650"/>
    <n v="2650"/>
    <m/>
    <m/>
    <m/>
    <x v="134"/>
    <x v="2"/>
    <x v="103"/>
    <n v="2.65"/>
    <n v="15.635"/>
    <n v="0.14176320000000001"/>
    <n v="2.0325500000000001"/>
    <n v="0"/>
    <n v="9.1999999999999998E-2"/>
    <x v="152"/>
    <x v="195"/>
    <n v="105"/>
    <n v="30"/>
    <x v="4"/>
    <n v="0.67887020655528119"/>
    <x v="168"/>
    <x v="200"/>
  </r>
  <r>
    <n v="19509"/>
    <x v="46"/>
    <x v="9"/>
    <x v="6"/>
    <s v="DP"/>
    <x v="13"/>
    <s v="MALTADECOR 408"/>
    <s v="brown"/>
    <s v="M408"/>
    <m/>
    <m/>
    <s v="EU"/>
    <x v="0"/>
    <x v="4"/>
    <m/>
    <m/>
    <m/>
    <x v="0"/>
    <m/>
    <m/>
    <m/>
    <s v="ton"/>
    <x v="1"/>
    <x v="2"/>
    <n v="3010"/>
    <n v="3010"/>
    <n v="3010"/>
    <n v="2930"/>
    <n v="2930"/>
    <n v="2930"/>
    <n v="2760"/>
    <n v="2760"/>
    <n v="2760"/>
    <n v="2560"/>
    <n v="2560"/>
    <n v="2560"/>
    <n v="2560"/>
    <n v="2560"/>
    <n v="2560"/>
    <n v="2560"/>
    <n v="2560"/>
    <n v="2560"/>
    <n v="2610"/>
    <n v="2660"/>
    <n v="2660"/>
    <n v="2660"/>
    <n v="2660"/>
    <n v="2660"/>
    <n v="2430"/>
    <n v="2430"/>
    <n v="1930"/>
    <n v="1930"/>
    <n v="1930"/>
    <n v="2550"/>
    <n v="2550"/>
    <n v="2550"/>
    <n v="2550"/>
    <n v="2400"/>
    <n v="2400"/>
    <n v="2400"/>
    <m/>
    <m/>
    <m/>
    <n v="2390"/>
    <n v="2390"/>
    <n v="2390"/>
    <n v="3150"/>
    <n v="3150"/>
    <n v="3150"/>
    <m/>
    <m/>
    <m/>
    <x v="135"/>
    <x v="2"/>
    <x v="104"/>
    <n v="3.15"/>
    <n v="18.585000000000001"/>
    <n v="0.14176320000000001"/>
    <n v="2.4160500000000003"/>
    <n v="0"/>
    <n v="9.1999999999999998E-2"/>
    <x v="153"/>
    <x v="196"/>
    <n v="105"/>
    <n v="30"/>
    <x v="4"/>
    <n v="0.80528628610591468"/>
    <x v="169"/>
    <x v="201"/>
  </r>
  <r>
    <n v="19510"/>
    <x v="19"/>
    <x v="12"/>
    <x v="6"/>
    <s v="DP"/>
    <x v="13"/>
    <s v="MALTADECOR 0104"/>
    <s v="white"/>
    <s v="M104"/>
    <m/>
    <m/>
    <s v="EU"/>
    <x v="0"/>
    <x v="4"/>
    <m/>
    <m/>
    <m/>
    <x v="0"/>
    <m/>
    <m/>
    <m/>
    <s v="ton"/>
    <x v="15"/>
    <x v="2"/>
    <n v="2500"/>
    <n v="2500"/>
    <n v="2500"/>
    <n v="2500"/>
    <n v="2500"/>
    <n v="2500"/>
    <n v="2200"/>
    <n v="2200"/>
    <n v="2200"/>
    <n v="1950"/>
    <n v="1950"/>
    <n v="1950"/>
    <n v="1950"/>
    <n v="1950"/>
    <n v="1950"/>
    <n v="1900"/>
    <n v="1900"/>
    <n v="1900"/>
    <n v="1970"/>
    <n v="1970"/>
    <n v="1970"/>
    <n v="1970"/>
    <m/>
    <m/>
    <n v="2660"/>
    <n v="2660"/>
    <n v="2160"/>
    <n v="2160"/>
    <n v="2160"/>
    <m/>
    <m/>
    <m/>
    <m/>
    <m/>
    <n v="1660"/>
    <n v="1660"/>
    <m/>
    <m/>
    <m/>
    <m/>
    <m/>
    <m/>
    <m/>
    <m/>
    <m/>
    <m/>
    <m/>
    <m/>
    <x v="136"/>
    <x v="7"/>
    <x v="12"/>
    <n v="1.66"/>
    <n v="9.7940000000000005"/>
    <n v="0.14176320000000001"/>
    <n v="1.27322"/>
    <n v="0"/>
    <n v="9.1999999999999998E-2"/>
    <x v="154"/>
    <x v="197"/>
    <n v="105"/>
    <n v="30"/>
    <x v="4"/>
    <n v="0.42856636904502388"/>
    <x v="170"/>
    <x v="202"/>
  </r>
  <r>
    <n v="19510"/>
    <x v="19"/>
    <x v="12"/>
    <x v="6"/>
    <s v="DP"/>
    <x v="13"/>
    <s v="MALTADECOR 0104"/>
    <s v="white"/>
    <s v="M104"/>
    <m/>
    <m/>
    <s v="EU"/>
    <x v="0"/>
    <x v="4"/>
    <m/>
    <m/>
    <m/>
    <x v="0"/>
    <m/>
    <m/>
    <m/>
    <s v="ton"/>
    <x v="20"/>
    <x v="2"/>
    <n v="2500"/>
    <n v="2500"/>
    <n v="2500"/>
    <n v="2500"/>
    <n v="2500"/>
    <n v="2500"/>
    <n v="2200"/>
    <n v="2200"/>
    <n v="2200"/>
    <n v="1950"/>
    <n v="1950"/>
    <n v="1950"/>
    <n v="1950"/>
    <n v="1950"/>
    <n v="1950"/>
    <n v="1950"/>
    <n v="1950"/>
    <n v="1950"/>
    <n v="1950"/>
    <n v="2050"/>
    <n v="2050"/>
    <n v="2050"/>
    <n v="2050"/>
    <n v="2050"/>
    <n v="2660"/>
    <n v="2660"/>
    <n v="2160"/>
    <n v="2160"/>
    <n v="2160"/>
    <m/>
    <m/>
    <m/>
    <m/>
    <n v="1850"/>
    <n v="1850"/>
    <n v="1850"/>
    <m/>
    <m/>
    <m/>
    <n v="1650"/>
    <n v="1650"/>
    <n v="1650"/>
    <n v="1650"/>
    <n v="1650"/>
    <n v="1650"/>
    <m/>
    <m/>
    <m/>
    <x v="124"/>
    <x v="2"/>
    <x v="105"/>
    <n v="1.65"/>
    <n v="9.7349999999999994"/>
    <n v="0.14176320000000001"/>
    <n v="1.26555"/>
    <n v="0"/>
    <n v="9.1999999999999998E-2"/>
    <x v="155"/>
    <x v="198"/>
    <n v="105"/>
    <n v="30"/>
    <x v="4"/>
    <n v="0.42603804745401064"/>
    <x v="171"/>
    <x v="203"/>
  </r>
  <r>
    <n v="19510"/>
    <x v="19"/>
    <x v="12"/>
    <x v="6"/>
    <s v="DP"/>
    <x v="13"/>
    <s v="MALTADECOR 0104"/>
    <s v="white"/>
    <s v="M104"/>
    <m/>
    <m/>
    <s v="EU"/>
    <x v="0"/>
    <x v="4"/>
    <m/>
    <m/>
    <m/>
    <x v="0"/>
    <m/>
    <m/>
    <m/>
    <s v="ton"/>
    <x v="2"/>
    <x v="2"/>
    <n v="2700"/>
    <n v="2700"/>
    <n v="2700"/>
    <n v="2700"/>
    <n v="2700"/>
    <n v="2700"/>
    <n v="2400"/>
    <n v="2400"/>
    <n v="2400"/>
    <n v="2150"/>
    <n v="2150"/>
    <n v="2150"/>
    <n v="2150"/>
    <n v="2150"/>
    <n v="2150"/>
    <n v="2150"/>
    <n v="2150"/>
    <n v="2150"/>
    <n v="2150"/>
    <n v="2250"/>
    <n v="2250"/>
    <n v="2250"/>
    <n v="2250"/>
    <n v="2250"/>
    <n v="2680"/>
    <n v="2680"/>
    <n v="2180"/>
    <n v="2180"/>
    <n v="2180"/>
    <m/>
    <m/>
    <m/>
    <m/>
    <n v="1870"/>
    <n v="1870"/>
    <n v="1870"/>
    <m/>
    <m/>
    <m/>
    <n v="1670"/>
    <n v="1670"/>
    <n v="1670"/>
    <n v="1850"/>
    <n v="1850"/>
    <n v="1850"/>
    <m/>
    <m/>
    <m/>
    <x v="137"/>
    <x v="2"/>
    <x v="106"/>
    <n v="1.85"/>
    <n v="10.915000000000001"/>
    <n v="0.14176320000000001"/>
    <n v="1.4189500000000002"/>
    <n v="0"/>
    <n v="9.1999999999999998E-2"/>
    <x v="156"/>
    <x v="199"/>
    <n v="105"/>
    <n v="30"/>
    <x v="4"/>
    <n v="0.47660447927426475"/>
    <x v="172"/>
    <x v="204"/>
  </r>
  <r>
    <n v="19510"/>
    <x v="19"/>
    <x v="12"/>
    <x v="6"/>
    <s v="DP"/>
    <x v="13"/>
    <s v="MALTADECOR 0104"/>
    <s v="white"/>
    <s v="M104"/>
    <m/>
    <m/>
    <s v="EU"/>
    <x v="0"/>
    <x v="4"/>
    <m/>
    <m/>
    <m/>
    <x v="0"/>
    <m/>
    <m/>
    <m/>
    <s v="ton"/>
    <x v="1"/>
    <x v="2"/>
    <n v="3200"/>
    <n v="3200"/>
    <n v="3200"/>
    <n v="3200"/>
    <n v="3200"/>
    <n v="3200"/>
    <n v="2900"/>
    <n v="2900"/>
    <n v="2900"/>
    <n v="2650"/>
    <n v="2650"/>
    <n v="2650"/>
    <n v="2650"/>
    <n v="2650"/>
    <n v="2650"/>
    <n v="2650"/>
    <n v="2650"/>
    <n v="2650"/>
    <n v="2650"/>
    <n v="2750"/>
    <n v="2750"/>
    <n v="2750"/>
    <n v="2750"/>
    <n v="2750"/>
    <n v="2730"/>
    <n v="2730"/>
    <n v="2230"/>
    <n v="2230"/>
    <n v="2230"/>
    <m/>
    <m/>
    <m/>
    <m/>
    <n v="1920"/>
    <n v="1920"/>
    <n v="1920"/>
    <m/>
    <m/>
    <m/>
    <n v="1720"/>
    <n v="1720"/>
    <n v="1720"/>
    <n v="2350"/>
    <n v="2350"/>
    <n v="2350"/>
    <m/>
    <m/>
    <m/>
    <x v="37"/>
    <x v="2"/>
    <x v="107"/>
    <n v="2.35"/>
    <n v="13.865000000000002"/>
    <n v="0.14176320000000001"/>
    <n v="1.8024500000000003"/>
    <n v="0"/>
    <n v="9.1999999999999998E-2"/>
    <x v="37"/>
    <x v="200"/>
    <n v="105"/>
    <n v="30"/>
    <x v="4"/>
    <n v="0.60302055882490002"/>
    <x v="173"/>
    <x v="205"/>
  </r>
  <r>
    <n v="19517"/>
    <x v="19"/>
    <x v="3"/>
    <x v="6"/>
    <s v="DP"/>
    <x v="13"/>
    <s v="MALTADECOR M104"/>
    <s v="white"/>
    <s v="M104"/>
    <m/>
    <m/>
    <s v="EU"/>
    <x v="0"/>
    <x v="4"/>
    <m/>
    <m/>
    <m/>
    <x v="0"/>
    <m/>
    <m/>
    <m/>
    <s v="ton"/>
    <x v="15"/>
    <x v="2"/>
    <n v="2530"/>
    <n v="2530"/>
    <n v="2530"/>
    <n v="2530"/>
    <n v="2530"/>
    <n v="2530"/>
    <n v="2430"/>
    <n v="2430"/>
    <n v="2430"/>
    <n v="2050"/>
    <n v="2050"/>
    <n v="2050"/>
    <n v="2050"/>
    <n v="2050"/>
    <n v="2050"/>
    <n v="2050"/>
    <n v="2050"/>
    <n v="2050"/>
    <n v="2000"/>
    <m/>
    <m/>
    <m/>
    <m/>
    <m/>
    <n v="2660"/>
    <n v="2660"/>
    <n v="2160"/>
    <n v="2160"/>
    <n v="2160"/>
    <m/>
    <m/>
    <m/>
    <m/>
    <m/>
    <m/>
    <m/>
    <m/>
    <m/>
    <m/>
    <m/>
    <m/>
    <m/>
    <m/>
    <m/>
    <m/>
    <m/>
    <m/>
    <m/>
    <x v="104"/>
    <x v="15"/>
    <x v="0"/>
    <n v="2.16"/>
    <n v="12.744000000000002"/>
    <n v="0.14176320000000001"/>
    <n v="1.6567200000000002"/>
    <n v="0"/>
    <n v="9.1999999999999998E-2"/>
    <x v="118"/>
    <x v="201"/>
    <n v="105"/>
    <n v="30"/>
    <x v="4"/>
    <n v="0.55498244859565737"/>
    <x v="174"/>
    <x v="206"/>
  </r>
  <r>
    <n v="19517"/>
    <x v="19"/>
    <x v="3"/>
    <x v="6"/>
    <s v="DP"/>
    <x v="13"/>
    <s v="MALTADECOR M104"/>
    <s v="white"/>
    <s v="M104"/>
    <m/>
    <m/>
    <s v="EU"/>
    <x v="0"/>
    <x v="4"/>
    <m/>
    <m/>
    <m/>
    <x v="0"/>
    <m/>
    <m/>
    <m/>
    <s v="ton"/>
    <x v="20"/>
    <x v="2"/>
    <n v="2530"/>
    <n v="2530"/>
    <n v="2530"/>
    <n v="2530"/>
    <n v="2530"/>
    <n v="2530"/>
    <n v="2430"/>
    <n v="2430"/>
    <n v="2430"/>
    <n v="2050"/>
    <n v="2050"/>
    <n v="2050"/>
    <n v="2050"/>
    <n v="2050"/>
    <n v="2050"/>
    <n v="2050"/>
    <n v="2050"/>
    <n v="2050"/>
    <n v="2030"/>
    <n v="2160"/>
    <n v="2160"/>
    <n v="2160"/>
    <n v="2160"/>
    <n v="2160"/>
    <n v="2660"/>
    <n v="2660"/>
    <n v="2160"/>
    <n v="2160"/>
    <n v="2160"/>
    <m/>
    <m/>
    <m/>
    <m/>
    <n v="2130"/>
    <n v="2130"/>
    <n v="2130"/>
    <m/>
    <m/>
    <m/>
    <n v="2690"/>
    <n v="2690"/>
    <n v="2690"/>
    <n v="2250"/>
    <n v="2250"/>
    <n v="2250"/>
    <m/>
    <m/>
    <m/>
    <x v="138"/>
    <x v="2"/>
    <x v="108"/>
    <n v="2.25"/>
    <n v="13.275"/>
    <n v="0.14176320000000001"/>
    <n v="1.7257500000000001"/>
    <n v="0"/>
    <n v="9.1999999999999998E-2"/>
    <x v="157"/>
    <x v="202"/>
    <n v="105"/>
    <n v="30"/>
    <x v="4"/>
    <n v="0.57773734291477297"/>
    <x v="175"/>
    <x v="207"/>
  </r>
  <r>
    <n v="19517"/>
    <x v="19"/>
    <x v="3"/>
    <x v="6"/>
    <s v="DP"/>
    <x v="13"/>
    <s v="MALTADECOR M104"/>
    <s v="white"/>
    <s v="M104"/>
    <m/>
    <m/>
    <s v="EU"/>
    <x v="0"/>
    <x v="4"/>
    <m/>
    <m/>
    <m/>
    <x v="0"/>
    <m/>
    <m/>
    <m/>
    <s v="ton"/>
    <x v="2"/>
    <x v="2"/>
    <n v="2730"/>
    <n v="2730"/>
    <n v="2730"/>
    <n v="2730"/>
    <n v="2730"/>
    <n v="2730"/>
    <n v="2630"/>
    <n v="2630"/>
    <n v="2630"/>
    <n v="2250"/>
    <n v="2250"/>
    <n v="2250"/>
    <n v="2250"/>
    <n v="2250"/>
    <n v="2250"/>
    <n v="2250"/>
    <n v="2250"/>
    <n v="2250"/>
    <n v="2200"/>
    <n v="2360"/>
    <n v="2360"/>
    <n v="2360"/>
    <n v="2360"/>
    <n v="2360"/>
    <n v="2680"/>
    <n v="2680"/>
    <n v="2180"/>
    <n v="2180"/>
    <n v="2180"/>
    <m/>
    <m/>
    <m/>
    <m/>
    <n v="2150"/>
    <n v="2150"/>
    <n v="2150"/>
    <m/>
    <m/>
    <m/>
    <n v="2710"/>
    <n v="2710"/>
    <n v="2710"/>
    <n v="2450"/>
    <n v="2450"/>
    <n v="2450"/>
    <m/>
    <m/>
    <m/>
    <x v="22"/>
    <x v="2"/>
    <x v="109"/>
    <n v="2.4500000000000002"/>
    <n v="14.455000000000002"/>
    <n v="0.14176320000000001"/>
    <n v="1.8791500000000003"/>
    <n v="0"/>
    <n v="9.1999999999999998E-2"/>
    <x v="22"/>
    <x v="203"/>
    <n v="105"/>
    <n v="30"/>
    <x v="4"/>
    <n v="0.62830377473502708"/>
    <x v="167"/>
    <x v="208"/>
  </r>
  <r>
    <n v="19517"/>
    <x v="19"/>
    <x v="3"/>
    <x v="6"/>
    <s v="DP"/>
    <x v="13"/>
    <s v="MALTADECOR M104"/>
    <s v="white"/>
    <s v="M104"/>
    <m/>
    <m/>
    <s v="EU"/>
    <x v="0"/>
    <x v="4"/>
    <m/>
    <m/>
    <m/>
    <x v="0"/>
    <m/>
    <m/>
    <m/>
    <s v="ton"/>
    <x v="1"/>
    <x v="2"/>
    <n v="3230"/>
    <n v="3230"/>
    <n v="3230"/>
    <n v="3230"/>
    <n v="3230"/>
    <n v="3230"/>
    <n v="3130"/>
    <n v="3130"/>
    <n v="3130"/>
    <n v="2750"/>
    <n v="2750"/>
    <n v="2750"/>
    <n v="2750"/>
    <n v="2750"/>
    <n v="2750"/>
    <n v="2750"/>
    <n v="2750"/>
    <n v="2750"/>
    <n v="2700"/>
    <n v="2860"/>
    <n v="2860"/>
    <n v="2860"/>
    <n v="2860"/>
    <n v="2860"/>
    <n v="2730"/>
    <n v="2730"/>
    <n v="2230"/>
    <n v="2230"/>
    <n v="2230"/>
    <m/>
    <m/>
    <m/>
    <m/>
    <n v="2200"/>
    <n v="2200"/>
    <n v="2200"/>
    <m/>
    <m/>
    <m/>
    <n v="2760"/>
    <n v="2760"/>
    <n v="2760"/>
    <n v="2950"/>
    <n v="2950"/>
    <n v="2950"/>
    <m/>
    <m/>
    <m/>
    <x v="139"/>
    <x v="2"/>
    <x v="110"/>
    <n v="2.95"/>
    <n v="17.405000000000001"/>
    <n v="0.14176320000000001"/>
    <n v="2.2626500000000003"/>
    <n v="0"/>
    <n v="9.1999999999999998E-2"/>
    <x v="158"/>
    <x v="204"/>
    <n v="105"/>
    <n v="30"/>
    <x v="4"/>
    <n v="0.75471985428566057"/>
    <x v="176"/>
    <x v="209"/>
  </r>
  <r>
    <n v="19519"/>
    <x v="25"/>
    <x v="9"/>
    <x v="6"/>
    <s v="DP"/>
    <x v="13"/>
    <s v="MALTADECOR 0248"/>
    <s v="gray"/>
    <s v="U248"/>
    <m/>
    <m/>
    <s v="EU"/>
    <x v="0"/>
    <x v="4"/>
    <m/>
    <m/>
    <m/>
    <x v="0"/>
    <m/>
    <m/>
    <m/>
    <s v="ton"/>
    <x v="20"/>
    <x v="2"/>
    <n v="2840"/>
    <n v="2840"/>
    <n v="2840"/>
    <n v="2740"/>
    <n v="2740"/>
    <n v="2740"/>
    <n v="2540"/>
    <n v="2540"/>
    <n v="2540"/>
    <n v="2400"/>
    <n v="1800"/>
    <n v="1800"/>
    <n v="1800"/>
    <n v="1800"/>
    <n v="1800"/>
    <n v="1800"/>
    <n v="1800"/>
    <n v="1800"/>
    <n v="1960"/>
    <n v="2650"/>
    <n v="2650"/>
    <n v="2650"/>
    <n v="2650"/>
    <n v="2650"/>
    <n v="3000"/>
    <n v="3000"/>
    <n v="2500"/>
    <n v="2500"/>
    <n v="2500"/>
    <n v="2630"/>
    <n v="2630"/>
    <n v="2630"/>
    <n v="2630"/>
    <n v="2480"/>
    <n v="2480"/>
    <n v="2480"/>
    <m/>
    <m/>
    <m/>
    <n v="2450"/>
    <n v="2450"/>
    <n v="2450"/>
    <n v="2530"/>
    <n v="2530"/>
    <n v="2530"/>
    <m/>
    <m/>
    <m/>
    <x v="87"/>
    <x v="2"/>
    <x v="111"/>
    <n v="2.5299999999999998"/>
    <n v="14.927"/>
    <n v="0.14176320000000001"/>
    <n v="1.94051"/>
    <n v="0"/>
    <n v="9.1999999999999998E-2"/>
    <x v="97"/>
    <x v="192"/>
    <n v="105"/>
    <n v="30"/>
    <x v="4"/>
    <n v="0.64853034746312943"/>
    <x v="165"/>
    <x v="197"/>
  </r>
  <r>
    <n v="19519"/>
    <x v="25"/>
    <x v="9"/>
    <x v="6"/>
    <s v="DP"/>
    <x v="13"/>
    <s v="MALTADECOR 0248"/>
    <s v="gray"/>
    <s v="U248"/>
    <m/>
    <m/>
    <s v="EU"/>
    <x v="0"/>
    <x v="4"/>
    <m/>
    <m/>
    <m/>
    <x v="0"/>
    <m/>
    <m/>
    <m/>
    <s v="ton"/>
    <x v="2"/>
    <x v="2"/>
    <n v="3040"/>
    <n v="3040"/>
    <n v="3040"/>
    <n v="2940"/>
    <n v="2940"/>
    <n v="2940"/>
    <n v="2740"/>
    <n v="2740"/>
    <n v="2740"/>
    <n v="2600"/>
    <n v="2600"/>
    <n v="2600"/>
    <n v="2600"/>
    <n v="2600"/>
    <n v="2600"/>
    <n v="2600"/>
    <n v="2600"/>
    <n v="2600"/>
    <n v="2160"/>
    <n v="2850"/>
    <n v="2850"/>
    <n v="2850"/>
    <n v="2850"/>
    <n v="2850"/>
    <n v="3020"/>
    <n v="3020"/>
    <n v="2520"/>
    <n v="2520"/>
    <n v="2520"/>
    <n v="2650"/>
    <n v="2650"/>
    <n v="2650"/>
    <n v="2650"/>
    <n v="2500"/>
    <n v="2500"/>
    <n v="2500"/>
    <m/>
    <m/>
    <m/>
    <n v="2470"/>
    <n v="2470"/>
    <n v="2470"/>
    <n v="2730"/>
    <n v="2730"/>
    <n v="2730"/>
    <m/>
    <m/>
    <m/>
    <x v="140"/>
    <x v="2"/>
    <x v="112"/>
    <n v="2.73"/>
    <n v="16.106999999999999"/>
    <n v="0.14176320000000001"/>
    <n v="2.0939100000000002"/>
    <n v="0"/>
    <n v="9.1999999999999998E-2"/>
    <x v="159"/>
    <x v="205"/>
    <n v="105"/>
    <n v="30"/>
    <x v="4"/>
    <n v="0.69909677928337999"/>
    <x v="177"/>
    <x v="210"/>
  </r>
  <r>
    <n v="19519"/>
    <x v="25"/>
    <x v="9"/>
    <x v="6"/>
    <s v="DP"/>
    <x v="13"/>
    <s v="MALTADECOR 0248"/>
    <s v="gray"/>
    <s v="U248"/>
    <m/>
    <m/>
    <s v="EU"/>
    <x v="0"/>
    <x v="4"/>
    <m/>
    <m/>
    <m/>
    <x v="0"/>
    <m/>
    <m/>
    <m/>
    <s v="ton"/>
    <x v="1"/>
    <x v="2"/>
    <n v="3540"/>
    <n v="3540"/>
    <n v="3540"/>
    <n v="3440"/>
    <n v="3440"/>
    <n v="3440"/>
    <n v="3240"/>
    <n v="3240"/>
    <n v="3240"/>
    <n v="3100"/>
    <n v="3100"/>
    <n v="3100"/>
    <n v="3100"/>
    <n v="3100"/>
    <n v="3100"/>
    <n v="3100"/>
    <n v="3100"/>
    <n v="3100"/>
    <n v="2660"/>
    <n v="3350"/>
    <n v="3350"/>
    <n v="3350"/>
    <n v="3350"/>
    <n v="3350"/>
    <n v="3070"/>
    <n v="3070"/>
    <n v="2570"/>
    <n v="2570"/>
    <n v="2570"/>
    <n v="2700"/>
    <n v="2700"/>
    <n v="2700"/>
    <n v="2700"/>
    <n v="2550"/>
    <n v="2550"/>
    <n v="2550"/>
    <m/>
    <m/>
    <m/>
    <n v="2500"/>
    <n v="2500"/>
    <n v="2500"/>
    <n v="3230"/>
    <n v="3230"/>
    <n v="3230"/>
    <m/>
    <m/>
    <m/>
    <x v="141"/>
    <x v="2"/>
    <x v="113"/>
    <n v="3.23"/>
    <n v="19.057000000000002"/>
    <n v="0.14176320000000001"/>
    <n v="2.4774100000000003"/>
    <n v="0"/>
    <n v="9.1999999999999998E-2"/>
    <x v="160"/>
    <x v="206"/>
    <n v="105"/>
    <n v="30"/>
    <x v="4"/>
    <n v="0.82551285883401704"/>
    <x v="178"/>
    <x v="211"/>
  </r>
  <r>
    <n v="19521"/>
    <x v="19"/>
    <x v="12"/>
    <x v="12"/>
    <s v="IP"/>
    <x v="13"/>
    <s v="MALTADECOR 0104"/>
    <s v="white"/>
    <s v="M104"/>
    <m/>
    <m/>
    <s v="EU"/>
    <x v="0"/>
    <x v="4"/>
    <m/>
    <m/>
    <m/>
    <x v="0"/>
    <m/>
    <m/>
    <m/>
    <s v="ton"/>
    <x v="15"/>
    <x v="2"/>
    <n v="2500"/>
    <n v="2500"/>
    <n v="2500"/>
    <n v="2500"/>
    <n v="2500"/>
    <n v="2500"/>
    <n v="2200"/>
    <n v="2200"/>
    <n v="2000"/>
    <n v="1950"/>
    <n v="1950"/>
    <n v="1950"/>
    <n v="1950"/>
    <n v="1950"/>
    <n v="1950"/>
    <n v="1900"/>
    <n v="1900"/>
    <n v="1900"/>
    <n v="1900"/>
    <n v="1900"/>
    <n v="1900"/>
    <n v="1900"/>
    <m/>
    <m/>
    <n v="2660"/>
    <n v="2660"/>
    <n v="2160"/>
    <n v="2160"/>
    <n v="2160"/>
    <m/>
    <m/>
    <m/>
    <m/>
    <m/>
    <n v="1660"/>
    <n v="1660"/>
    <m/>
    <m/>
    <m/>
    <m/>
    <m/>
    <m/>
    <m/>
    <m/>
    <m/>
    <m/>
    <m/>
    <m/>
    <x v="136"/>
    <x v="7"/>
    <x v="12"/>
    <n v="1.66"/>
    <n v="9.7940000000000005"/>
    <n v="0.14176320000000001"/>
    <n v="1.27322"/>
    <n v="0"/>
    <n v="9.1999999999999998E-2"/>
    <x v="154"/>
    <x v="197"/>
    <n v="105"/>
    <n v="30"/>
    <x v="4"/>
    <n v="0.42856636904502388"/>
    <x v="170"/>
    <x v="202"/>
  </r>
  <r>
    <n v="19521"/>
    <x v="19"/>
    <x v="12"/>
    <x v="12"/>
    <s v="IP"/>
    <x v="13"/>
    <s v="MALTADECOR 0104"/>
    <s v="white"/>
    <s v="M104"/>
    <m/>
    <m/>
    <s v="EU"/>
    <x v="0"/>
    <x v="4"/>
    <m/>
    <m/>
    <m/>
    <x v="0"/>
    <m/>
    <m/>
    <m/>
    <s v="ton"/>
    <x v="20"/>
    <x v="2"/>
    <n v="2500"/>
    <n v="2500"/>
    <n v="2500"/>
    <n v="2500"/>
    <n v="2500"/>
    <n v="2500"/>
    <n v="2200"/>
    <n v="2200"/>
    <n v="2000"/>
    <n v="1950"/>
    <n v="1950"/>
    <n v="1950"/>
    <n v="1950"/>
    <n v="1950"/>
    <n v="1950"/>
    <n v="1950"/>
    <n v="1950"/>
    <n v="1950"/>
    <n v="1950"/>
    <n v="2050"/>
    <n v="2050"/>
    <n v="2050"/>
    <n v="2050"/>
    <n v="2050"/>
    <n v="2660"/>
    <n v="2660"/>
    <n v="2160"/>
    <n v="2160"/>
    <n v="2160"/>
    <m/>
    <m/>
    <m/>
    <m/>
    <n v="1850"/>
    <n v="1850"/>
    <n v="1850"/>
    <m/>
    <m/>
    <m/>
    <n v="1650"/>
    <n v="1650"/>
    <n v="1650"/>
    <n v="1650"/>
    <n v="1650"/>
    <n v="1650"/>
    <m/>
    <m/>
    <m/>
    <x v="124"/>
    <x v="2"/>
    <x v="105"/>
    <n v="1.65"/>
    <n v="9.7349999999999994"/>
    <n v="0.14176320000000001"/>
    <n v="1.26555"/>
    <n v="0"/>
    <n v="9.1999999999999998E-2"/>
    <x v="155"/>
    <x v="198"/>
    <n v="105"/>
    <n v="30"/>
    <x v="4"/>
    <n v="0.42603804745401064"/>
    <x v="171"/>
    <x v="203"/>
  </r>
  <r>
    <n v="19521"/>
    <x v="19"/>
    <x v="12"/>
    <x v="12"/>
    <s v="IP"/>
    <x v="13"/>
    <s v="MALTADECOR 0104"/>
    <s v="white"/>
    <s v="M104"/>
    <m/>
    <m/>
    <s v="EU"/>
    <x v="0"/>
    <x v="4"/>
    <m/>
    <m/>
    <m/>
    <x v="0"/>
    <m/>
    <m/>
    <m/>
    <s v="ton"/>
    <x v="2"/>
    <x v="2"/>
    <n v="2700"/>
    <n v="2700"/>
    <n v="2700"/>
    <n v="2700"/>
    <n v="2700"/>
    <n v="2700"/>
    <n v="2400"/>
    <n v="2400"/>
    <n v="2400"/>
    <n v="2150"/>
    <n v="2150"/>
    <n v="2150"/>
    <n v="2150"/>
    <n v="2150"/>
    <n v="2150"/>
    <n v="2150"/>
    <n v="2150"/>
    <n v="2150"/>
    <n v="2150"/>
    <n v="2250"/>
    <n v="2250"/>
    <n v="2250"/>
    <n v="2250"/>
    <n v="2250"/>
    <n v="2680"/>
    <n v="2680"/>
    <n v="2180"/>
    <n v="2180"/>
    <n v="2180"/>
    <m/>
    <m/>
    <m/>
    <m/>
    <n v="1870"/>
    <n v="1870"/>
    <n v="1870"/>
    <m/>
    <m/>
    <m/>
    <n v="1670"/>
    <n v="1670"/>
    <n v="1670"/>
    <n v="1850"/>
    <n v="1850"/>
    <n v="1850"/>
    <m/>
    <m/>
    <m/>
    <x v="137"/>
    <x v="2"/>
    <x v="106"/>
    <n v="1.85"/>
    <n v="10.915000000000001"/>
    <n v="0.14176320000000001"/>
    <n v="1.4189500000000002"/>
    <n v="0"/>
    <n v="9.1999999999999998E-2"/>
    <x v="156"/>
    <x v="199"/>
    <n v="105"/>
    <n v="30"/>
    <x v="4"/>
    <n v="0.47660447927426475"/>
    <x v="172"/>
    <x v="204"/>
  </r>
  <r>
    <n v="19521"/>
    <x v="19"/>
    <x v="12"/>
    <x v="12"/>
    <s v="IP"/>
    <x v="13"/>
    <s v="MALTADECOR 0104"/>
    <s v="white"/>
    <s v="M104"/>
    <m/>
    <m/>
    <s v="EU"/>
    <x v="0"/>
    <x v="4"/>
    <m/>
    <m/>
    <m/>
    <x v="0"/>
    <m/>
    <m/>
    <m/>
    <s v="ton"/>
    <x v="1"/>
    <x v="2"/>
    <n v="3200"/>
    <n v="3200"/>
    <n v="3200"/>
    <n v="3200"/>
    <n v="3200"/>
    <n v="3200"/>
    <n v="2900"/>
    <n v="2900"/>
    <n v="2900"/>
    <n v="2650"/>
    <n v="2650"/>
    <n v="2650"/>
    <n v="2650"/>
    <n v="2650"/>
    <n v="2650"/>
    <n v="2650"/>
    <n v="2650"/>
    <n v="2650"/>
    <n v="2650"/>
    <n v="2750"/>
    <n v="2750"/>
    <n v="2750"/>
    <n v="2750"/>
    <n v="2750"/>
    <n v="2730"/>
    <n v="2730"/>
    <n v="2230"/>
    <n v="2230"/>
    <n v="2230"/>
    <m/>
    <m/>
    <m/>
    <m/>
    <n v="1920"/>
    <n v="1920"/>
    <n v="1920"/>
    <m/>
    <m/>
    <m/>
    <n v="1720"/>
    <n v="1720"/>
    <n v="1720"/>
    <n v="2350"/>
    <n v="2350"/>
    <n v="2350"/>
    <m/>
    <m/>
    <m/>
    <x v="37"/>
    <x v="2"/>
    <x v="107"/>
    <n v="2.35"/>
    <n v="13.865000000000002"/>
    <n v="0.14176320000000001"/>
    <n v="1.8024500000000003"/>
    <n v="0"/>
    <n v="9.1999999999999998E-2"/>
    <x v="37"/>
    <x v="200"/>
    <n v="105"/>
    <n v="30"/>
    <x v="4"/>
    <n v="0.60302055882490002"/>
    <x v="173"/>
    <x v="205"/>
  </r>
  <r>
    <n v="19522"/>
    <x v="19"/>
    <x v="3"/>
    <x v="15"/>
    <s v="DP"/>
    <x v="13"/>
    <s v="MALTADECOR M104"/>
    <s v="white"/>
    <s v="M104"/>
    <m/>
    <m/>
    <s v="EU"/>
    <x v="0"/>
    <x v="4"/>
    <m/>
    <m/>
    <m/>
    <x v="0"/>
    <m/>
    <m/>
    <m/>
    <s v="ton"/>
    <x v="20"/>
    <x v="2"/>
    <n v="2530"/>
    <n v="2530"/>
    <n v="2530"/>
    <n v="2530"/>
    <n v="2530"/>
    <n v="2530"/>
    <n v="2430"/>
    <n v="2430"/>
    <n v="2430"/>
    <n v="2050"/>
    <n v="2050"/>
    <n v="2050"/>
    <n v="2050"/>
    <n v="2050"/>
    <n v="2050"/>
    <n v="2050"/>
    <n v="2050"/>
    <n v="2050"/>
    <n v="2030"/>
    <n v="2160"/>
    <n v="2160"/>
    <n v="2160"/>
    <n v="2160"/>
    <n v="2160"/>
    <n v="2660"/>
    <n v="2660"/>
    <n v="2160"/>
    <n v="2160"/>
    <n v="2160"/>
    <m/>
    <m/>
    <m/>
    <m/>
    <n v="2130"/>
    <n v="2130"/>
    <n v="2130"/>
    <m/>
    <m/>
    <m/>
    <n v="2690"/>
    <n v="2690"/>
    <n v="2690"/>
    <n v="2250"/>
    <n v="2250"/>
    <n v="2250"/>
    <m/>
    <m/>
    <m/>
    <x v="138"/>
    <x v="2"/>
    <x v="108"/>
    <n v="2.25"/>
    <n v="13.275"/>
    <n v="0.14176320000000001"/>
    <n v="1.7257500000000001"/>
    <n v="0"/>
    <n v="9.1999999999999998E-2"/>
    <x v="157"/>
    <x v="202"/>
    <n v="105"/>
    <n v="30"/>
    <x v="4"/>
    <n v="0.57773734291477297"/>
    <x v="175"/>
    <x v="207"/>
  </r>
  <r>
    <n v="19522"/>
    <x v="19"/>
    <x v="3"/>
    <x v="15"/>
    <s v="DP"/>
    <x v="13"/>
    <s v="MALTADECOR M104"/>
    <s v="white"/>
    <s v="M104"/>
    <m/>
    <m/>
    <s v="EU"/>
    <x v="0"/>
    <x v="4"/>
    <m/>
    <m/>
    <m/>
    <x v="0"/>
    <m/>
    <m/>
    <m/>
    <s v="ton"/>
    <x v="2"/>
    <x v="2"/>
    <n v="2730"/>
    <n v="2730"/>
    <n v="2730"/>
    <n v="2730"/>
    <n v="2730"/>
    <n v="2730"/>
    <n v="2630"/>
    <n v="2630"/>
    <n v="2630"/>
    <n v="2250"/>
    <n v="2250"/>
    <n v="2250"/>
    <n v="2250"/>
    <n v="2250"/>
    <n v="2250"/>
    <n v="2250"/>
    <n v="2250"/>
    <n v="2250"/>
    <n v="2200"/>
    <n v="2360"/>
    <n v="2360"/>
    <n v="2360"/>
    <n v="2360"/>
    <n v="2360"/>
    <n v="2680"/>
    <n v="2680"/>
    <n v="2180"/>
    <n v="2180"/>
    <n v="2180"/>
    <m/>
    <m/>
    <m/>
    <m/>
    <n v="2150"/>
    <n v="2150"/>
    <n v="2150"/>
    <m/>
    <m/>
    <m/>
    <n v="2710"/>
    <n v="2710"/>
    <n v="2710"/>
    <n v="2450"/>
    <n v="2450"/>
    <n v="2450"/>
    <m/>
    <m/>
    <m/>
    <x v="22"/>
    <x v="2"/>
    <x v="109"/>
    <n v="2.4500000000000002"/>
    <n v="14.455000000000002"/>
    <n v="0.14176320000000001"/>
    <n v="1.8791500000000003"/>
    <n v="0"/>
    <n v="9.1999999999999998E-2"/>
    <x v="22"/>
    <x v="203"/>
    <n v="105"/>
    <n v="30"/>
    <x v="4"/>
    <n v="0.62830377473502708"/>
    <x v="167"/>
    <x v="208"/>
  </r>
  <r>
    <n v="19522"/>
    <x v="19"/>
    <x v="3"/>
    <x v="15"/>
    <s v="DP"/>
    <x v="13"/>
    <s v="MALTADECOR M104"/>
    <s v="white"/>
    <s v="M104"/>
    <m/>
    <m/>
    <s v="EU"/>
    <x v="0"/>
    <x v="4"/>
    <m/>
    <m/>
    <m/>
    <x v="0"/>
    <m/>
    <m/>
    <m/>
    <s v="ton"/>
    <x v="1"/>
    <x v="2"/>
    <n v="3230"/>
    <n v="3230"/>
    <n v="3230"/>
    <n v="3230"/>
    <n v="3230"/>
    <n v="3230"/>
    <n v="3130"/>
    <n v="3130"/>
    <n v="3130"/>
    <n v="2750"/>
    <n v="2750"/>
    <n v="2750"/>
    <n v="2750"/>
    <n v="2750"/>
    <n v="2750"/>
    <n v="2750"/>
    <n v="2750"/>
    <n v="2750"/>
    <n v="2700"/>
    <n v="2860"/>
    <n v="2860"/>
    <n v="2860"/>
    <n v="2860"/>
    <n v="2860"/>
    <n v="2730"/>
    <n v="2730"/>
    <n v="2230"/>
    <n v="2230"/>
    <n v="2230"/>
    <m/>
    <m/>
    <m/>
    <m/>
    <n v="2200"/>
    <n v="2200"/>
    <n v="2200"/>
    <m/>
    <m/>
    <m/>
    <n v="2760"/>
    <n v="2760"/>
    <n v="2760"/>
    <n v="2950"/>
    <n v="2950"/>
    <n v="2950"/>
    <m/>
    <m/>
    <m/>
    <x v="139"/>
    <x v="2"/>
    <x v="110"/>
    <n v="2.95"/>
    <n v="17.405000000000001"/>
    <n v="0.14176320000000001"/>
    <n v="2.2626500000000003"/>
    <n v="0"/>
    <n v="9.1999999999999998E-2"/>
    <x v="158"/>
    <x v="204"/>
    <n v="105"/>
    <n v="30"/>
    <x v="4"/>
    <n v="0.75471985428566057"/>
    <x v="176"/>
    <x v="209"/>
  </r>
  <r>
    <n v="19526"/>
    <x v="44"/>
    <x v="9"/>
    <x v="15"/>
    <s v="DP"/>
    <x v="13"/>
    <s v="MALTADECOR 128"/>
    <s v="white"/>
    <s v="M128"/>
    <m/>
    <m/>
    <s v="EU"/>
    <x v="0"/>
    <x v="4"/>
    <m/>
    <m/>
    <m/>
    <x v="0"/>
    <m/>
    <m/>
    <m/>
    <s v="ton"/>
    <x v="20"/>
    <x v="2"/>
    <n v="2280"/>
    <n v="2280"/>
    <n v="2280"/>
    <n v="2210"/>
    <n v="2210"/>
    <n v="2210"/>
    <n v="2060"/>
    <n v="2060"/>
    <n v="2060"/>
    <n v="1910"/>
    <n v="1910"/>
    <n v="1910"/>
    <n v="1910"/>
    <n v="1910"/>
    <n v="1910"/>
    <n v="1910"/>
    <n v="1910"/>
    <n v="1910"/>
    <n v="1960"/>
    <n v="2110"/>
    <n v="2110"/>
    <n v="2110"/>
    <n v="2110"/>
    <n v="2110"/>
    <n v="2510"/>
    <n v="2510"/>
    <n v="2010"/>
    <n v="2010"/>
    <n v="2010"/>
    <n v="2140"/>
    <n v="2140"/>
    <n v="2140"/>
    <n v="2140"/>
    <n v="1990"/>
    <n v="1990"/>
    <n v="1990"/>
    <m/>
    <m/>
    <m/>
    <n v="1960"/>
    <n v="1960"/>
    <n v="1960"/>
    <n v="2040"/>
    <n v="2040"/>
    <n v="2040"/>
    <m/>
    <m/>
    <m/>
    <x v="63"/>
    <x v="2"/>
    <x v="93"/>
    <n v="2.04"/>
    <n v="12.036000000000001"/>
    <n v="0.14176320000000001"/>
    <n v="1.5646800000000003"/>
    <n v="0"/>
    <n v="9.1999999999999998E-2"/>
    <x v="148"/>
    <x v="185"/>
    <n v="105"/>
    <n v="30"/>
    <x v="4"/>
    <n v="0.52464258950350562"/>
    <x v="158"/>
    <x v="190"/>
  </r>
  <r>
    <n v="19526"/>
    <x v="44"/>
    <x v="9"/>
    <x v="15"/>
    <s v="DP"/>
    <x v="13"/>
    <s v="MALTADECOR 128"/>
    <s v="white"/>
    <s v="M128"/>
    <m/>
    <m/>
    <s v="EU"/>
    <x v="0"/>
    <x v="4"/>
    <m/>
    <m/>
    <m/>
    <x v="0"/>
    <m/>
    <m/>
    <m/>
    <s v="ton"/>
    <x v="2"/>
    <x v="2"/>
    <n v="2480"/>
    <n v="2480"/>
    <n v="2480"/>
    <n v="2410"/>
    <n v="2410"/>
    <n v="2410"/>
    <n v="2260"/>
    <n v="2260"/>
    <n v="2260"/>
    <n v="2110"/>
    <n v="2110"/>
    <n v="2110"/>
    <n v="2110"/>
    <n v="2110"/>
    <n v="2110"/>
    <n v="2110"/>
    <n v="2110"/>
    <n v="2110"/>
    <n v="2160"/>
    <n v="2310"/>
    <n v="2310"/>
    <n v="2310"/>
    <n v="2310"/>
    <n v="2310"/>
    <n v="2530"/>
    <n v="2530"/>
    <n v="2030"/>
    <n v="2030"/>
    <n v="2030"/>
    <n v="2160"/>
    <n v="2160"/>
    <n v="2160"/>
    <n v="2160"/>
    <n v="2010"/>
    <n v="2010"/>
    <n v="2010"/>
    <m/>
    <m/>
    <m/>
    <n v="1980"/>
    <n v="1980"/>
    <n v="1980"/>
    <n v="2240"/>
    <n v="2240"/>
    <n v="2240"/>
    <m/>
    <m/>
    <m/>
    <x v="132"/>
    <x v="2"/>
    <x v="94"/>
    <n v="2.2400000000000002"/>
    <n v="13.216000000000003"/>
    <n v="0.14176320000000001"/>
    <n v="1.7180800000000005"/>
    <n v="0"/>
    <n v="9.1999999999999998E-2"/>
    <x v="149"/>
    <x v="186"/>
    <n v="105"/>
    <n v="30"/>
    <x v="4"/>
    <n v="0.57520902132375973"/>
    <x v="159"/>
    <x v="191"/>
  </r>
  <r>
    <n v="19526"/>
    <x v="44"/>
    <x v="9"/>
    <x v="15"/>
    <s v="DP"/>
    <x v="13"/>
    <s v="MALTADECOR 128"/>
    <s v="white"/>
    <s v="M128"/>
    <m/>
    <m/>
    <s v="EU"/>
    <x v="0"/>
    <x v="4"/>
    <m/>
    <m/>
    <m/>
    <x v="0"/>
    <m/>
    <m/>
    <m/>
    <s v="ton"/>
    <x v="1"/>
    <x v="2"/>
    <n v="2980"/>
    <n v="2980"/>
    <n v="2980"/>
    <n v="2910"/>
    <n v="2910"/>
    <n v="2910"/>
    <n v="2760"/>
    <n v="2760"/>
    <n v="2760"/>
    <n v="2610"/>
    <n v="2610"/>
    <n v="2610"/>
    <n v="2610"/>
    <n v="2610"/>
    <n v="2610"/>
    <n v="2610"/>
    <n v="2610"/>
    <n v="2610"/>
    <n v="2660"/>
    <n v="2810"/>
    <n v="2810"/>
    <n v="2810"/>
    <n v="2810"/>
    <n v="2810"/>
    <n v="2580"/>
    <n v="2580"/>
    <n v="2080"/>
    <n v="2080"/>
    <n v="2080"/>
    <n v="2210"/>
    <n v="2210"/>
    <n v="2210"/>
    <n v="2210"/>
    <n v="2060"/>
    <n v="2060"/>
    <n v="2060"/>
    <m/>
    <m/>
    <m/>
    <n v="2010"/>
    <n v="2010"/>
    <n v="2010"/>
    <n v="2740"/>
    <n v="2740"/>
    <n v="2740"/>
    <m/>
    <m/>
    <m/>
    <x v="93"/>
    <x v="2"/>
    <x v="95"/>
    <n v="2.74"/>
    <n v="16.166000000000004"/>
    <n v="0.14176320000000001"/>
    <n v="2.1015800000000007"/>
    <n v="0"/>
    <n v="9.1999999999999998E-2"/>
    <x v="104"/>
    <x v="187"/>
    <n v="105"/>
    <n v="30"/>
    <x v="4"/>
    <n v="0.701625100874395"/>
    <x v="160"/>
    <x v="192"/>
  </r>
  <r>
    <n v="19527"/>
    <x v="25"/>
    <x v="9"/>
    <x v="5"/>
    <s v="DP"/>
    <x v="13"/>
    <s v="MALTADECOR 0248"/>
    <s v="gray"/>
    <s v="U248"/>
    <m/>
    <m/>
    <s v="EU"/>
    <x v="0"/>
    <x v="4"/>
    <m/>
    <m/>
    <m/>
    <x v="0"/>
    <m/>
    <m/>
    <m/>
    <s v="ton"/>
    <x v="20"/>
    <x v="2"/>
    <n v="2840"/>
    <n v="2840"/>
    <n v="2840"/>
    <n v="2740"/>
    <n v="2740"/>
    <n v="2740"/>
    <n v="2540"/>
    <n v="2540"/>
    <n v="2540"/>
    <n v="2400"/>
    <n v="1800"/>
    <n v="1800"/>
    <n v="1800"/>
    <n v="1800"/>
    <n v="1800"/>
    <n v="1800"/>
    <n v="1800"/>
    <n v="1800"/>
    <n v="1960"/>
    <n v="2650"/>
    <n v="2650"/>
    <n v="2650"/>
    <n v="2650"/>
    <n v="2650"/>
    <n v="3000"/>
    <n v="3000"/>
    <n v="2500"/>
    <n v="2500"/>
    <n v="2500"/>
    <n v="2830"/>
    <n v="2830"/>
    <n v="2830"/>
    <n v="2830"/>
    <n v="2680"/>
    <n v="2680"/>
    <n v="2680"/>
    <m/>
    <m/>
    <m/>
    <n v="2650"/>
    <n v="2650"/>
    <n v="2650"/>
    <n v="2730"/>
    <n v="2730"/>
    <n v="2730"/>
    <m/>
    <m/>
    <m/>
    <x v="140"/>
    <x v="2"/>
    <x v="114"/>
    <n v="2.73"/>
    <n v="16.106999999999999"/>
    <n v="0.14176320000000001"/>
    <n v="2.0939100000000002"/>
    <n v="0"/>
    <n v="9.1999999999999998E-2"/>
    <x v="159"/>
    <x v="205"/>
    <n v="105"/>
    <n v="30"/>
    <x v="4"/>
    <n v="0.69909677928337999"/>
    <x v="177"/>
    <x v="210"/>
  </r>
  <r>
    <n v="19527"/>
    <x v="25"/>
    <x v="9"/>
    <x v="5"/>
    <s v="DP"/>
    <x v="13"/>
    <s v="MALTADECOR 0248"/>
    <s v="gray"/>
    <s v="U248"/>
    <m/>
    <m/>
    <s v="EU"/>
    <x v="0"/>
    <x v="4"/>
    <m/>
    <m/>
    <m/>
    <x v="0"/>
    <m/>
    <m/>
    <m/>
    <s v="ton"/>
    <x v="2"/>
    <x v="2"/>
    <n v="3040"/>
    <n v="3040"/>
    <n v="3040"/>
    <n v="2940"/>
    <n v="2940"/>
    <n v="2940"/>
    <n v="2740"/>
    <n v="2740"/>
    <n v="2740"/>
    <n v="2600"/>
    <n v="2600"/>
    <n v="2600"/>
    <n v="2600"/>
    <n v="2600"/>
    <n v="2600"/>
    <n v="2600"/>
    <n v="2600"/>
    <n v="2600"/>
    <n v="2160"/>
    <n v="2850"/>
    <n v="2850"/>
    <n v="2850"/>
    <n v="2850"/>
    <n v="2850"/>
    <n v="3020"/>
    <n v="3020"/>
    <n v="2520"/>
    <n v="2520"/>
    <n v="2520"/>
    <n v="2850"/>
    <n v="2850"/>
    <n v="2850"/>
    <n v="2850"/>
    <n v="2700"/>
    <n v="2700"/>
    <n v="2700"/>
    <m/>
    <m/>
    <m/>
    <n v="2670"/>
    <n v="2670"/>
    <n v="2670"/>
    <n v="2930"/>
    <n v="2930"/>
    <n v="2930"/>
    <m/>
    <m/>
    <m/>
    <x v="142"/>
    <x v="2"/>
    <x v="115"/>
    <n v="2.93"/>
    <n v="17.287000000000003"/>
    <n v="0.14176320000000001"/>
    <n v="2.2473100000000006"/>
    <n v="0"/>
    <n v="9.1999999999999998E-2"/>
    <x v="161"/>
    <x v="207"/>
    <n v="105"/>
    <n v="30"/>
    <x v="4"/>
    <n v="0.7496632111036341"/>
    <x v="179"/>
    <x v="212"/>
  </r>
  <r>
    <n v="19527"/>
    <x v="25"/>
    <x v="9"/>
    <x v="5"/>
    <s v="DP"/>
    <x v="13"/>
    <s v="MALTADECOR 0248"/>
    <s v="gray"/>
    <s v="U248"/>
    <m/>
    <m/>
    <s v="EU"/>
    <x v="0"/>
    <x v="4"/>
    <m/>
    <m/>
    <m/>
    <x v="0"/>
    <m/>
    <m/>
    <m/>
    <s v="ton"/>
    <x v="1"/>
    <x v="2"/>
    <n v="3540"/>
    <n v="3540"/>
    <n v="3540"/>
    <n v="3440"/>
    <n v="3440"/>
    <n v="3440"/>
    <n v="3240"/>
    <n v="3240"/>
    <n v="3240"/>
    <n v="3100"/>
    <n v="3100"/>
    <n v="3100"/>
    <n v="3100"/>
    <n v="3100"/>
    <n v="3100"/>
    <n v="3100"/>
    <n v="3100"/>
    <n v="3100"/>
    <n v="2660"/>
    <n v="3350"/>
    <n v="3350"/>
    <n v="3350"/>
    <n v="3350"/>
    <n v="3350"/>
    <n v="3070"/>
    <n v="3070"/>
    <n v="2570"/>
    <n v="2570"/>
    <n v="2570"/>
    <n v="2900"/>
    <n v="2900"/>
    <n v="2900"/>
    <n v="2900"/>
    <n v="2750"/>
    <n v="2750"/>
    <n v="2750"/>
    <m/>
    <m/>
    <m/>
    <n v="2700"/>
    <n v="2700"/>
    <n v="2700"/>
    <n v="3430"/>
    <n v="3430"/>
    <n v="3430"/>
    <m/>
    <m/>
    <m/>
    <x v="143"/>
    <x v="2"/>
    <x v="116"/>
    <n v="3.43"/>
    <n v="20.237000000000002"/>
    <n v="0.14176320000000001"/>
    <n v="2.6308100000000003"/>
    <n v="0"/>
    <n v="9.1999999999999998E-2"/>
    <x v="162"/>
    <x v="208"/>
    <n v="105"/>
    <n v="30"/>
    <x v="4"/>
    <n v="0.87607929065427115"/>
    <x v="180"/>
    <x v="213"/>
  </r>
  <r>
    <n v="19528"/>
    <x v="26"/>
    <x v="9"/>
    <x v="5"/>
    <s v="DP"/>
    <x v="13"/>
    <s v="MALTADECOR 244"/>
    <s v="beige"/>
    <s v="U244"/>
    <m/>
    <m/>
    <s v="EU"/>
    <x v="0"/>
    <x v="4"/>
    <m/>
    <m/>
    <m/>
    <x v="0"/>
    <m/>
    <m/>
    <m/>
    <s v="ton"/>
    <x v="20"/>
    <x v="2"/>
    <n v="2280"/>
    <n v="2280"/>
    <n v="2280"/>
    <n v="2130"/>
    <n v="2130"/>
    <n v="2130"/>
    <n v="2030"/>
    <n v="2030"/>
    <n v="2030"/>
    <n v="1830"/>
    <n v="1830"/>
    <n v="1830"/>
    <n v="1830"/>
    <n v="1830"/>
    <n v="1830"/>
    <n v="1830"/>
    <n v="1830"/>
    <n v="1830"/>
    <n v="1880"/>
    <n v="2080"/>
    <n v="2080"/>
    <n v="2080"/>
    <n v="2080"/>
    <n v="2080"/>
    <n v="2480"/>
    <n v="2480"/>
    <n v="1980"/>
    <n v="1980"/>
    <n v="1980"/>
    <n v="2310"/>
    <n v="2310"/>
    <n v="2310"/>
    <n v="2310"/>
    <n v="2220"/>
    <n v="2220"/>
    <n v="2220"/>
    <m/>
    <m/>
    <m/>
    <n v="2190"/>
    <n v="2190"/>
    <n v="2190"/>
    <n v="2270"/>
    <n v="2270"/>
    <n v="2270"/>
    <m/>
    <m/>
    <m/>
    <x v="46"/>
    <x v="2"/>
    <x v="117"/>
    <n v="2.27"/>
    <n v="13.393000000000001"/>
    <n v="0.14176320000000001"/>
    <n v="1.7410900000000002"/>
    <n v="0"/>
    <n v="9.1999999999999998E-2"/>
    <x v="150"/>
    <x v="189"/>
    <n v="105"/>
    <n v="30"/>
    <x v="4"/>
    <n v="0.58279398609679767"/>
    <x v="162"/>
    <x v="194"/>
  </r>
  <r>
    <n v="19528"/>
    <x v="26"/>
    <x v="9"/>
    <x v="5"/>
    <s v="DP"/>
    <x v="13"/>
    <s v="MALTADECOR 244"/>
    <s v="beige"/>
    <s v="U244"/>
    <m/>
    <m/>
    <s v="EU"/>
    <x v="0"/>
    <x v="4"/>
    <m/>
    <m/>
    <m/>
    <x v="0"/>
    <m/>
    <m/>
    <m/>
    <s v="ton"/>
    <x v="2"/>
    <x v="2"/>
    <n v="2480"/>
    <n v="2480"/>
    <n v="2480"/>
    <n v="2330"/>
    <n v="2330"/>
    <n v="2330"/>
    <n v="2230"/>
    <n v="2230"/>
    <n v="2230"/>
    <n v="2030"/>
    <n v="2030"/>
    <n v="2030"/>
    <n v="2030"/>
    <n v="2030"/>
    <n v="2030"/>
    <n v="2030"/>
    <n v="2030"/>
    <n v="2030"/>
    <n v="2080"/>
    <n v="2280"/>
    <n v="2280"/>
    <n v="2280"/>
    <n v="2280"/>
    <n v="2280"/>
    <n v="2500"/>
    <n v="2500"/>
    <n v="2000"/>
    <n v="2000"/>
    <n v="2000"/>
    <n v="2330"/>
    <n v="2330"/>
    <n v="2330"/>
    <n v="2330"/>
    <n v="2240"/>
    <n v="2240"/>
    <n v="2240"/>
    <m/>
    <m/>
    <m/>
    <n v="2210"/>
    <n v="2210"/>
    <n v="2210"/>
    <n v="2470"/>
    <n v="2470"/>
    <n v="2470"/>
    <m/>
    <m/>
    <m/>
    <x v="43"/>
    <x v="2"/>
    <x v="118"/>
    <n v="2.4700000000000002"/>
    <n v="14.573000000000002"/>
    <n v="0.14176320000000001"/>
    <n v="1.8944900000000005"/>
    <n v="0"/>
    <n v="9.1999999999999998E-2"/>
    <x v="43"/>
    <x v="209"/>
    <n v="105"/>
    <n v="30"/>
    <x v="4"/>
    <n v="0.63336041791705"/>
    <x v="181"/>
    <x v="214"/>
  </r>
  <r>
    <n v="19528"/>
    <x v="26"/>
    <x v="9"/>
    <x v="5"/>
    <s v="DP"/>
    <x v="13"/>
    <s v="MALTADECOR 244"/>
    <s v="beige"/>
    <s v="U244"/>
    <m/>
    <m/>
    <s v="EU"/>
    <x v="0"/>
    <x v="4"/>
    <m/>
    <m/>
    <m/>
    <x v="0"/>
    <m/>
    <m/>
    <m/>
    <s v="ton"/>
    <x v="1"/>
    <x v="2"/>
    <n v="2980"/>
    <n v="2980"/>
    <n v="2980"/>
    <n v="2830"/>
    <n v="2830"/>
    <n v="2830"/>
    <n v="2730"/>
    <n v="2730"/>
    <n v="2730"/>
    <n v="2530"/>
    <n v="2530"/>
    <n v="2530"/>
    <n v="2530"/>
    <n v="2530"/>
    <n v="2530"/>
    <n v="2530"/>
    <n v="2530"/>
    <n v="2530"/>
    <n v="2580"/>
    <n v="2780"/>
    <n v="2780"/>
    <n v="2780"/>
    <n v="2780"/>
    <n v="2780"/>
    <n v="2550"/>
    <n v="2550"/>
    <n v="2050"/>
    <n v="2050"/>
    <n v="2050"/>
    <n v="2380"/>
    <n v="2380"/>
    <n v="2380"/>
    <n v="2380"/>
    <n v="2290"/>
    <n v="2290"/>
    <n v="2290"/>
    <m/>
    <m/>
    <m/>
    <n v="2240"/>
    <n v="2240"/>
    <n v="2240"/>
    <n v="2770"/>
    <n v="2770"/>
    <n v="2770"/>
    <m/>
    <m/>
    <m/>
    <x v="83"/>
    <x v="2"/>
    <x v="119"/>
    <n v="2.77"/>
    <n v="16.343"/>
    <n v="0.14176320000000001"/>
    <n v="2.12459"/>
    <n v="0"/>
    <n v="9.1999999999999998E-2"/>
    <x v="90"/>
    <x v="190"/>
    <n v="105"/>
    <n v="30"/>
    <x v="4"/>
    <n v="0.70921006564743294"/>
    <x v="163"/>
    <x v="195"/>
  </r>
  <r>
    <n v="19531"/>
    <x v="39"/>
    <x v="9"/>
    <x v="13"/>
    <s v="DP"/>
    <x v="13"/>
    <s v="MALTADECOR 0301"/>
    <s v="dark beige"/>
    <s v="U301"/>
    <m/>
    <m/>
    <s v="EU"/>
    <x v="0"/>
    <x v="4"/>
    <m/>
    <m/>
    <m/>
    <x v="0"/>
    <m/>
    <m/>
    <m/>
    <s v="ton"/>
    <x v="20"/>
    <x v="2"/>
    <n v="2650"/>
    <n v="2650"/>
    <n v="2650"/>
    <n v="2550"/>
    <n v="2550"/>
    <n v="2550"/>
    <n v="2350"/>
    <n v="2350"/>
    <n v="2350"/>
    <n v="2200"/>
    <n v="1900"/>
    <n v="1900"/>
    <n v="1900"/>
    <n v="1900"/>
    <n v="1900"/>
    <n v="1900"/>
    <n v="1900"/>
    <n v="1900"/>
    <n v="2010"/>
    <n v="2400"/>
    <n v="2400"/>
    <n v="2400"/>
    <n v="2400"/>
    <n v="2400"/>
    <n v="2800"/>
    <n v="2800"/>
    <n v="2300"/>
    <n v="2300"/>
    <n v="2300"/>
    <n v="2430"/>
    <n v="2430"/>
    <n v="2430"/>
    <n v="2430"/>
    <n v="2280"/>
    <n v="2280"/>
    <n v="2280"/>
    <m/>
    <m/>
    <m/>
    <n v="2250"/>
    <n v="2250"/>
    <n v="2250"/>
    <n v="2330"/>
    <n v="2330"/>
    <n v="2330"/>
    <m/>
    <m/>
    <m/>
    <x v="45"/>
    <x v="2"/>
    <x v="99"/>
    <n v="2.33"/>
    <n v="13.747000000000002"/>
    <n v="0.14176320000000001"/>
    <n v="1.7871100000000002"/>
    <n v="0"/>
    <n v="9.1999999999999998E-2"/>
    <x v="95"/>
    <x v="191"/>
    <n v="105"/>
    <n v="30"/>
    <x v="4"/>
    <n v="0.59796391564287354"/>
    <x v="164"/>
    <x v="196"/>
  </r>
  <r>
    <n v="19531"/>
    <x v="39"/>
    <x v="9"/>
    <x v="13"/>
    <s v="DP"/>
    <x v="13"/>
    <s v="MALTADECOR 0301"/>
    <s v="dark beige"/>
    <s v="U301"/>
    <m/>
    <m/>
    <s v="EU"/>
    <x v="0"/>
    <x v="4"/>
    <m/>
    <m/>
    <m/>
    <x v="0"/>
    <m/>
    <m/>
    <m/>
    <s v="ton"/>
    <x v="2"/>
    <x v="2"/>
    <n v="2850"/>
    <n v="2850"/>
    <n v="2850"/>
    <n v="2750"/>
    <n v="2750"/>
    <n v="2750"/>
    <n v="2550"/>
    <n v="2550"/>
    <n v="2550"/>
    <n v="2400"/>
    <n v="2400"/>
    <n v="2400"/>
    <n v="2400"/>
    <n v="2400"/>
    <n v="2400"/>
    <n v="2400"/>
    <n v="2400"/>
    <n v="2400"/>
    <n v="2210"/>
    <n v="2600"/>
    <n v="2600"/>
    <n v="2600"/>
    <n v="2600"/>
    <n v="2600"/>
    <n v="2820"/>
    <n v="2820"/>
    <n v="2320"/>
    <n v="2320"/>
    <n v="2320"/>
    <n v="2450"/>
    <n v="2450"/>
    <n v="2450"/>
    <n v="2450"/>
    <n v="2300"/>
    <n v="2300"/>
    <n v="2300"/>
    <m/>
    <m/>
    <m/>
    <n v="2270"/>
    <n v="2270"/>
    <n v="2270"/>
    <n v="2530"/>
    <n v="2530"/>
    <n v="2530"/>
    <m/>
    <m/>
    <m/>
    <x v="87"/>
    <x v="2"/>
    <x v="100"/>
    <n v="2.5299999999999998"/>
    <n v="14.927"/>
    <n v="0.14176320000000001"/>
    <n v="1.94051"/>
    <n v="0"/>
    <n v="9.1999999999999998E-2"/>
    <x v="97"/>
    <x v="192"/>
    <n v="105"/>
    <n v="30"/>
    <x v="4"/>
    <n v="0.64853034746312943"/>
    <x v="165"/>
    <x v="197"/>
  </r>
  <r>
    <n v="19531"/>
    <x v="39"/>
    <x v="9"/>
    <x v="13"/>
    <s v="DP"/>
    <x v="13"/>
    <s v="MALTADECOR 0301"/>
    <s v="dark beige"/>
    <s v="U301"/>
    <m/>
    <m/>
    <s v="EU"/>
    <x v="0"/>
    <x v="4"/>
    <m/>
    <m/>
    <m/>
    <x v="0"/>
    <m/>
    <m/>
    <m/>
    <s v="ton"/>
    <x v="1"/>
    <x v="2"/>
    <n v="3350"/>
    <n v="3350"/>
    <n v="3350"/>
    <n v="3250"/>
    <n v="3250"/>
    <n v="3250"/>
    <n v="3050"/>
    <n v="3050"/>
    <n v="3050"/>
    <n v="2900"/>
    <n v="2900"/>
    <n v="2900"/>
    <n v="2900"/>
    <n v="2900"/>
    <n v="2900"/>
    <n v="2900"/>
    <n v="2900"/>
    <n v="2900"/>
    <n v="2710"/>
    <n v="3100"/>
    <n v="3100"/>
    <n v="3100"/>
    <n v="3100"/>
    <n v="3100"/>
    <n v="2870"/>
    <n v="2870"/>
    <n v="2370"/>
    <n v="2370"/>
    <n v="2370"/>
    <n v="2500"/>
    <n v="2500"/>
    <n v="2500"/>
    <n v="2500"/>
    <n v="2350"/>
    <n v="2350"/>
    <n v="2350"/>
    <m/>
    <m/>
    <m/>
    <n v="2300"/>
    <n v="2300"/>
    <n v="2300"/>
    <n v="3030"/>
    <n v="3030"/>
    <n v="3030"/>
    <m/>
    <m/>
    <m/>
    <x v="133"/>
    <x v="2"/>
    <x v="101"/>
    <n v="3.03"/>
    <n v="17.876999999999999"/>
    <n v="0.14176320000000001"/>
    <n v="2.3240099999999999"/>
    <n v="0"/>
    <n v="9.1999999999999998E-2"/>
    <x v="151"/>
    <x v="193"/>
    <n v="105"/>
    <n v="30"/>
    <x v="4"/>
    <n v="0.77494642701376293"/>
    <x v="166"/>
    <x v="198"/>
  </r>
  <r>
    <n v="19533"/>
    <x v="19"/>
    <x v="3"/>
    <x v="5"/>
    <s v="DP"/>
    <x v="13"/>
    <s v="MALTADECOR M104"/>
    <s v="white"/>
    <s v="M104"/>
    <m/>
    <m/>
    <s v="EU"/>
    <x v="0"/>
    <x v="4"/>
    <m/>
    <m/>
    <m/>
    <x v="0"/>
    <m/>
    <m/>
    <m/>
    <s v="ton"/>
    <x v="20"/>
    <x v="2"/>
    <n v="2500"/>
    <n v="2500"/>
    <n v="2500"/>
    <n v="2500"/>
    <n v="2500"/>
    <n v="2500"/>
    <n v="2200"/>
    <n v="2200"/>
    <n v="2000"/>
    <n v="1950"/>
    <n v="1950"/>
    <n v="1950"/>
    <n v="1950"/>
    <n v="1950"/>
    <n v="1950"/>
    <n v="1950"/>
    <n v="1950"/>
    <n v="1950"/>
    <n v="1950"/>
    <n v="2050"/>
    <n v="2050"/>
    <n v="2050"/>
    <n v="2050"/>
    <n v="2050"/>
    <n v="2660"/>
    <n v="2660"/>
    <n v="2160"/>
    <n v="2160"/>
    <n v="2160"/>
    <m/>
    <m/>
    <m/>
    <m/>
    <n v="2330"/>
    <n v="2330"/>
    <n v="2330"/>
    <m/>
    <m/>
    <m/>
    <n v="2890"/>
    <n v="2890"/>
    <n v="2890"/>
    <n v="2450"/>
    <n v="2450"/>
    <n v="2450"/>
    <m/>
    <m/>
    <m/>
    <x v="22"/>
    <x v="2"/>
    <x v="102"/>
    <n v="2.4500000000000002"/>
    <n v="14.455000000000002"/>
    <n v="0.14176320000000001"/>
    <n v="1.8791500000000003"/>
    <n v="0"/>
    <n v="9.1999999999999998E-2"/>
    <x v="22"/>
    <x v="203"/>
    <n v="105"/>
    <n v="30"/>
    <x v="4"/>
    <n v="0.62830377473502708"/>
    <x v="167"/>
    <x v="208"/>
  </r>
  <r>
    <n v="19533"/>
    <x v="19"/>
    <x v="3"/>
    <x v="5"/>
    <s v="DP"/>
    <x v="13"/>
    <s v="MALTADECOR M104"/>
    <s v="white"/>
    <s v="M104"/>
    <m/>
    <m/>
    <s v="EU"/>
    <x v="0"/>
    <x v="4"/>
    <m/>
    <m/>
    <m/>
    <x v="0"/>
    <m/>
    <m/>
    <m/>
    <s v="ton"/>
    <x v="2"/>
    <x v="2"/>
    <n v="2700"/>
    <n v="2700"/>
    <n v="2700"/>
    <n v="2700"/>
    <n v="2700"/>
    <n v="2700"/>
    <n v="2400"/>
    <n v="2400"/>
    <n v="2400"/>
    <n v="2150"/>
    <n v="2150"/>
    <n v="2150"/>
    <n v="2150"/>
    <n v="2150"/>
    <n v="2150"/>
    <n v="2150"/>
    <n v="2150"/>
    <n v="2150"/>
    <n v="2170"/>
    <n v="2250"/>
    <n v="2250"/>
    <n v="2250"/>
    <n v="2250"/>
    <n v="2250"/>
    <n v="2680"/>
    <n v="2680"/>
    <n v="2180"/>
    <n v="2180"/>
    <n v="2180"/>
    <m/>
    <m/>
    <m/>
    <m/>
    <n v="2530"/>
    <n v="2530"/>
    <n v="2530"/>
    <m/>
    <m/>
    <m/>
    <n v="2910"/>
    <n v="2910"/>
    <n v="2910"/>
    <n v="2650"/>
    <n v="2650"/>
    <n v="2650"/>
    <m/>
    <m/>
    <m/>
    <x v="134"/>
    <x v="2"/>
    <x v="120"/>
    <n v="2.65"/>
    <n v="15.635"/>
    <n v="0.14176320000000001"/>
    <n v="2.0325500000000001"/>
    <n v="0"/>
    <n v="9.1999999999999998E-2"/>
    <x v="152"/>
    <x v="210"/>
    <n v="105"/>
    <n v="30"/>
    <x v="4"/>
    <n v="0.67887020655528119"/>
    <x v="168"/>
    <x v="215"/>
  </r>
  <r>
    <n v="19533"/>
    <x v="19"/>
    <x v="3"/>
    <x v="5"/>
    <s v="DP"/>
    <x v="13"/>
    <s v="MALTADECOR M104"/>
    <s v="white"/>
    <s v="M104"/>
    <m/>
    <m/>
    <s v="EU"/>
    <x v="0"/>
    <x v="4"/>
    <m/>
    <m/>
    <m/>
    <x v="0"/>
    <m/>
    <m/>
    <m/>
    <s v="ton"/>
    <x v="1"/>
    <x v="2"/>
    <n v="3200"/>
    <n v="3200"/>
    <n v="3200"/>
    <n v="3200"/>
    <n v="3200"/>
    <n v="3200"/>
    <n v="2900"/>
    <n v="2900"/>
    <n v="2900"/>
    <n v="2650"/>
    <n v="2650"/>
    <n v="2650"/>
    <n v="2650"/>
    <n v="2650"/>
    <n v="2650"/>
    <n v="2650"/>
    <n v="2650"/>
    <n v="2650"/>
    <n v="2670"/>
    <n v="2750"/>
    <n v="2750"/>
    <n v="2750"/>
    <n v="2750"/>
    <n v="2750"/>
    <n v="2730"/>
    <n v="2730"/>
    <n v="2230"/>
    <n v="2230"/>
    <n v="2230"/>
    <m/>
    <m/>
    <m/>
    <m/>
    <n v="3030"/>
    <n v="3030"/>
    <n v="3030"/>
    <m/>
    <m/>
    <m/>
    <n v="2960"/>
    <n v="2960"/>
    <n v="2960"/>
    <n v="3150"/>
    <n v="3150"/>
    <n v="3150"/>
    <m/>
    <m/>
    <m/>
    <x v="135"/>
    <x v="2"/>
    <x v="121"/>
    <n v="3.15"/>
    <n v="18.585000000000001"/>
    <n v="0.14176320000000001"/>
    <n v="2.4160500000000003"/>
    <n v="0"/>
    <n v="9.1999999999999998E-2"/>
    <x v="153"/>
    <x v="211"/>
    <n v="105"/>
    <n v="30"/>
    <x v="4"/>
    <n v="0.80528628610591468"/>
    <x v="169"/>
    <x v="216"/>
  </r>
  <r>
    <n v="19534"/>
    <x v="19"/>
    <x v="12"/>
    <x v="7"/>
    <s v="IP"/>
    <x v="13"/>
    <s v="MALTADECOR 0104"/>
    <s v="white"/>
    <s v="M104"/>
    <m/>
    <m/>
    <s v="EU"/>
    <x v="0"/>
    <x v="4"/>
    <m/>
    <m/>
    <m/>
    <x v="0"/>
    <m/>
    <m/>
    <m/>
    <s v="ton"/>
    <x v="15"/>
    <x v="2"/>
    <n v="2500"/>
    <n v="2500"/>
    <n v="2500"/>
    <n v="2500"/>
    <n v="2500"/>
    <n v="2500"/>
    <n v="2200"/>
    <n v="2200"/>
    <n v="2000"/>
    <n v="1950"/>
    <n v="1950"/>
    <n v="1950"/>
    <n v="1950"/>
    <n v="1950"/>
    <n v="1950"/>
    <n v="1900"/>
    <n v="1900"/>
    <n v="1900"/>
    <n v="1900"/>
    <n v="1900"/>
    <n v="1900"/>
    <n v="1900"/>
    <m/>
    <m/>
    <n v="2660"/>
    <n v="2660"/>
    <n v="2160"/>
    <n v="2160"/>
    <n v="2160"/>
    <m/>
    <m/>
    <m/>
    <m/>
    <m/>
    <n v="1660"/>
    <n v="1660"/>
    <m/>
    <m/>
    <m/>
    <m/>
    <m/>
    <m/>
    <m/>
    <m/>
    <m/>
    <m/>
    <m/>
    <m/>
    <x v="136"/>
    <x v="7"/>
    <x v="12"/>
    <n v="1.66"/>
    <n v="9.7940000000000005"/>
    <n v="0.14176320000000001"/>
    <n v="1.27322"/>
    <n v="0"/>
    <n v="9.1999999999999998E-2"/>
    <x v="154"/>
    <x v="197"/>
    <n v="105"/>
    <n v="30"/>
    <x v="4"/>
    <n v="0.42856636904502388"/>
    <x v="170"/>
    <x v="202"/>
  </r>
  <r>
    <n v="19534"/>
    <x v="19"/>
    <x v="12"/>
    <x v="7"/>
    <s v="IP"/>
    <x v="13"/>
    <s v="MALTADECOR 0104"/>
    <s v="white"/>
    <s v="M104"/>
    <m/>
    <m/>
    <s v="EU"/>
    <x v="0"/>
    <x v="4"/>
    <m/>
    <m/>
    <m/>
    <x v="0"/>
    <m/>
    <m/>
    <m/>
    <s v="ton"/>
    <x v="20"/>
    <x v="2"/>
    <n v="2500"/>
    <n v="2500"/>
    <n v="2500"/>
    <n v="2500"/>
    <n v="2500"/>
    <n v="2500"/>
    <n v="2200"/>
    <n v="2200"/>
    <n v="2000"/>
    <n v="1950"/>
    <n v="1950"/>
    <n v="1950"/>
    <n v="1950"/>
    <n v="1950"/>
    <n v="1950"/>
    <n v="1950"/>
    <n v="1950"/>
    <n v="1950"/>
    <n v="1950"/>
    <n v="2050"/>
    <n v="2050"/>
    <n v="2050"/>
    <n v="2050"/>
    <n v="2050"/>
    <n v="2660"/>
    <n v="2660"/>
    <n v="2160"/>
    <n v="2160"/>
    <n v="2160"/>
    <m/>
    <m/>
    <m/>
    <m/>
    <n v="1850"/>
    <n v="1850"/>
    <n v="1850"/>
    <m/>
    <m/>
    <m/>
    <n v="1650"/>
    <n v="1650"/>
    <n v="1650"/>
    <n v="1650"/>
    <n v="1650"/>
    <n v="1650"/>
    <m/>
    <m/>
    <m/>
    <x v="124"/>
    <x v="2"/>
    <x v="105"/>
    <n v="1.65"/>
    <n v="9.7349999999999994"/>
    <n v="0.14176320000000001"/>
    <n v="1.26555"/>
    <n v="0"/>
    <n v="9.1999999999999998E-2"/>
    <x v="155"/>
    <x v="198"/>
    <n v="105"/>
    <n v="30"/>
    <x v="4"/>
    <n v="0.42603804745401064"/>
    <x v="171"/>
    <x v="203"/>
  </r>
  <r>
    <n v="19534"/>
    <x v="19"/>
    <x v="12"/>
    <x v="7"/>
    <s v="IP"/>
    <x v="13"/>
    <s v="MALTADECOR 0104"/>
    <s v="white"/>
    <s v="M104"/>
    <m/>
    <m/>
    <s v="EU"/>
    <x v="0"/>
    <x v="4"/>
    <m/>
    <m/>
    <m/>
    <x v="0"/>
    <m/>
    <m/>
    <m/>
    <s v="ton"/>
    <x v="2"/>
    <x v="2"/>
    <n v="2700"/>
    <n v="2700"/>
    <n v="2700"/>
    <n v="2700"/>
    <n v="2700"/>
    <n v="2700"/>
    <n v="2400"/>
    <n v="2400"/>
    <n v="2400"/>
    <n v="2150"/>
    <n v="2150"/>
    <n v="2150"/>
    <n v="2150"/>
    <n v="2150"/>
    <n v="2150"/>
    <n v="2150"/>
    <n v="2150"/>
    <n v="2150"/>
    <n v="2170"/>
    <n v="2250"/>
    <n v="2250"/>
    <n v="2250"/>
    <n v="2250"/>
    <n v="2250"/>
    <n v="2680"/>
    <n v="2680"/>
    <n v="2180"/>
    <n v="2180"/>
    <n v="2180"/>
    <m/>
    <m/>
    <m/>
    <m/>
    <n v="1870"/>
    <n v="1870"/>
    <n v="1870"/>
    <m/>
    <m/>
    <m/>
    <n v="1670"/>
    <n v="1670"/>
    <n v="1670"/>
    <n v="1850"/>
    <n v="1850"/>
    <n v="1850"/>
    <m/>
    <m/>
    <m/>
    <x v="137"/>
    <x v="2"/>
    <x v="106"/>
    <n v="1.85"/>
    <n v="10.915000000000001"/>
    <n v="0.14176320000000001"/>
    <n v="1.4189500000000002"/>
    <n v="0"/>
    <n v="9.1999999999999998E-2"/>
    <x v="156"/>
    <x v="199"/>
    <n v="105"/>
    <n v="30"/>
    <x v="4"/>
    <n v="0.47660447927426475"/>
    <x v="172"/>
    <x v="204"/>
  </r>
  <r>
    <n v="19534"/>
    <x v="19"/>
    <x v="12"/>
    <x v="7"/>
    <s v="IP"/>
    <x v="13"/>
    <s v="MALTADECOR 0104"/>
    <s v="white"/>
    <s v="M104"/>
    <m/>
    <m/>
    <s v="EU"/>
    <x v="0"/>
    <x v="4"/>
    <m/>
    <m/>
    <m/>
    <x v="0"/>
    <m/>
    <m/>
    <m/>
    <s v="ton"/>
    <x v="1"/>
    <x v="2"/>
    <n v="3200"/>
    <n v="3200"/>
    <n v="3200"/>
    <n v="3200"/>
    <n v="3200"/>
    <n v="3200"/>
    <n v="2900"/>
    <n v="2900"/>
    <n v="2900"/>
    <n v="2650"/>
    <n v="2650"/>
    <n v="2650"/>
    <n v="2650"/>
    <n v="2650"/>
    <n v="2650"/>
    <n v="2650"/>
    <n v="2650"/>
    <n v="2650"/>
    <n v="2670"/>
    <n v="2750"/>
    <n v="2750"/>
    <n v="2750"/>
    <n v="2750"/>
    <n v="2750"/>
    <n v="2730"/>
    <n v="2730"/>
    <n v="2230"/>
    <n v="2230"/>
    <n v="2230"/>
    <m/>
    <m/>
    <m/>
    <m/>
    <n v="1920"/>
    <n v="1920"/>
    <n v="1920"/>
    <m/>
    <m/>
    <m/>
    <n v="1720"/>
    <n v="1720"/>
    <n v="1720"/>
    <n v="2350"/>
    <n v="2350"/>
    <n v="2350"/>
    <m/>
    <m/>
    <m/>
    <x v="37"/>
    <x v="2"/>
    <x v="107"/>
    <n v="2.35"/>
    <n v="13.865000000000002"/>
    <n v="0.14176320000000001"/>
    <n v="1.8024500000000003"/>
    <n v="0"/>
    <n v="9.1999999999999998E-2"/>
    <x v="37"/>
    <x v="200"/>
    <n v="105"/>
    <n v="30"/>
    <x v="4"/>
    <n v="0.60302055882490002"/>
    <x v="173"/>
    <x v="205"/>
  </r>
  <r>
    <n v="19535"/>
    <x v="44"/>
    <x v="9"/>
    <x v="5"/>
    <s v="DP"/>
    <x v="13"/>
    <s v="MALTADECOR 128"/>
    <s v="white"/>
    <s v="M128"/>
    <m/>
    <m/>
    <s v="EU"/>
    <x v="0"/>
    <x v="4"/>
    <m/>
    <m/>
    <m/>
    <x v="0"/>
    <m/>
    <m/>
    <m/>
    <s v="ton"/>
    <x v="20"/>
    <x v="2"/>
    <n v="2280"/>
    <n v="2280"/>
    <n v="2280"/>
    <n v="2210"/>
    <n v="2210"/>
    <n v="2210"/>
    <n v="2060"/>
    <n v="2060"/>
    <n v="2060"/>
    <n v="1910"/>
    <n v="1910"/>
    <n v="1910"/>
    <n v="1910"/>
    <n v="1910"/>
    <n v="1910"/>
    <n v="1910"/>
    <n v="1910"/>
    <n v="1910"/>
    <n v="1960"/>
    <n v="2110"/>
    <n v="2110"/>
    <n v="2110"/>
    <n v="2110"/>
    <n v="2110"/>
    <n v="2510"/>
    <n v="2510"/>
    <n v="2010"/>
    <n v="2010"/>
    <n v="2010"/>
    <n v="2340"/>
    <n v="2340"/>
    <n v="2340"/>
    <n v="2340"/>
    <n v="2190"/>
    <n v="2190"/>
    <n v="2190"/>
    <m/>
    <m/>
    <m/>
    <n v="2160"/>
    <n v="2160"/>
    <n v="2160"/>
    <n v="2240"/>
    <n v="2240"/>
    <n v="2240"/>
    <m/>
    <m/>
    <m/>
    <x v="132"/>
    <x v="2"/>
    <x v="122"/>
    <n v="2.2400000000000002"/>
    <n v="13.216000000000003"/>
    <n v="0.14176320000000001"/>
    <n v="1.7180800000000005"/>
    <n v="0"/>
    <n v="9.1999999999999998E-2"/>
    <x v="149"/>
    <x v="186"/>
    <n v="105"/>
    <n v="30"/>
    <x v="4"/>
    <n v="0.57520902132375973"/>
    <x v="159"/>
    <x v="191"/>
  </r>
  <r>
    <n v="19535"/>
    <x v="44"/>
    <x v="9"/>
    <x v="5"/>
    <s v="DP"/>
    <x v="13"/>
    <s v="MALTADECOR 128"/>
    <s v="white"/>
    <s v="M128"/>
    <m/>
    <m/>
    <s v="EU"/>
    <x v="0"/>
    <x v="4"/>
    <m/>
    <m/>
    <m/>
    <x v="0"/>
    <m/>
    <m/>
    <m/>
    <s v="ton"/>
    <x v="2"/>
    <x v="2"/>
    <n v="2480"/>
    <n v="2480"/>
    <n v="2480"/>
    <n v="2410"/>
    <n v="2410"/>
    <n v="2410"/>
    <n v="2260"/>
    <n v="2260"/>
    <n v="2260"/>
    <n v="2110"/>
    <n v="2110"/>
    <n v="2110"/>
    <n v="2110"/>
    <n v="2110"/>
    <n v="2110"/>
    <n v="2110"/>
    <n v="2110"/>
    <n v="2110"/>
    <n v="2160"/>
    <n v="2810"/>
    <n v="2810"/>
    <n v="2810"/>
    <n v="2810"/>
    <n v="2810"/>
    <n v="2530"/>
    <n v="2530"/>
    <n v="2030"/>
    <n v="2030"/>
    <n v="2030"/>
    <n v="2360"/>
    <n v="2360"/>
    <n v="2360"/>
    <n v="2360"/>
    <n v="2210"/>
    <n v="2210"/>
    <n v="2210"/>
    <m/>
    <m/>
    <m/>
    <n v="2180"/>
    <n v="2180"/>
    <n v="2180"/>
    <n v="2440"/>
    <n v="2440"/>
    <n v="2440"/>
    <m/>
    <m/>
    <m/>
    <x v="144"/>
    <x v="2"/>
    <x v="123"/>
    <n v="2.44"/>
    <n v="14.396000000000001"/>
    <n v="0.14176320000000001"/>
    <n v="1.8714800000000003"/>
    <n v="0"/>
    <n v="9.1999999999999998E-2"/>
    <x v="163"/>
    <x v="212"/>
    <n v="105"/>
    <n v="30"/>
    <x v="4"/>
    <n v="0.62577545314401206"/>
    <x v="182"/>
    <x v="217"/>
  </r>
  <r>
    <n v="19535"/>
    <x v="44"/>
    <x v="9"/>
    <x v="5"/>
    <s v="DP"/>
    <x v="13"/>
    <s v="MALTADECOR 128"/>
    <s v="white"/>
    <s v="M128"/>
    <m/>
    <m/>
    <s v="EU"/>
    <x v="0"/>
    <x v="4"/>
    <m/>
    <m/>
    <m/>
    <x v="0"/>
    <m/>
    <m/>
    <m/>
    <s v="ton"/>
    <x v="1"/>
    <x v="2"/>
    <n v="2980"/>
    <n v="2980"/>
    <n v="2980"/>
    <n v="2910"/>
    <n v="2910"/>
    <n v="2910"/>
    <n v="2760"/>
    <n v="2760"/>
    <n v="2760"/>
    <n v="2610"/>
    <n v="2610"/>
    <n v="2610"/>
    <n v="2610"/>
    <n v="2610"/>
    <n v="2610"/>
    <n v="2610"/>
    <n v="2610"/>
    <n v="2610"/>
    <n v="2660"/>
    <n v="2810"/>
    <n v="2810"/>
    <n v="2810"/>
    <n v="2810"/>
    <n v="2810"/>
    <n v="2580"/>
    <n v="2580"/>
    <n v="2080"/>
    <n v="2080"/>
    <n v="2080"/>
    <n v="2410"/>
    <n v="2410"/>
    <n v="2410"/>
    <n v="2410"/>
    <n v="2260"/>
    <n v="2260"/>
    <n v="2260"/>
    <m/>
    <m/>
    <m/>
    <n v="2210"/>
    <n v="2210"/>
    <n v="2210"/>
    <n v="2940"/>
    <n v="2940"/>
    <n v="2940"/>
    <m/>
    <m/>
    <m/>
    <x v="145"/>
    <x v="2"/>
    <x v="124"/>
    <n v="2.94"/>
    <n v="17.346"/>
    <n v="0.14176320000000001"/>
    <n v="2.2549800000000002"/>
    <n v="0"/>
    <n v="9.1999999999999998E-2"/>
    <x v="164"/>
    <x v="213"/>
    <n v="105"/>
    <n v="30"/>
    <x v="4"/>
    <n v="0.75219153269464911"/>
    <x v="183"/>
    <x v="218"/>
  </r>
  <r>
    <n v="19536"/>
    <x v="39"/>
    <x v="9"/>
    <x v="5"/>
    <s v="DP"/>
    <x v="13"/>
    <s v="MALTADECOR 0301"/>
    <s v="dark beige"/>
    <s v="U301"/>
    <m/>
    <m/>
    <s v="EU"/>
    <x v="0"/>
    <x v="4"/>
    <m/>
    <m/>
    <m/>
    <x v="0"/>
    <m/>
    <m/>
    <m/>
    <s v="ton"/>
    <x v="20"/>
    <x v="2"/>
    <n v="2650"/>
    <n v="2650"/>
    <n v="2650"/>
    <n v="2550"/>
    <n v="2550"/>
    <n v="2550"/>
    <n v="2350"/>
    <n v="2350"/>
    <n v="2350"/>
    <n v="2200"/>
    <n v="1900"/>
    <n v="1900"/>
    <n v="1900"/>
    <n v="1900"/>
    <n v="1900"/>
    <n v="1900"/>
    <n v="1900"/>
    <n v="1900"/>
    <n v="2010"/>
    <n v="2400"/>
    <n v="2400"/>
    <n v="2400"/>
    <n v="2400"/>
    <n v="2400"/>
    <n v="2800"/>
    <n v="2800"/>
    <n v="2300"/>
    <n v="2300"/>
    <n v="2300"/>
    <n v="2630"/>
    <n v="2630"/>
    <n v="2630"/>
    <n v="2630"/>
    <n v="2480"/>
    <n v="2480"/>
    <n v="2480"/>
    <m/>
    <m/>
    <m/>
    <n v="2450"/>
    <n v="2450"/>
    <n v="2450"/>
    <n v="2530"/>
    <n v="2530"/>
    <n v="2530"/>
    <m/>
    <m/>
    <m/>
    <x v="87"/>
    <x v="2"/>
    <x v="111"/>
    <n v="2.5299999999999998"/>
    <n v="14.927"/>
    <n v="0.14176320000000001"/>
    <n v="1.94051"/>
    <n v="0"/>
    <n v="9.1999999999999998E-2"/>
    <x v="97"/>
    <x v="192"/>
    <n v="105"/>
    <n v="30"/>
    <x v="4"/>
    <n v="0.64853034746312943"/>
    <x v="165"/>
    <x v="197"/>
  </r>
  <r>
    <n v="19536"/>
    <x v="39"/>
    <x v="9"/>
    <x v="5"/>
    <s v="DP"/>
    <x v="13"/>
    <s v="MALTADECOR 0301"/>
    <s v="dark beige"/>
    <s v="U301"/>
    <m/>
    <m/>
    <s v="EU"/>
    <x v="0"/>
    <x v="4"/>
    <m/>
    <m/>
    <m/>
    <x v="0"/>
    <m/>
    <m/>
    <m/>
    <s v="ton"/>
    <x v="2"/>
    <x v="2"/>
    <n v="2850"/>
    <n v="2850"/>
    <n v="2850"/>
    <n v="2750"/>
    <n v="2750"/>
    <n v="2750"/>
    <n v="2550"/>
    <n v="2550"/>
    <n v="2550"/>
    <n v="2400"/>
    <n v="2400"/>
    <n v="2400"/>
    <n v="2400"/>
    <n v="2400"/>
    <n v="2400"/>
    <n v="2400"/>
    <n v="2400"/>
    <n v="2400"/>
    <n v="2210"/>
    <n v="2600"/>
    <n v="2600"/>
    <n v="2600"/>
    <n v="2600"/>
    <n v="2600"/>
    <n v="2820"/>
    <n v="2820"/>
    <n v="2320"/>
    <n v="2320"/>
    <n v="2320"/>
    <n v="2650"/>
    <n v="2650"/>
    <n v="2650"/>
    <n v="2650"/>
    <n v="2500"/>
    <n v="2500"/>
    <n v="2500"/>
    <m/>
    <m/>
    <m/>
    <n v="2470"/>
    <n v="2470"/>
    <n v="2470"/>
    <n v="2730"/>
    <n v="2730"/>
    <n v="2730"/>
    <m/>
    <m/>
    <m/>
    <x v="140"/>
    <x v="2"/>
    <x v="112"/>
    <n v="2.73"/>
    <n v="16.106999999999999"/>
    <n v="0.14176320000000001"/>
    <n v="2.0939100000000002"/>
    <n v="0"/>
    <n v="9.1999999999999998E-2"/>
    <x v="159"/>
    <x v="205"/>
    <n v="105"/>
    <n v="30"/>
    <x v="4"/>
    <n v="0.69909677928337999"/>
    <x v="177"/>
    <x v="210"/>
  </r>
  <r>
    <n v="19536"/>
    <x v="39"/>
    <x v="9"/>
    <x v="5"/>
    <s v="DP"/>
    <x v="13"/>
    <s v="MALTADECOR 0301"/>
    <s v="dark beige"/>
    <s v="U301"/>
    <m/>
    <m/>
    <s v="EU"/>
    <x v="0"/>
    <x v="4"/>
    <m/>
    <m/>
    <m/>
    <x v="0"/>
    <m/>
    <m/>
    <m/>
    <s v="ton"/>
    <x v="1"/>
    <x v="2"/>
    <n v="3350"/>
    <n v="3350"/>
    <n v="3350"/>
    <n v="3250"/>
    <n v="3250"/>
    <n v="3250"/>
    <n v="3050"/>
    <n v="3050"/>
    <n v="3050"/>
    <n v="2900"/>
    <n v="2900"/>
    <n v="2900"/>
    <n v="2900"/>
    <n v="2900"/>
    <n v="2900"/>
    <n v="2900"/>
    <n v="2900"/>
    <n v="2900"/>
    <n v="2710"/>
    <n v="3100"/>
    <n v="3100"/>
    <n v="3100"/>
    <n v="3100"/>
    <n v="3100"/>
    <n v="2870"/>
    <n v="2870"/>
    <n v="2370"/>
    <n v="2370"/>
    <n v="2370"/>
    <n v="2700"/>
    <n v="2700"/>
    <n v="2700"/>
    <n v="2700"/>
    <n v="2550"/>
    <n v="2550"/>
    <n v="2550"/>
    <m/>
    <m/>
    <m/>
    <n v="2500"/>
    <n v="2500"/>
    <n v="2500"/>
    <n v="3230"/>
    <n v="3230"/>
    <n v="3230"/>
    <m/>
    <m/>
    <m/>
    <x v="141"/>
    <x v="2"/>
    <x v="113"/>
    <n v="3.23"/>
    <n v="19.057000000000002"/>
    <n v="0.14176320000000001"/>
    <n v="2.4774100000000003"/>
    <n v="0"/>
    <n v="9.1999999999999998E-2"/>
    <x v="160"/>
    <x v="206"/>
    <n v="105"/>
    <n v="30"/>
    <x v="4"/>
    <n v="0.82551285883401704"/>
    <x v="178"/>
    <x v="211"/>
  </r>
  <r>
    <n v="19537"/>
    <x v="21"/>
    <x v="6"/>
    <x v="12"/>
    <s v="DP"/>
    <x v="13"/>
    <s v="MALTADECOR 1410"/>
    <s v="brown"/>
    <m/>
    <m/>
    <m/>
    <s v="EU"/>
    <x v="0"/>
    <x v="4"/>
    <m/>
    <m/>
    <m/>
    <x v="0"/>
    <m/>
    <m/>
    <m/>
    <s v="ton"/>
    <x v="20"/>
    <x v="2"/>
    <m/>
    <m/>
    <m/>
    <m/>
    <m/>
    <m/>
    <m/>
    <m/>
    <n v="1900"/>
    <n v="1900"/>
    <n v="1720"/>
    <n v="1720"/>
    <n v="1720"/>
    <n v="1720"/>
    <n v="1720"/>
    <n v="1720"/>
    <n v="1720"/>
    <n v="1720"/>
    <n v="1740"/>
    <n v="1860"/>
    <n v="1860"/>
    <n v="1860"/>
    <n v="1860"/>
    <n v="1860"/>
    <n v="2310"/>
    <n v="2310"/>
    <n v="1810"/>
    <n v="1810"/>
    <n v="1810"/>
    <n v="1960"/>
    <n v="1960"/>
    <n v="1960"/>
    <n v="1960"/>
    <n v="1860"/>
    <n v="1860"/>
    <n v="1860"/>
    <m/>
    <m/>
    <m/>
    <m/>
    <m/>
    <m/>
    <n v="1790"/>
    <n v="1790"/>
    <n v="1790"/>
    <m/>
    <m/>
    <m/>
    <x v="34"/>
    <x v="2"/>
    <x v="125"/>
    <n v="1.79"/>
    <n v="10.561000000000002"/>
    <n v="0.14176320000000001"/>
    <n v="1.3729300000000002"/>
    <n v="0"/>
    <n v="9.1999999999999998E-2"/>
    <x v="34"/>
    <x v="214"/>
    <n v="105"/>
    <n v="30"/>
    <x v="4"/>
    <n v="0.46143454972818887"/>
    <x v="184"/>
    <x v="219"/>
  </r>
  <r>
    <n v="19538"/>
    <x v="22"/>
    <x v="6"/>
    <x v="6"/>
    <s v="DP"/>
    <x v="13"/>
    <s v="MALTADECOR 1430"/>
    <s v="brown"/>
    <m/>
    <m/>
    <m/>
    <s v="EU"/>
    <x v="0"/>
    <x v="4"/>
    <m/>
    <m/>
    <m/>
    <x v="0"/>
    <m/>
    <m/>
    <m/>
    <s v="ton"/>
    <x v="20"/>
    <x v="2"/>
    <m/>
    <m/>
    <m/>
    <m/>
    <m/>
    <m/>
    <m/>
    <m/>
    <n v="2020"/>
    <n v="2020"/>
    <n v="1720"/>
    <n v="1720"/>
    <n v="1720"/>
    <n v="1720"/>
    <n v="1720"/>
    <n v="1720"/>
    <n v="1720"/>
    <n v="1720"/>
    <n v="1740"/>
    <n v="1940"/>
    <n v="1940"/>
    <n v="1940"/>
    <n v="1940"/>
    <n v="1940"/>
    <n v="2390"/>
    <n v="2390"/>
    <n v="1890"/>
    <n v="1890"/>
    <n v="1890"/>
    <n v="2040"/>
    <n v="2040"/>
    <n v="2040"/>
    <n v="2040"/>
    <n v="1940"/>
    <n v="1940"/>
    <n v="1940"/>
    <m/>
    <m/>
    <m/>
    <m/>
    <m/>
    <m/>
    <n v="1900"/>
    <n v="1900"/>
    <n v="1900"/>
    <m/>
    <m/>
    <m/>
    <x v="35"/>
    <x v="2"/>
    <x v="126"/>
    <n v="1.9"/>
    <n v="11.21"/>
    <n v="0.14176320000000001"/>
    <n v="1.4573000000000003"/>
    <n v="0"/>
    <n v="9.1999999999999998E-2"/>
    <x v="35"/>
    <x v="215"/>
    <n v="105"/>
    <n v="30"/>
    <x v="4"/>
    <n v="0.48924608722932739"/>
    <x v="185"/>
    <x v="220"/>
  </r>
  <r>
    <n v="19539"/>
    <x v="15"/>
    <x v="6"/>
    <x v="6"/>
    <s v="DP"/>
    <x v="13"/>
    <s v="MALTADECOR 689"/>
    <s v="gray"/>
    <m/>
    <m/>
    <m/>
    <s v="EU"/>
    <x v="0"/>
    <x v="4"/>
    <m/>
    <m/>
    <m/>
    <x v="0"/>
    <m/>
    <m/>
    <m/>
    <s v="ton"/>
    <x v="20"/>
    <x v="2"/>
    <m/>
    <m/>
    <m/>
    <m/>
    <m/>
    <m/>
    <m/>
    <m/>
    <n v="1890"/>
    <n v="1890"/>
    <n v="1890"/>
    <n v="1890"/>
    <n v="1890"/>
    <n v="1890"/>
    <n v="1890"/>
    <n v="1890"/>
    <n v="1890"/>
    <n v="1890"/>
    <n v="1650"/>
    <n v="1850"/>
    <n v="1850"/>
    <n v="1850"/>
    <n v="1850"/>
    <n v="1850"/>
    <n v="2250"/>
    <n v="2250"/>
    <n v="1750"/>
    <n v="1750"/>
    <n v="1750"/>
    <n v="1950"/>
    <n v="1950"/>
    <n v="1950"/>
    <n v="1950"/>
    <n v="1900"/>
    <n v="1900"/>
    <n v="1900"/>
    <m/>
    <m/>
    <m/>
    <n v="1910"/>
    <n v="1910"/>
    <n v="1910"/>
    <n v="2020"/>
    <n v="2020"/>
    <n v="2020"/>
    <m/>
    <m/>
    <m/>
    <x v="56"/>
    <x v="2"/>
    <x v="127"/>
    <n v="2.02"/>
    <n v="11.918000000000001"/>
    <n v="0.14176320000000001"/>
    <n v="1.5493400000000002"/>
    <n v="0"/>
    <n v="9.1999999999999998E-2"/>
    <x v="112"/>
    <x v="139"/>
    <n v="105"/>
    <n v="30"/>
    <x v="4"/>
    <n v="0.51958594632148092"/>
    <x v="186"/>
    <x v="221"/>
  </r>
  <r>
    <n v="19539"/>
    <x v="15"/>
    <x v="6"/>
    <x v="6"/>
    <s v="DP"/>
    <x v="13"/>
    <s v="MALTADECOR 689"/>
    <s v="gray"/>
    <m/>
    <m/>
    <m/>
    <s v="EU"/>
    <x v="0"/>
    <x v="4"/>
    <m/>
    <m/>
    <m/>
    <x v="0"/>
    <m/>
    <m/>
    <m/>
    <s v="ton"/>
    <x v="2"/>
    <x v="2"/>
    <m/>
    <m/>
    <m/>
    <m/>
    <m/>
    <m/>
    <m/>
    <m/>
    <m/>
    <m/>
    <m/>
    <m/>
    <m/>
    <m/>
    <m/>
    <m/>
    <m/>
    <m/>
    <m/>
    <n v="2050"/>
    <n v="2050"/>
    <n v="2050"/>
    <n v="2050"/>
    <n v="2050"/>
    <n v="2270"/>
    <n v="2270"/>
    <n v="1770"/>
    <n v="1770"/>
    <n v="1770"/>
    <n v="1970"/>
    <n v="1970"/>
    <n v="1970"/>
    <n v="1970"/>
    <n v="1920"/>
    <n v="1920"/>
    <n v="1920"/>
    <m/>
    <m/>
    <m/>
    <n v="1930"/>
    <n v="1930"/>
    <n v="1930"/>
    <n v="2220"/>
    <n v="2220"/>
    <n v="2220"/>
    <m/>
    <m/>
    <m/>
    <x v="101"/>
    <x v="2"/>
    <x v="128"/>
    <n v="2.2200000000000002"/>
    <n v="13.098000000000003"/>
    <n v="0.14176320000000001"/>
    <n v="1.7027400000000004"/>
    <n v="0"/>
    <n v="9.1999999999999998E-2"/>
    <x v="114"/>
    <x v="141"/>
    <n v="105"/>
    <n v="30"/>
    <x v="4"/>
    <n v="0.57015237814173503"/>
    <x v="187"/>
    <x v="222"/>
  </r>
  <r>
    <n v="19539"/>
    <x v="15"/>
    <x v="6"/>
    <x v="6"/>
    <s v="DP"/>
    <x v="13"/>
    <s v="MALTADECOR 689"/>
    <s v="gray"/>
    <m/>
    <m/>
    <m/>
    <s v="EU"/>
    <x v="0"/>
    <x v="4"/>
    <m/>
    <m/>
    <m/>
    <x v="0"/>
    <m/>
    <m/>
    <m/>
    <s v="ton"/>
    <x v="1"/>
    <x v="2"/>
    <m/>
    <m/>
    <m/>
    <m/>
    <m/>
    <m/>
    <m/>
    <m/>
    <m/>
    <m/>
    <m/>
    <m/>
    <m/>
    <m/>
    <m/>
    <m/>
    <m/>
    <m/>
    <m/>
    <n v="2550"/>
    <n v="2550"/>
    <n v="2550"/>
    <n v="2550"/>
    <n v="2550"/>
    <n v="2320"/>
    <n v="2320"/>
    <n v="1820"/>
    <n v="1820"/>
    <n v="1820"/>
    <n v="2020"/>
    <n v="2020"/>
    <n v="2020"/>
    <n v="2020"/>
    <n v="1970"/>
    <n v="1970"/>
    <n v="1970"/>
    <m/>
    <m/>
    <m/>
    <n v="1960"/>
    <n v="1960"/>
    <n v="1960"/>
    <n v="2720"/>
    <n v="2720"/>
    <n v="2720"/>
    <m/>
    <m/>
    <m/>
    <x v="82"/>
    <x v="2"/>
    <x v="129"/>
    <n v="2.72"/>
    <n v="16.048000000000002"/>
    <n v="0.14176320000000001"/>
    <n v="2.0862400000000001"/>
    <n v="0"/>
    <n v="9.1999999999999998E-2"/>
    <x v="89"/>
    <x v="105"/>
    <n v="105"/>
    <n v="30"/>
    <x v="4"/>
    <n v="0.69656845769236853"/>
    <x v="188"/>
    <x v="223"/>
  </r>
  <r>
    <n v="19540"/>
    <x v="14"/>
    <x v="6"/>
    <x v="6"/>
    <s v="DP"/>
    <x v="13"/>
    <s v="MALTADECOR 0483"/>
    <s v="gray"/>
    <m/>
    <m/>
    <m/>
    <s v="EU"/>
    <x v="0"/>
    <x v="4"/>
    <m/>
    <m/>
    <m/>
    <x v="0"/>
    <m/>
    <m/>
    <m/>
    <s v="ton"/>
    <x v="20"/>
    <x v="2"/>
    <m/>
    <m/>
    <m/>
    <m/>
    <m/>
    <m/>
    <m/>
    <m/>
    <n v="2060"/>
    <n v="2060"/>
    <n v="2060"/>
    <n v="2060"/>
    <n v="2060"/>
    <n v="2060"/>
    <n v="2060"/>
    <n v="2060"/>
    <n v="2060"/>
    <n v="2060"/>
    <n v="1650"/>
    <n v="1960"/>
    <n v="1960"/>
    <n v="1960"/>
    <n v="1960"/>
    <n v="1960"/>
    <n v="2360"/>
    <n v="2360"/>
    <n v="1860"/>
    <n v="1860"/>
    <n v="1860"/>
    <n v="2060"/>
    <n v="2060"/>
    <n v="2060"/>
    <n v="2060"/>
    <n v="2010"/>
    <n v="2010"/>
    <n v="2010"/>
    <m/>
    <m/>
    <m/>
    <n v="2020"/>
    <n v="2020"/>
    <n v="2020"/>
    <n v="2130"/>
    <n v="2130"/>
    <n v="2130"/>
    <m/>
    <m/>
    <m/>
    <x v="146"/>
    <x v="2"/>
    <x v="130"/>
    <n v="2.13"/>
    <n v="12.567"/>
    <n v="0.14176320000000001"/>
    <n v="1.63371"/>
    <n v="0"/>
    <n v="9.1999999999999998E-2"/>
    <x v="165"/>
    <x v="216"/>
    <n v="105"/>
    <n v="30"/>
    <x v="4"/>
    <n v="0.54739748382261944"/>
    <x v="189"/>
    <x v="224"/>
  </r>
  <r>
    <n v="19540"/>
    <x v="14"/>
    <x v="6"/>
    <x v="6"/>
    <s v="DP"/>
    <x v="13"/>
    <s v="MALTADECOR 0483"/>
    <s v="gray"/>
    <m/>
    <m/>
    <m/>
    <s v="EU"/>
    <x v="0"/>
    <x v="4"/>
    <m/>
    <m/>
    <m/>
    <x v="0"/>
    <m/>
    <m/>
    <m/>
    <s v="ton"/>
    <x v="2"/>
    <x v="2"/>
    <m/>
    <m/>
    <m/>
    <m/>
    <m/>
    <m/>
    <m/>
    <m/>
    <m/>
    <m/>
    <m/>
    <m/>
    <m/>
    <m/>
    <m/>
    <m/>
    <m/>
    <m/>
    <m/>
    <n v="2160"/>
    <n v="2160"/>
    <n v="2160"/>
    <n v="2160"/>
    <n v="2160"/>
    <n v="2380"/>
    <n v="2380"/>
    <n v="1880"/>
    <n v="1880"/>
    <n v="1880"/>
    <n v="2080"/>
    <n v="2080"/>
    <n v="2080"/>
    <n v="2080"/>
    <n v="2030"/>
    <n v="2030"/>
    <n v="2030"/>
    <m/>
    <m/>
    <m/>
    <n v="2040"/>
    <n v="2040"/>
    <n v="2040"/>
    <n v="2330"/>
    <n v="2330"/>
    <n v="2330"/>
    <m/>
    <m/>
    <m/>
    <x v="45"/>
    <x v="2"/>
    <x v="131"/>
    <n v="2.33"/>
    <n v="13.747000000000002"/>
    <n v="0.14176320000000001"/>
    <n v="1.7871100000000002"/>
    <n v="0"/>
    <n v="9.1999999999999998E-2"/>
    <x v="95"/>
    <x v="217"/>
    <n v="105"/>
    <n v="30"/>
    <x v="4"/>
    <n v="0.59796391564287354"/>
    <x v="164"/>
    <x v="225"/>
  </r>
  <r>
    <n v="19540"/>
    <x v="14"/>
    <x v="6"/>
    <x v="6"/>
    <s v="DP"/>
    <x v="13"/>
    <s v="MALTADECOR 0483"/>
    <s v="gray"/>
    <m/>
    <m/>
    <m/>
    <s v="EU"/>
    <x v="0"/>
    <x v="4"/>
    <m/>
    <m/>
    <m/>
    <x v="0"/>
    <m/>
    <m/>
    <m/>
    <s v="ton"/>
    <x v="1"/>
    <x v="2"/>
    <m/>
    <m/>
    <m/>
    <m/>
    <m/>
    <m/>
    <m/>
    <m/>
    <m/>
    <m/>
    <m/>
    <m/>
    <m/>
    <m/>
    <m/>
    <m/>
    <m/>
    <m/>
    <m/>
    <n v="2660"/>
    <n v="2660"/>
    <n v="2660"/>
    <n v="2660"/>
    <n v="2660"/>
    <n v="2430"/>
    <n v="2430"/>
    <n v="1930"/>
    <n v="1930"/>
    <n v="1930"/>
    <n v="2130"/>
    <n v="2130"/>
    <n v="2130"/>
    <n v="2130"/>
    <n v="2080"/>
    <n v="2080"/>
    <n v="2080"/>
    <m/>
    <m/>
    <m/>
    <n v="2070"/>
    <n v="2070"/>
    <n v="2070"/>
    <n v="2830"/>
    <n v="2830"/>
    <n v="2830"/>
    <m/>
    <m/>
    <m/>
    <x v="147"/>
    <x v="2"/>
    <x v="132"/>
    <n v="2.83"/>
    <n v="16.697000000000003"/>
    <n v="0.14176320000000001"/>
    <n v="2.1706100000000004"/>
    <n v="0"/>
    <n v="9.1999999999999998E-2"/>
    <x v="166"/>
    <x v="218"/>
    <n v="105"/>
    <n v="30"/>
    <x v="4"/>
    <n v="0.72437999519350882"/>
    <x v="190"/>
    <x v="226"/>
  </r>
  <r>
    <n v="19542"/>
    <x v="19"/>
    <x v="12"/>
    <x v="14"/>
    <s v="IP"/>
    <x v="13"/>
    <s v="MALTADECOR 0104"/>
    <s v="white"/>
    <s v="M104"/>
    <m/>
    <m/>
    <s v="EU"/>
    <x v="0"/>
    <x v="4"/>
    <m/>
    <m/>
    <m/>
    <x v="0"/>
    <m/>
    <m/>
    <m/>
    <s v="ton"/>
    <x v="20"/>
    <x v="2"/>
    <n v="2530"/>
    <n v="2530"/>
    <n v="2530"/>
    <n v="2530"/>
    <n v="2530"/>
    <n v="2530"/>
    <n v="2430"/>
    <n v="2430"/>
    <n v="2430"/>
    <n v="2050"/>
    <n v="2050"/>
    <n v="2050"/>
    <n v="2050"/>
    <n v="2050"/>
    <n v="2050"/>
    <n v="2050"/>
    <n v="2050"/>
    <n v="2050"/>
    <n v="2050"/>
    <n v="2050"/>
    <n v="2050"/>
    <n v="2050"/>
    <n v="2050"/>
    <n v="2050"/>
    <n v="2550"/>
    <n v="2550"/>
    <n v="2050"/>
    <n v="2050"/>
    <n v="2050"/>
    <m/>
    <m/>
    <m/>
    <m/>
    <n v="1850"/>
    <n v="1850"/>
    <n v="1850"/>
    <m/>
    <m/>
    <m/>
    <m/>
    <m/>
    <m/>
    <n v="1850"/>
    <n v="1850"/>
    <n v="1850"/>
    <m/>
    <m/>
    <m/>
    <x v="137"/>
    <x v="2"/>
    <x v="12"/>
    <n v="1.85"/>
    <n v="10.915000000000001"/>
    <n v="0.14176320000000001"/>
    <n v="1.4189500000000002"/>
    <n v="0"/>
    <n v="9.1999999999999998E-2"/>
    <x v="156"/>
    <x v="199"/>
    <n v="105"/>
    <n v="30"/>
    <x v="4"/>
    <n v="0.47660447927426475"/>
    <x v="172"/>
    <x v="204"/>
  </r>
  <r>
    <n v="2010899"/>
    <x v="14"/>
    <x v="6"/>
    <x v="6"/>
    <s v="DP"/>
    <x v="12"/>
    <s v="HUAWON HG5083"/>
    <s v="gray"/>
    <s v="HG5083"/>
    <m/>
    <m/>
    <s v="CN"/>
    <x v="1"/>
    <x v="2"/>
    <m/>
    <n v="90"/>
    <m/>
    <x v="0"/>
    <m/>
    <m/>
    <m/>
    <s v="ton"/>
    <x v="3"/>
    <x v="3"/>
    <m/>
    <m/>
    <m/>
    <m/>
    <m/>
    <m/>
    <m/>
    <m/>
    <m/>
    <m/>
    <m/>
    <m/>
    <m/>
    <m/>
    <m/>
    <m/>
    <m/>
    <m/>
    <m/>
    <m/>
    <m/>
    <m/>
    <m/>
    <m/>
    <m/>
    <m/>
    <m/>
    <m/>
    <m/>
    <m/>
    <m/>
    <m/>
    <m/>
    <m/>
    <m/>
    <m/>
    <n v="12000"/>
    <n v="12000"/>
    <n v="12000"/>
    <n v="12000"/>
    <n v="12000"/>
    <n v="12000"/>
    <m/>
    <m/>
    <m/>
    <m/>
    <m/>
    <m/>
    <x v="119"/>
    <x v="4"/>
    <x v="12"/>
    <n v="12"/>
    <n v="9"/>
    <n v="1.11958"/>
    <n v="1.2600000000000002"/>
    <n v="0"/>
    <n v="9.1999999999999998E-2"/>
    <x v="134"/>
    <x v="173"/>
    <n v="120"/>
    <n v="90"/>
    <x v="1"/>
    <n v="0.17207369999999855"/>
    <x v="144"/>
    <x v="178"/>
  </r>
  <r>
    <n v="2032265"/>
    <x v="18"/>
    <x v="6"/>
    <x v="17"/>
    <s v="DP"/>
    <x v="7"/>
    <s v="KOEHLER 8269 ECO"/>
    <s v="beige"/>
    <n v="32102"/>
    <m/>
    <m/>
    <s v="EU"/>
    <x v="4"/>
    <x v="0"/>
    <m/>
    <m/>
    <m/>
    <x v="2"/>
    <m/>
    <m/>
    <m/>
    <s v="ton"/>
    <x v="3"/>
    <x v="2"/>
    <m/>
    <m/>
    <m/>
    <m/>
    <m/>
    <m/>
    <m/>
    <m/>
    <m/>
    <m/>
    <m/>
    <m/>
    <m/>
    <m/>
    <m/>
    <m/>
    <m/>
    <m/>
    <m/>
    <m/>
    <m/>
    <m/>
    <m/>
    <m/>
    <m/>
    <m/>
    <m/>
    <m/>
    <m/>
    <m/>
    <m/>
    <m/>
    <m/>
    <m/>
    <m/>
    <m/>
    <n v="2020"/>
    <n v="2020"/>
    <n v="2020"/>
    <n v="2100"/>
    <n v="2100"/>
    <n v="2100"/>
    <n v="2180"/>
    <n v="2180"/>
    <n v="2180"/>
    <m/>
    <m/>
    <m/>
    <x v="52"/>
    <x v="2"/>
    <x v="26"/>
    <n v="2.1800000000000002"/>
    <n v="12.862000000000002"/>
    <n v="0.14176320000000001"/>
    <n v="1.6720600000000003"/>
    <n v="-0.17699999999999999"/>
    <n v="9.1999999999999998E-2"/>
    <x v="53"/>
    <x v="56"/>
    <n v="105"/>
    <n v="120"/>
    <x v="3"/>
    <n v="-0.10821526276360238"/>
    <x v="57"/>
    <x v="58"/>
  </r>
  <r>
    <n v="2032265"/>
    <x v="18"/>
    <x v="6"/>
    <x v="17"/>
    <s v="DP"/>
    <x v="7"/>
    <s v="KOEHLER 8269 ECO"/>
    <s v="beige"/>
    <n v="32102"/>
    <m/>
    <m/>
    <s v="EU"/>
    <x v="4"/>
    <x v="0"/>
    <m/>
    <m/>
    <m/>
    <x v="2"/>
    <m/>
    <m/>
    <m/>
    <s v="ton"/>
    <x v="16"/>
    <x v="2"/>
    <m/>
    <m/>
    <m/>
    <m/>
    <m/>
    <m/>
    <m/>
    <m/>
    <m/>
    <m/>
    <m/>
    <m/>
    <m/>
    <m/>
    <m/>
    <m/>
    <m/>
    <m/>
    <m/>
    <m/>
    <m/>
    <m/>
    <m/>
    <m/>
    <m/>
    <m/>
    <m/>
    <m/>
    <m/>
    <m/>
    <m/>
    <m/>
    <m/>
    <m/>
    <m/>
    <m/>
    <n v="2040"/>
    <n v="2040"/>
    <n v="2040"/>
    <n v="2120"/>
    <n v="2120"/>
    <n v="2120"/>
    <n v="2200"/>
    <n v="2200"/>
    <n v="2200"/>
    <m/>
    <m/>
    <m/>
    <x v="53"/>
    <x v="2"/>
    <x v="27"/>
    <n v="2.2000000000000002"/>
    <n v="12.980000000000002"/>
    <n v="0.14176320000000001"/>
    <n v="1.6874000000000002"/>
    <n v="-0.17699999999999999"/>
    <n v="9.1999999999999998E-2"/>
    <x v="54"/>
    <x v="57"/>
    <n v="105"/>
    <n v="120"/>
    <x v="3"/>
    <n v="-0.1092042010119183"/>
    <x v="58"/>
    <x v="59"/>
  </r>
  <r>
    <n v="2032265"/>
    <x v="18"/>
    <x v="6"/>
    <x v="17"/>
    <s v="DP"/>
    <x v="7"/>
    <s v="KOEHLER 8269 ECO"/>
    <s v="beige"/>
    <n v="32102"/>
    <m/>
    <m/>
    <s v="EU"/>
    <x v="4"/>
    <x v="0"/>
    <m/>
    <m/>
    <m/>
    <x v="2"/>
    <m/>
    <m/>
    <m/>
    <s v="ton"/>
    <x v="2"/>
    <x v="2"/>
    <m/>
    <m/>
    <m/>
    <m/>
    <m/>
    <m/>
    <m/>
    <m/>
    <m/>
    <m/>
    <m/>
    <m/>
    <m/>
    <m/>
    <m/>
    <m/>
    <m/>
    <m/>
    <m/>
    <m/>
    <m/>
    <m/>
    <m/>
    <m/>
    <m/>
    <m/>
    <m/>
    <m/>
    <m/>
    <m/>
    <m/>
    <m/>
    <m/>
    <m/>
    <m/>
    <m/>
    <n v="2070"/>
    <n v="2070"/>
    <n v="2070"/>
    <n v="2150"/>
    <n v="2150"/>
    <n v="2150"/>
    <n v="2230"/>
    <n v="2230"/>
    <n v="2230"/>
    <m/>
    <m/>
    <m/>
    <x v="54"/>
    <x v="2"/>
    <x v="28"/>
    <n v="2.23"/>
    <n v="13.157"/>
    <n v="0.14176320000000001"/>
    <n v="1.71041"/>
    <n v="-0.17699999999999999"/>
    <n v="9.1999999999999998E-2"/>
    <x v="55"/>
    <x v="58"/>
    <n v="105"/>
    <n v="120"/>
    <x v="3"/>
    <n v="-0.11068760838439395"/>
    <x v="59"/>
    <x v="60"/>
  </r>
  <r>
    <n v="2032265"/>
    <x v="18"/>
    <x v="6"/>
    <x v="17"/>
    <s v="DP"/>
    <x v="7"/>
    <s v="KOEHLER 8269 ECO"/>
    <s v="beige"/>
    <n v="32102"/>
    <m/>
    <m/>
    <s v="EU"/>
    <x v="4"/>
    <x v="0"/>
    <m/>
    <m/>
    <m/>
    <x v="2"/>
    <m/>
    <m/>
    <m/>
    <s v="ton"/>
    <x v="11"/>
    <x v="2"/>
    <m/>
    <m/>
    <m/>
    <m/>
    <m/>
    <m/>
    <m/>
    <m/>
    <m/>
    <m/>
    <m/>
    <m/>
    <m/>
    <m/>
    <m/>
    <m/>
    <m/>
    <m/>
    <m/>
    <m/>
    <m/>
    <m/>
    <m/>
    <m/>
    <m/>
    <m/>
    <m/>
    <m/>
    <m/>
    <m/>
    <m/>
    <m/>
    <m/>
    <m/>
    <m/>
    <m/>
    <n v="2120"/>
    <n v="2120"/>
    <n v="2120"/>
    <n v="2200"/>
    <n v="2200"/>
    <n v="2200"/>
    <n v="2280"/>
    <n v="2280"/>
    <n v="2280"/>
    <m/>
    <m/>
    <m/>
    <x v="47"/>
    <x v="2"/>
    <x v="29"/>
    <n v="2.2799999999999998"/>
    <n v="13.452"/>
    <n v="0.14176320000000001"/>
    <n v="1.7487600000000001"/>
    <n v="-0.17699999999999999"/>
    <n v="9.1999999999999998E-2"/>
    <x v="47"/>
    <x v="50"/>
    <n v="105"/>
    <n v="120"/>
    <x v="3"/>
    <n v="-0.11315995400518375"/>
    <x v="51"/>
    <x v="52"/>
  </r>
  <r>
    <n v="2037349"/>
    <x v="25"/>
    <x v="9"/>
    <x v="17"/>
    <s v="DP"/>
    <x v="13"/>
    <s v="MALTADECOR 0248"/>
    <s v="gray"/>
    <s v="U248"/>
    <m/>
    <m/>
    <s v="EU"/>
    <x v="0"/>
    <x v="4"/>
    <m/>
    <m/>
    <m/>
    <x v="0"/>
    <m/>
    <m/>
    <m/>
    <s v="ton"/>
    <x v="20"/>
    <x v="2"/>
    <m/>
    <m/>
    <m/>
    <m/>
    <m/>
    <m/>
    <m/>
    <m/>
    <m/>
    <m/>
    <m/>
    <m/>
    <m/>
    <m/>
    <m/>
    <m/>
    <m/>
    <m/>
    <m/>
    <m/>
    <m/>
    <m/>
    <m/>
    <m/>
    <m/>
    <m/>
    <m/>
    <m/>
    <m/>
    <m/>
    <m/>
    <m/>
    <m/>
    <m/>
    <m/>
    <m/>
    <n v="2480"/>
    <n v="2480"/>
    <n v="2480"/>
    <n v="2450"/>
    <n v="2450"/>
    <n v="2450"/>
    <n v="2530"/>
    <n v="2530"/>
    <n v="2530"/>
    <m/>
    <m/>
    <m/>
    <x v="87"/>
    <x v="2"/>
    <x v="111"/>
    <n v="2.5299999999999998"/>
    <n v="14.927"/>
    <n v="0.14176320000000001"/>
    <n v="1.94051"/>
    <n v="0"/>
    <n v="9.1999999999999998E-2"/>
    <x v="97"/>
    <x v="192"/>
    <n v="105"/>
    <n v="30"/>
    <x v="4"/>
    <n v="0.64853034746312943"/>
    <x v="165"/>
    <x v="197"/>
  </r>
  <r>
    <n v="2043069"/>
    <x v="24"/>
    <x v="11"/>
    <x v="17"/>
    <s v="DP"/>
    <x v="5"/>
    <s v="TECHNOCELL 6552F EIR"/>
    <s v="beige"/>
    <s v="6552F"/>
    <m/>
    <m/>
    <s v="EU"/>
    <x v="4"/>
    <x v="1"/>
    <m/>
    <m/>
    <m/>
    <x v="0"/>
    <m/>
    <m/>
    <m/>
    <s v="ton"/>
    <x v="3"/>
    <x v="2"/>
    <m/>
    <m/>
    <m/>
    <m/>
    <m/>
    <m/>
    <m/>
    <m/>
    <m/>
    <m/>
    <m/>
    <m/>
    <m/>
    <m/>
    <m/>
    <m/>
    <m/>
    <m/>
    <m/>
    <m/>
    <m/>
    <m/>
    <m/>
    <m/>
    <m/>
    <m/>
    <m/>
    <m/>
    <m/>
    <m/>
    <m/>
    <m/>
    <m/>
    <m/>
    <m/>
    <m/>
    <n v="2200"/>
    <n v="2200"/>
    <n v="2200"/>
    <n v="2300"/>
    <n v="2300"/>
    <n v="2300"/>
    <n v="2380"/>
    <n v="2380"/>
    <n v="2380"/>
    <m/>
    <m/>
    <m/>
    <x v="50"/>
    <x v="2"/>
    <x v="133"/>
    <n v="2.38"/>
    <n v="14.042"/>
    <n v="0.14176320000000001"/>
    <n v="1.8254600000000001"/>
    <n v="0"/>
    <n v="9.1999999999999998E-2"/>
    <x v="96"/>
    <x v="219"/>
    <n v="105"/>
    <n v="120"/>
    <x v="3"/>
    <n v="-0.11941739513390992"/>
    <x v="103"/>
    <x v="227"/>
  </r>
  <r>
    <n v="2043069"/>
    <x v="24"/>
    <x v="11"/>
    <x v="17"/>
    <s v="DP"/>
    <x v="5"/>
    <s v="TECHNOCELL 6552F EIR"/>
    <s v="beige"/>
    <s v="6552F"/>
    <m/>
    <m/>
    <s v="EU"/>
    <x v="4"/>
    <x v="1"/>
    <m/>
    <m/>
    <m/>
    <x v="0"/>
    <m/>
    <m/>
    <m/>
    <s v="ton"/>
    <x v="2"/>
    <x v="2"/>
    <m/>
    <m/>
    <m/>
    <m/>
    <m/>
    <m/>
    <m/>
    <m/>
    <m/>
    <m/>
    <m/>
    <m/>
    <m/>
    <m/>
    <m/>
    <m/>
    <m/>
    <m/>
    <m/>
    <m/>
    <m/>
    <m/>
    <m/>
    <m/>
    <m/>
    <m/>
    <m/>
    <m/>
    <m/>
    <m/>
    <m/>
    <m/>
    <m/>
    <m/>
    <m/>
    <m/>
    <n v="2220"/>
    <n v="2220"/>
    <n v="2220"/>
    <n v="2320"/>
    <n v="2320"/>
    <n v="2320"/>
    <n v="2400"/>
    <n v="2400"/>
    <n v="2400"/>
    <m/>
    <m/>
    <m/>
    <x v="68"/>
    <x v="2"/>
    <x v="134"/>
    <n v="2.4"/>
    <n v="14.16"/>
    <n v="0.14176320000000001"/>
    <n v="1.8408"/>
    <n v="0"/>
    <n v="9.1999999999999998E-2"/>
    <x v="102"/>
    <x v="122"/>
    <n v="105"/>
    <n v="120"/>
    <x v="3"/>
    <n v="-0.12040633338222761"/>
    <x v="110"/>
    <x v="126"/>
  </r>
  <r>
    <n v="2043069"/>
    <x v="24"/>
    <x v="11"/>
    <x v="17"/>
    <s v="DP"/>
    <x v="5"/>
    <s v="TECHNOCELL 6552F EIR"/>
    <s v="beige"/>
    <s v="6552F"/>
    <m/>
    <m/>
    <s v="EU"/>
    <x v="4"/>
    <x v="1"/>
    <m/>
    <m/>
    <m/>
    <x v="0"/>
    <m/>
    <m/>
    <m/>
    <s v="ton"/>
    <x v="11"/>
    <x v="2"/>
    <m/>
    <m/>
    <m/>
    <m/>
    <m/>
    <m/>
    <m/>
    <m/>
    <m/>
    <m/>
    <m/>
    <m/>
    <m/>
    <m/>
    <m/>
    <m/>
    <m/>
    <m/>
    <m/>
    <m/>
    <m/>
    <m/>
    <m/>
    <m/>
    <m/>
    <m/>
    <m/>
    <m/>
    <m/>
    <m/>
    <m/>
    <m/>
    <m/>
    <m/>
    <m/>
    <m/>
    <n v="2270"/>
    <n v="2270"/>
    <n v="2270"/>
    <n v="2370"/>
    <n v="2370"/>
    <n v="2370"/>
    <n v="2450"/>
    <n v="2450"/>
    <n v="2450"/>
    <m/>
    <m/>
    <m/>
    <x v="22"/>
    <x v="2"/>
    <x v="135"/>
    <n v="2.4500000000000002"/>
    <n v="14.455000000000002"/>
    <n v="0.14176320000000001"/>
    <n v="1.8791500000000003"/>
    <n v="0"/>
    <n v="9.1999999999999998E-2"/>
    <x v="22"/>
    <x v="123"/>
    <n v="105"/>
    <n v="120"/>
    <x v="3"/>
    <n v="-0.12287867900301563"/>
    <x v="42"/>
    <x v="127"/>
  </r>
  <r>
    <n v="2043069"/>
    <x v="24"/>
    <x v="11"/>
    <x v="17"/>
    <s v="DP"/>
    <x v="5"/>
    <s v="TECHNOCELL 6552F EIR"/>
    <s v="beige"/>
    <s v="6552F"/>
    <m/>
    <m/>
    <s v="EU"/>
    <x v="4"/>
    <x v="1"/>
    <m/>
    <m/>
    <m/>
    <x v="0"/>
    <m/>
    <m/>
    <m/>
    <s v="ton"/>
    <x v="1"/>
    <x v="2"/>
    <m/>
    <m/>
    <m/>
    <m/>
    <m/>
    <m/>
    <m/>
    <m/>
    <m/>
    <m/>
    <m/>
    <m/>
    <m/>
    <m/>
    <m/>
    <m/>
    <m/>
    <m/>
    <m/>
    <m/>
    <m/>
    <m/>
    <m/>
    <m/>
    <m/>
    <m/>
    <m/>
    <m/>
    <m/>
    <m/>
    <m/>
    <m/>
    <m/>
    <m/>
    <m/>
    <m/>
    <n v="2320"/>
    <n v="2320"/>
    <n v="2320"/>
    <n v="2420"/>
    <n v="2420"/>
    <n v="2420"/>
    <n v="2500"/>
    <n v="2500"/>
    <n v="2500"/>
    <m/>
    <m/>
    <m/>
    <x v="41"/>
    <x v="2"/>
    <x v="136"/>
    <n v="2.5"/>
    <n v="14.75"/>
    <n v="0.14176320000000001"/>
    <n v="1.9175"/>
    <n v="0"/>
    <n v="9.1999999999999998E-2"/>
    <x v="41"/>
    <x v="124"/>
    <n v="105"/>
    <n v="120"/>
    <x v="3"/>
    <n v="-0.12535102462380721"/>
    <x v="43"/>
    <x v="128"/>
  </r>
  <r>
    <n v="2043069"/>
    <x v="24"/>
    <x v="11"/>
    <x v="17"/>
    <s v="DP"/>
    <x v="5"/>
    <s v="TECHNOCELL 6552F EIR"/>
    <s v="beige"/>
    <s v="6552F"/>
    <m/>
    <m/>
    <s v="EU"/>
    <x v="4"/>
    <x v="1"/>
    <m/>
    <m/>
    <m/>
    <x v="0"/>
    <m/>
    <m/>
    <m/>
    <s v="ton"/>
    <x v="12"/>
    <x v="2"/>
    <m/>
    <m/>
    <m/>
    <m/>
    <m/>
    <m/>
    <m/>
    <m/>
    <m/>
    <m/>
    <m/>
    <m/>
    <m/>
    <m/>
    <m/>
    <m/>
    <m/>
    <m/>
    <m/>
    <m/>
    <m/>
    <m/>
    <m/>
    <m/>
    <m/>
    <m/>
    <m/>
    <m/>
    <m/>
    <m/>
    <m/>
    <m/>
    <m/>
    <m/>
    <m/>
    <m/>
    <n v="2400"/>
    <n v="2400"/>
    <n v="2400"/>
    <n v="2500"/>
    <n v="2500"/>
    <n v="2500"/>
    <n v="2580"/>
    <n v="2580"/>
    <n v="2580"/>
    <m/>
    <m/>
    <m/>
    <x v="92"/>
    <x v="2"/>
    <x v="137"/>
    <n v="2.58"/>
    <n v="15.222000000000001"/>
    <n v="0.14176320000000001"/>
    <n v="1.9788600000000003"/>
    <n v="0"/>
    <n v="9.1999999999999998E-2"/>
    <x v="103"/>
    <x v="125"/>
    <n v="105"/>
    <n v="120"/>
    <x v="3"/>
    <n v="-0.12930677761707088"/>
    <x v="111"/>
    <x v="129"/>
  </r>
  <r>
    <n v="2090448"/>
    <x v="15"/>
    <x v="6"/>
    <x v="17"/>
    <s v="DP"/>
    <x v="12"/>
    <s v="HUAWON HG5089"/>
    <s v="gray"/>
    <s v="HG5089"/>
    <m/>
    <m/>
    <s v="CN"/>
    <x v="1"/>
    <x v="2"/>
    <m/>
    <n v="90"/>
    <m/>
    <x v="0"/>
    <m/>
    <m/>
    <m/>
    <s v="ton"/>
    <x v="3"/>
    <x v="3"/>
    <m/>
    <m/>
    <m/>
    <m/>
    <m/>
    <m/>
    <m/>
    <m/>
    <m/>
    <m/>
    <m/>
    <m/>
    <m/>
    <m/>
    <m/>
    <m/>
    <m/>
    <m/>
    <m/>
    <m/>
    <m/>
    <m/>
    <m/>
    <m/>
    <m/>
    <m/>
    <m/>
    <m/>
    <m/>
    <m/>
    <m/>
    <m/>
    <m/>
    <m/>
    <m/>
    <m/>
    <n v="12000"/>
    <n v="12000"/>
    <n v="12000"/>
    <n v="12000"/>
    <n v="12000"/>
    <n v="12000"/>
    <m/>
    <m/>
    <m/>
    <m/>
    <m/>
    <m/>
    <x v="119"/>
    <x v="4"/>
    <x v="12"/>
    <n v="12"/>
    <n v="9"/>
    <n v="1.11958"/>
    <n v="1.2600000000000002"/>
    <n v="0"/>
    <n v="9.1999999999999998E-2"/>
    <x v="134"/>
    <x v="173"/>
    <n v="120"/>
    <n v="90"/>
    <x v="1"/>
    <n v="0.17207369999999855"/>
    <x v="144"/>
    <x v="178"/>
  </r>
  <r>
    <n v="7000403"/>
    <x v="19"/>
    <x v="3"/>
    <x v="17"/>
    <s v="DP"/>
    <x v="6"/>
    <s v="DEKORPRINT WHITE 990"/>
    <s v="white"/>
    <n v="990"/>
    <m/>
    <s v="yes"/>
    <s v="BR"/>
    <x v="3"/>
    <x v="0"/>
    <m/>
    <n v="3"/>
    <s v="monthly"/>
    <x v="0"/>
    <n v="0.12"/>
    <s v="Sim"/>
    <n v="9.2499999999999999E-2"/>
    <s v="ton"/>
    <x v="16"/>
    <x v="0"/>
    <m/>
    <m/>
    <m/>
    <m/>
    <m/>
    <m/>
    <m/>
    <m/>
    <m/>
    <m/>
    <m/>
    <m/>
    <m/>
    <m/>
    <m/>
    <m/>
    <m/>
    <m/>
    <m/>
    <m/>
    <m/>
    <m/>
    <m/>
    <m/>
    <m/>
    <m/>
    <m/>
    <m/>
    <m/>
    <m/>
    <m/>
    <m/>
    <m/>
    <m/>
    <m/>
    <m/>
    <n v="13634"/>
    <n v="13634"/>
    <n v="13634"/>
    <n v="14425"/>
    <n v="14425"/>
    <n v="14425"/>
    <n v="15045"/>
    <n v="15045"/>
    <n v="15045"/>
    <m/>
    <m/>
    <m/>
    <x v="78"/>
    <x v="2"/>
    <x v="59"/>
    <n v="15.045"/>
    <n v="15.045"/>
    <n v="0"/>
    <n v="0"/>
    <n v="0"/>
    <n v="0.2"/>
    <x v="85"/>
    <x v="101"/>
    <n v="45"/>
    <n v="0"/>
    <x v="2"/>
    <n v="0.34429559908687146"/>
    <x v="89"/>
    <x v="103"/>
  </r>
  <r>
    <n v="7000440"/>
    <x v="18"/>
    <x v="6"/>
    <x v="17"/>
    <s v="DP"/>
    <x v="6"/>
    <s v="DEKORPRINT BEIGE 756"/>
    <s v="beige"/>
    <n v="756"/>
    <m/>
    <s v="yes"/>
    <s v="BR"/>
    <x v="3"/>
    <x v="0"/>
    <m/>
    <n v="3"/>
    <s v="monthly"/>
    <x v="0"/>
    <n v="0.12"/>
    <s v="Sim"/>
    <n v="9.2499999999999999E-2"/>
    <s v="ton"/>
    <x v="2"/>
    <x v="0"/>
    <m/>
    <m/>
    <m/>
    <m/>
    <m/>
    <m/>
    <m/>
    <m/>
    <m/>
    <m/>
    <m/>
    <m/>
    <m/>
    <m/>
    <m/>
    <m/>
    <m/>
    <m/>
    <m/>
    <m/>
    <m/>
    <m/>
    <m/>
    <m/>
    <m/>
    <m/>
    <m/>
    <m/>
    <m/>
    <m/>
    <m/>
    <m/>
    <m/>
    <m/>
    <m/>
    <m/>
    <n v="18131"/>
    <n v="18131"/>
    <n v="18131"/>
    <n v="19183"/>
    <n v="19183"/>
    <n v="19183"/>
    <n v="20008"/>
    <n v="20008"/>
    <n v="20008"/>
    <m/>
    <m/>
    <m/>
    <x v="44"/>
    <x v="2"/>
    <x v="17"/>
    <n v="20.007999999999999"/>
    <n v="20.007999999999999"/>
    <n v="0"/>
    <n v="0"/>
    <n v="0"/>
    <n v="0.2"/>
    <x v="44"/>
    <x v="47"/>
    <n v="45"/>
    <n v="0"/>
    <x v="2"/>
    <n v="0.45638081117398954"/>
    <x v="48"/>
    <x v="49"/>
  </r>
  <r>
    <n v="7000443"/>
    <x v="25"/>
    <x v="9"/>
    <x v="17"/>
    <s v="DP"/>
    <x v="10"/>
    <s v="SUNSHINE 0248"/>
    <s v="gray"/>
    <m/>
    <m/>
    <m/>
    <s v="CN"/>
    <x v="1"/>
    <x v="3"/>
    <m/>
    <m/>
    <m/>
    <x v="0"/>
    <m/>
    <m/>
    <m/>
    <s v="ton"/>
    <x v="3"/>
    <x v="2"/>
    <m/>
    <m/>
    <m/>
    <m/>
    <m/>
    <m/>
    <m/>
    <m/>
    <m/>
    <m/>
    <m/>
    <m/>
    <m/>
    <m/>
    <m/>
    <m/>
    <m/>
    <m/>
    <m/>
    <m/>
    <m/>
    <m/>
    <m/>
    <m/>
    <m/>
    <m/>
    <m/>
    <m/>
    <m/>
    <m/>
    <m/>
    <m/>
    <n v="1800"/>
    <m/>
    <m/>
    <m/>
    <m/>
    <m/>
    <m/>
    <m/>
    <m/>
    <m/>
    <m/>
    <m/>
    <m/>
    <m/>
    <m/>
    <m/>
    <x v="116"/>
    <x v="0"/>
    <x v="0"/>
    <n v="1.8"/>
    <n v="10.620000000000001"/>
    <n v="1.11958"/>
    <n v="1.4868000000000003"/>
    <n v="0"/>
    <n v="9.1999999999999998E-2"/>
    <x v="131"/>
    <x v="161"/>
    <n v="120"/>
    <n v="90"/>
    <x v="1"/>
    <n v="0.19977569999999822"/>
    <x v="141"/>
    <x v="166"/>
  </r>
  <r>
    <n v="7000444"/>
    <x v="10"/>
    <x v="6"/>
    <x v="17"/>
    <s v="DP"/>
    <x v="5"/>
    <s v="TECHNOCELL 6656"/>
    <s v="beige"/>
    <n v="6656"/>
    <m/>
    <m/>
    <s v="EU"/>
    <x v="4"/>
    <x v="1"/>
    <m/>
    <m/>
    <m/>
    <x v="0"/>
    <m/>
    <m/>
    <m/>
    <s v="ton"/>
    <x v="2"/>
    <x v="2"/>
    <m/>
    <m/>
    <m/>
    <m/>
    <m/>
    <m/>
    <m/>
    <m/>
    <m/>
    <m/>
    <m/>
    <m/>
    <m/>
    <m/>
    <m/>
    <m/>
    <m/>
    <m/>
    <m/>
    <m/>
    <m/>
    <m/>
    <m/>
    <m/>
    <m/>
    <m/>
    <m/>
    <m/>
    <m/>
    <m/>
    <m/>
    <m/>
    <m/>
    <m/>
    <m/>
    <m/>
    <n v="2540"/>
    <n v="2540"/>
    <n v="2540"/>
    <n v="2640"/>
    <n v="2640"/>
    <n v="2640"/>
    <n v="2720"/>
    <n v="2720"/>
    <n v="2720"/>
    <m/>
    <m/>
    <m/>
    <x v="82"/>
    <x v="2"/>
    <x v="138"/>
    <n v="2.72"/>
    <n v="16.048000000000002"/>
    <n v="0.14176320000000001"/>
    <n v="2.0862400000000001"/>
    <n v="0"/>
    <n v="9.1999999999999998E-2"/>
    <x v="89"/>
    <x v="105"/>
    <n v="105"/>
    <n v="120"/>
    <x v="3"/>
    <n v="-0.13622934535528586"/>
    <x v="94"/>
    <x v="108"/>
  </r>
  <r>
    <n v="7000444"/>
    <x v="10"/>
    <x v="6"/>
    <x v="17"/>
    <s v="DP"/>
    <x v="5"/>
    <s v="TECHNOCELL 6656"/>
    <s v="beige"/>
    <n v="6656"/>
    <m/>
    <m/>
    <s v="EU"/>
    <x v="4"/>
    <x v="1"/>
    <m/>
    <m/>
    <m/>
    <x v="0"/>
    <m/>
    <m/>
    <m/>
    <s v="ton"/>
    <x v="11"/>
    <x v="2"/>
    <m/>
    <m/>
    <m/>
    <m/>
    <m/>
    <m/>
    <m/>
    <m/>
    <m/>
    <m/>
    <m/>
    <m/>
    <m/>
    <m/>
    <m/>
    <m/>
    <m/>
    <m/>
    <m/>
    <m/>
    <m/>
    <m/>
    <m/>
    <m/>
    <m/>
    <m/>
    <m/>
    <m/>
    <m/>
    <m/>
    <m/>
    <m/>
    <m/>
    <m/>
    <m/>
    <m/>
    <n v="2590"/>
    <n v="2590"/>
    <n v="2590"/>
    <n v="2690"/>
    <n v="2690"/>
    <n v="2690"/>
    <n v="2770"/>
    <n v="2770"/>
    <n v="2770"/>
    <m/>
    <m/>
    <m/>
    <x v="83"/>
    <x v="2"/>
    <x v="139"/>
    <n v="2.77"/>
    <n v="16.343"/>
    <n v="0.14176320000000001"/>
    <n v="2.12459"/>
    <n v="0"/>
    <n v="9.1999999999999998E-2"/>
    <x v="90"/>
    <x v="106"/>
    <n v="105"/>
    <n v="120"/>
    <x v="3"/>
    <n v="-0.13870169097607388"/>
    <x v="95"/>
    <x v="109"/>
  </r>
  <r>
    <n v="7000444"/>
    <x v="10"/>
    <x v="6"/>
    <x v="17"/>
    <s v="DP"/>
    <x v="5"/>
    <s v="TECHNOCELL 6656"/>
    <s v="beige"/>
    <n v="6656"/>
    <m/>
    <m/>
    <s v="EU"/>
    <x v="4"/>
    <x v="1"/>
    <m/>
    <m/>
    <m/>
    <x v="0"/>
    <m/>
    <m/>
    <m/>
    <s v="ton"/>
    <x v="1"/>
    <x v="2"/>
    <m/>
    <m/>
    <m/>
    <m/>
    <m/>
    <m/>
    <m/>
    <m/>
    <m/>
    <m/>
    <m/>
    <m/>
    <m/>
    <m/>
    <m/>
    <m/>
    <m/>
    <m/>
    <m/>
    <m/>
    <m/>
    <m/>
    <m/>
    <m/>
    <m/>
    <m/>
    <m/>
    <m/>
    <m/>
    <m/>
    <m/>
    <m/>
    <m/>
    <m/>
    <m/>
    <m/>
    <n v="2640"/>
    <n v="2640"/>
    <n v="2640"/>
    <n v="2740"/>
    <n v="2740"/>
    <n v="2740"/>
    <n v="2820"/>
    <n v="2820"/>
    <n v="2820"/>
    <m/>
    <m/>
    <m/>
    <x v="84"/>
    <x v="2"/>
    <x v="140"/>
    <n v="2.82"/>
    <n v="16.638000000000002"/>
    <n v="0.14176320000000001"/>
    <n v="2.1629400000000003"/>
    <n v="0"/>
    <n v="9.1999999999999998E-2"/>
    <x v="91"/>
    <x v="107"/>
    <n v="105"/>
    <n v="120"/>
    <x v="3"/>
    <n v="-0.14117403659686545"/>
    <x v="96"/>
    <x v="110"/>
  </r>
  <r>
    <n v="7000444"/>
    <x v="10"/>
    <x v="6"/>
    <x v="17"/>
    <s v="DP"/>
    <x v="5"/>
    <s v="TECHNOCELL 6656"/>
    <s v="beige"/>
    <n v="6656"/>
    <m/>
    <m/>
    <s v="EU"/>
    <x v="4"/>
    <x v="1"/>
    <m/>
    <m/>
    <m/>
    <x v="0"/>
    <m/>
    <m/>
    <m/>
    <s v="ton"/>
    <x v="12"/>
    <x v="2"/>
    <m/>
    <m/>
    <m/>
    <m/>
    <m/>
    <m/>
    <m/>
    <m/>
    <m/>
    <m/>
    <m/>
    <m/>
    <m/>
    <m/>
    <m/>
    <m/>
    <m/>
    <m/>
    <m/>
    <m/>
    <m/>
    <m/>
    <m/>
    <m/>
    <m/>
    <m/>
    <m/>
    <m/>
    <m/>
    <m/>
    <m/>
    <m/>
    <m/>
    <m/>
    <m/>
    <m/>
    <n v="2720"/>
    <n v="2720"/>
    <n v="2720"/>
    <n v="2820"/>
    <n v="2820"/>
    <n v="2820"/>
    <n v="2900"/>
    <n v="2900"/>
    <n v="2900"/>
    <m/>
    <m/>
    <m/>
    <x v="25"/>
    <x v="2"/>
    <x v="141"/>
    <n v="2.9"/>
    <n v="17.11"/>
    <n v="0.14176320000000001"/>
    <n v="2.2242999999999999"/>
    <n v="0"/>
    <n v="9.1999999999999998E-2"/>
    <x v="25"/>
    <x v="108"/>
    <n v="105"/>
    <n v="120"/>
    <x v="3"/>
    <n v="-0.14512978959012912"/>
    <x v="97"/>
    <x v="111"/>
  </r>
  <r>
    <n v="7000447"/>
    <x v="39"/>
    <x v="9"/>
    <x v="17"/>
    <s v="DP"/>
    <x v="13"/>
    <s v="MALTADECOR 0301"/>
    <s v="dark beige"/>
    <s v="U301"/>
    <m/>
    <m/>
    <s v="EU"/>
    <x v="0"/>
    <x v="4"/>
    <m/>
    <m/>
    <m/>
    <x v="0"/>
    <m/>
    <m/>
    <m/>
    <s v="ton"/>
    <x v="20"/>
    <x v="2"/>
    <m/>
    <m/>
    <m/>
    <m/>
    <m/>
    <m/>
    <m/>
    <m/>
    <m/>
    <m/>
    <m/>
    <m/>
    <m/>
    <m/>
    <m/>
    <m/>
    <m/>
    <m/>
    <m/>
    <m/>
    <m/>
    <m/>
    <m/>
    <m/>
    <m/>
    <m/>
    <m/>
    <m/>
    <m/>
    <m/>
    <m/>
    <m/>
    <m/>
    <m/>
    <m/>
    <m/>
    <n v="2480"/>
    <n v="2480"/>
    <n v="2480"/>
    <n v="2250"/>
    <n v="2250"/>
    <n v="2250"/>
    <n v="2330"/>
    <n v="2330"/>
    <n v="2330"/>
    <m/>
    <m/>
    <m/>
    <x v="45"/>
    <x v="2"/>
    <x v="142"/>
    <n v="2.33"/>
    <n v="13.747000000000002"/>
    <n v="0.14176320000000001"/>
    <n v="1.7871100000000002"/>
    <n v="0"/>
    <n v="9.1999999999999998E-2"/>
    <x v="95"/>
    <x v="191"/>
    <n v="105"/>
    <n v="30"/>
    <x v="4"/>
    <n v="0.59796391564287354"/>
    <x v="164"/>
    <x v="196"/>
  </r>
  <r>
    <n v="7000448"/>
    <x v="27"/>
    <x v="6"/>
    <x v="17"/>
    <s v="DP"/>
    <x v="6"/>
    <s v="DEKORPRINT BEIGE 752"/>
    <s v="beige"/>
    <n v="752"/>
    <m/>
    <m/>
    <s v="BR"/>
    <x v="3"/>
    <x v="0"/>
    <m/>
    <n v="3"/>
    <s v="monthly"/>
    <x v="0"/>
    <n v="0.12"/>
    <s v="Sim"/>
    <n v="9.2499999999999999E-2"/>
    <s v="ton"/>
    <x v="2"/>
    <x v="0"/>
    <m/>
    <m/>
    <m/>
    <m/>
    <m/>
    <m/>
    <m/>
    <m/>
    <m/>
    <m/>
    <m/>
    <m/>
    <m/>
    <m/>
    <m/>
    <m/>
    <m/>
    <m/>
    <m/>
    <m/>
    <m/>
    <m/>
    <m/>
    <m/>
    <m/>
    <m/>
    <m/>
    <m/>
    <m/>
    <m/>
    <m/>
    <m/>
    <m/>
    <m/>
    <m/>
    <m/>
    <n v="17118"/>
    <n v="17118"/>
    <n v="17118"/>
    <n v="18111"/>
    <n v="18111"/>
    <n v="18111"/>
    <n v="18889"/>
    <n v="18889"/>
    <n v="18889"/>
    <m/>
    <m/>
    <m/>
    <x v="69"/>
    <x v="2"/>
    <x v="51"/>
    <n v="18.888999999999999"/>
    <n v="18.888999999999999"/>
    <n v="0"/>
    <n v="0"/>
    <n v="0"/>
    <n v="0.2"/>
    <x v="76"/>
    <x v="220"/>
    <n v="45"/>
    <n v="0"/>
    <x v="2"/>
    <n v="0.43110913027020459"/>
    <x v="80"/>
    <x v="228"/>
  </r>
  <r>
    <n v="7000450"/>
    <x v="26"/>
    <x v="9"/>
    <x v="17"/>
    <s v="DP"/>
    <x v="13"/>
    <s v="MALTADECOR 244"/>
    <s v="beige"/>
    <s v="U244"/>
    <m/>
    <m/>
    <s v="EU"/>
    <x v="0"/>
    <x v="4"/>
    <m/>
    <m/>
    <m/>
    <x v="0"/>
    <m/>
    <m/>
    <m/>
    <s v="ton"/>
    <x v="20"/>
    <x v="2"/>
    <m/>
    <m/>
    <m/>
    <m/>
    <m/>
    <m/>
    <m/>
    <m/>
    <m/>
    <m/>
    <m/>
    <m/>
    <m/>
    <m/>
    <m/>
    <m/>
    <m/>
    <m/>
    <m/>
    <m/>
    <m/>
    <m/>
    <m/>
    <m/>
    <m/>
    <m/>
    <m/>
    <m/>
    <m/>
    <m/>
    <m/>
    <m/>
    <m/>
    <m/>
    <m/>
    <m/>
    <n v="2020"/>
    <n v="2020"/>
    <n v="2020"/>
    <n v="1990"/>
    <n v="1990"/>
    <n v="1990"/>
    <n v="2070"/>
    <n v="2070"/>
    <n v="2070"/>
    <m/>
    <m/>
    <m/>
    <x v="64"/>
    <x v="2"/>
    <x v="96"/>
    <n v="2.0699999999999998"/>
    <n v="12.212999999999999"/>
    <n v="0.14176320000000001"/>
    <n v="1.58769"/>
    <n v="0"/>
    <n v="9.1999999999999998E-2"/>
    <x v="113"/>
    <x v="188"/>
    <n v="105"/>
    <n v="30"/>
    <x v="4"/>
    <n v="0.53222755427654356"/>
    <x v="161"/>
    <x v="193"/>
  </r>
  <r>
    <n v="7000451"/>
    <x v="23"/>
    <x v="3"/>
    <x v="17"/>
    <s v="DP"/>
    <x v="7"/>
    <s v="KOEHLER 8292 LOP"/>
    <s v="beige"/>
    <n v="32129"/>
    <m/>
    <m/>
    <s v="EU"/>
    <x v="4"/>
    <x v="0"/>
    <m/>
    <m/>
    <m/>
    <x v="2"/>
    <m/>
    <m/>
    <m/>
    <s v="ton"/>
    <x v="3"/>
    <x v="2"/>
    <m/>
    <m/>
    <m/>
    <m/>
    <m/>
    <m/>
    <m/>
    <m/>
    <m/>
    <m/>
    <m/>
    <m/>
    <m/>
    <m/>
    <m/>
    <m/>
    <m/>
    <m/>
    <m/>
    <m/>
    <m/>
    <m/>
    <m/>
    <m/>
    <m/>
    <m/>
    <m/>
    <m/>
    <m/>
    <m/>
    <m/>
    <m/>
    <m/>
    <m/>
    <m/>
    <m/>
    <n v="1720"/>
    <n v="1720"/>
    <n v="1720"/>
    <n v="1800"/>
    <n v="1800"/>
    <n v="1800"/>
    <n v="1880"/>
    <n v="1880"/>
    <n v="1880"/>
    <m/>
    <m/>
    <m/>
    <x v="60"/>
    <x v="2"/>
    <x v="35"/>
    <n v="1.88"/>
    <n v="11.092000000000001"/>
    <n v="0.14176320000000001"/>
    <n v="1.4419600000000001"/>
    <n v="-0.17699999999999999"/>
    <n v="9.1999999999999998E-2"/>
    <x v="62"/>
    <x v="65"/>
    <n v="105"/>
    <n v="120"/>
    <x v="3"/>
    <n v="-9.3381189038860057E-2"/>
    <x v="66"/>
    <x v="67"/>
  </r>
  <r>
    <n v="7000451"/>
    <x v="23"/>
    <x v="3"/>
    <x v="17"/>
    <s v="DP"/>
    <x v="7"/>
    <s v="KOEHLER 8292 LOP"/>
    <s v="beige"/>
    <n v="32129"/>
    <m/>
    <m/>
    <s v="EU"/>
    <x v="4"/>
    <x v="0"/>
    <m/>
    <m/>
    <m/>
    <x v="2"/>
    <m/>
    <m/>
    <m/>
    <s v="ton"/>
    <x v="16"/>
    <x v="2"/>
    <m/>
    <m/>
    <m/>
    <m/>
    <m/>
    <m/>
    <m/>
    <m/>
    <m/>
    <m/>
    <m/>
    <m/>
    <m/>
    <m/>
    <m/>
    <m/>
    <m/>
    <m/>
    <m/>
    <m/>
    <m/>
    <m/>
    <m/>
    <m/>
    <m/>
    <m/>
    <m/>
    <m/>
    <m/>
    <m/>
    <m/>
    <m/>
    <m/>
    <m/>
    <m/>
    <m/>
    <n v="1740"/>
    <n v="1740"/>
    <n v="1740"/>
    <n v="1820"/>
    <n v="1820"/>
    <n v="1820"/>
    <n v="1900"/>
    <n v="1900"/>
    <n v="1900"/>
    <m/>
    <m/>
    <m/>
    <x v="35"/>
    <x v="2"/>
    <x v="36"/>
    <n v="1.9"/>
    <n v="11.21"/>
    <n v="0.14176320000000001"/>
    <n v="1.4573000000000003"/>
    <n v="-0.17699999999999999"/>
    <n v="9.1999999999999998E-2"/>
    <x v="63"/>
    <x v="66"/>
    <n v="105"/>
    <n v="120"/>
    <x v="3"/>
    <n v="-9.4370127287175976E-2"/>
    <x v="67"/>
    <x v="68"/>
  </r>
  <r>
    <n v="7000451"/>
    <x v="23"/>
    <x v="3"/>
    <x v="17"/>
    <s v="DP"/>
    <x v="7"/>
    <s v="KOEHLER 8292 LOP"/>
    <s v="beige"/>
    <n v="32129"/>
    <m/>
    <m/>
    <s v="EU"/>
    <x v="4"/>
    <x v="0"/>
    <m/>
    <m/>
    <m/>
    <x v="2"/>
    <m/>
    <m/>
    <m/>
    <s v="ton"/>
    <x v="2"/>
    <x v="2"/>
    <m/>
    <m/>
    <m/>
    <m/>
    <m/>
    <m/>
    <m/>
    <m/>
    <m/>
    <m/>
    <m/>
    <m/>
    <m/>
    <m/>
    <m/>
    <m/>
    <m/>
    <m/>
    <m/>
    <m/>
    <m/>
    <m/>
    <m/>
    <m/>
    <m/>
    <m/>
    <m/>
    <m/>
    <m/>
    <m/>
    <m/>
    <m/>
    <m/>
    <m/>
    <m/>
    <m/>
    <n v="1770"/>
    <n v="1770"/>
    <n v="1770"/>
    <n v="1850"/>
    <n v="1850"/>
    <n v="1850"/>
    <n v="1930"/>
    <n v="1930"/>
    <n v="1930"/>
    <m/>
    <m/>
    <m/>
    <x v="61"/>
    <x v="2"/>
    <x v="37"/>
    <n v="1.93"/>
    <n v="11.387"/>
    <n v="0.14176320000000001"/>
    <n v="1.48031"/>
    <n v="-0.17699999999999999"/>
    <n v="9.1999999999999998E-2"/>
    <x v="64"/>
    <x v="67"/>
    <n v="105"/>
    <n v="120"/>
    <x v="3"/>
    <n v="-9.5853534659651629E-2"/>
    <x v="68"/>
    <x v="69"/>
  </r>
  <r>
    <n v="7000451"/>
    <x v="23"/>
    <x v="3"/>
    <x v="17"/>
    <s v="DP"/>
    <x v="7"/>
    <s v="KOEHLER 8292 LOP"/>
    <s v="beige"/>
    <n v="32129"/>
    <m/>
    <m/>
    <s v="EU"/>
    <x v="4"/>
    <x v="0"/>
    <m/>
    <m/>
    <m/>
    <x v="2"/>
    <m/>
    <m/>
    <m/>
    <s v="ton"/>
    <x v="11"/>
    <x v="2"/>
    <m/>
    <m/>
    <m/>
    <m/>
    <m/>
    <m/>
    <m/>
    <m/>
    <m/>
    <m/>
    <m/>
    <m/>
    <m/>
    <m/>
    <m/>
    <m/>
    <m/>
    <m/>
    <m/>
    <m/>
    <m/>
    <m/>
    <m/>
    <m/>
    <m/>
    <m/>
    <m/>
    <m/>
    <m/>
    <m/>
    <m/>
    <m/>
    <m/>
    <m/>
    <m/>
    <m/>
    <n v="1820"/>
    <n v="1820"/>
    <n v="1820"/>
    <n v="1900"/>
    <n v="1900"/>
    <n v="1900"/>
    <n v="1980"/>
    <n v="1980"/>
    <n v="1980"/>
    <m/>
    <m/>
    <m/>
    <x v="62"/>
    <x v="2"/>
    <x v="38"/>
    <n v="1.98"/>
    <n v="11.682"/>
    <n v="0.14176320000000001"/>
    <n v="1.5186600000000001"/>
    <n v="-0.17699999999999999"/>
    <n v="9.1999999999999998E-2"/>
    <x v="65"/>
    <x v="68"/>
    <n v="105"/>
    <n v="120"/>
    <x v="3"/>
    <n v="-9.8325880280441424E-2"/>
    <x v="69"/>
    <x v="70"/>
  </r>
  <r>
    <n v="7000452"/>
    <x v="21"/>
    <x v="6"/>
    <x v="17"/>
    <s v="DP"/>
    <x v="8"/>
    <s v="MUNKSJO 1410 ECO"/>
    <s v="brown"/>
    <n v="1410"/>
    <m/>
    <m/>
    <s v="EU"/>
    <x v="2"/>
    <x v="0"/>
    <m/>
    <m/>
    <m/>
    <x v="0"/>
    <m/>
    <m/>
    <m/>
    <s v="ton"/>
    <x v="3"/>
    <x v="2"/>
    <m/>
    <m/>
    <m/>
    <m/>
    <m/>
    <m/>
    <m/>
    <m/>
    <m/>
    <m/>
    <m/>
    <m/>
    <m/>
    <m/>
    <m/>
    <m/>
    <m/>
    <m/>
    <m/>
    <m/>
    <m/>
    <m/>
    <m/>
    <m/>
    <m/>
    <m/>
    <m/>
    <m/>
    <m/>
    <m/>
    <m/>
    <m/>
    <m/>
    <m/>
    <m/>
    <m/>
    <n v="1790"/>
    <n v="1790"/>
    <n v="1790"/>
    <n v="1870"/>
    <n v="1950"/>
    <n v="1950"/>
    <n v="2070"/>
    <n v="2020"/>
    <n v="2020"/>
    <m/>
    <m/>
    <m/>
    <x v="56"/>
    <x v="2"/>
    <x v="84"/>
    <n v="2.02"/>
    <n v="11.918000000000001"/>
    <n v="0.14176320000000001"/>
    <n v="1.5493400000000002"/>
    <n v="0"/>
    <n v="9.1999999999999998E-2"/>
    <x v="112"/>
    <x v="139"/>
    <n v="105"/>
    <n v="60"/>
    <x v="2"/>
    <n v="0.30942797864185323"/>
    <x v="121"/>
    <x v="143"/>
  </r>
  <r>
    <n v="7000454"/>
    <x v="22"/>
    <x v="6"/>
    <x v="17"/>
    <s v="DP"/>
    <x v="8"/>
    <s v="MUNKSJO 1430 ECO"/>
    <s v="brown"/>
    <n v="1430"/>
    <m/>
    <m/>
    <s v="EU"/>
    <x v="2"/>
    <x v="0"/>
    <m/>
    <m/>
    <m/>
    <x v="0"/>
    <m/>
    <m/>
    <m/>
    <s v="ton"/>
    <x v="3"/>
    <x v="2"/>
    <m/>
    <m/>
    <m/>
    <m/>
    <m/>
    <m/>
    <m/>
    <m/>
    <m/>
    <m/>
    <m/>
    <m/>
    <m/>
    <m/>
    <m/>
    <m/>
    <m/>
    <m/>
    <m/>
    <m/>
    <m/>
    <m/>
    <m/>
    <m/>
    <m/>
    <m/>
    <m/>
    <m/>
    <m/>
    <m/>
    <m/>
    <m/>
    <m/>
    <m/>
    <m/>
    <m/>
    <n v="1790"/>
    <n v="1790"/>
    <n v="1790"/>
    <n v="1870"/>
    <n v="1950"/>
    <n v="1950"/>
    <n v="2070"/>
    <n v="2020"/>
    <n v="2020"/>
    <m/>
    <m/>
    <m/>
    <x v="56"/>
    <x v="2"/>
    <x v="84"/>
    <n v="2.02"/>
    <n v="11.918000000000001"/>
    <n v="0.14176320000000001"/>
    <n v="1.5493400000000002"/>
    <n v="0"/>
    <n v="9.1999999999999998E-2"/>
    <x v="112"/>
    <x v="139"/>
    <n v="105"/>
    <n v="60"/>
    <x v="2"/>
    <n v="0.30942797864185323"/>
    <x v="121"/>
    <x v="143"/>
  </r>
  <r>
    <n v="7000456"/>
    <x v="15"/>
    <x v="6"/>
    <x v="17"/>
    <s v="DP"/>
    <x v="7"/>
    <s v="KOEHLER 689"/>
    <s v="gray"/>
    <n v="32166"/>
    <m/>
    <m/>
    <s v="EU"/>
    <x v="4"/>
    <x v="0"/>
    <m/>
    <m/>
    <m/>
    <x v="2"/>
    <m/>
    <m/>
    <m/>
    <s v="ton"/>
    <x v="3"/>
    <x v="2"/>
    <m/>
    <m/>
    <m/>
    <m/>
    <m/>
    <m/>
    <m/>
    <m/>
    <m/>
    <m/>
    <m/>
    <m/>
    <m/>
    <m/>
    <m/>
    <m/>
    <m/>
    <m/>
    <m/>
    <m/>
    <m/>
    <m/>
    <m/>
    <m/>
    <m/>
    <m/>
    <m/>
    <m/>
    <m/>
    <m/>
    <m/>
    <m/>
    <m/>
    <m/>
    <m/>
    <m/>
    <n v="1800"/>
    <n v="1800"/>
    <n v="1800"/>
    <n v="1880"/>
    <n v="1880"/>
    <n v="1770"/>
    <n v="1730"/>
    <n v="1730"/>
    <n v="1730"/>
    <m/>
    <m/>
    <m/>
    <x v="58"/>
    <x v="2"/>
    <x v="143"/>
    <n v="1.73"/>
    <n v="10.207000000000001"/>
    <n v="0.14176320000000001"/>
    <n v="1.32691"/>
    <n v="-0.17699999999999999"/>
    <n v="9.1999999999999998E-2"/>
    <x v="60"/>
    <x v="63"/>
    <n v="105"/>
    <n v="120"/>
    <x v="3"/>
    <n v="-8.5964152176488895E-2"/>
    <x v="64"/>
    <x v="65"/>
  </r>
  <r>
    <n v="7000456"/>
    <x v="15"/>
    <x v="6"/>
    <x v="17"/>
    <s v="DP"/>
    <x v="7"/>
    <s v="KOEHLER 689"/>
    <s v="gray"/>
    <n v="32166"/>
    <m/>
    <m/>
    <s v="EU"/>
    <x v="4"/>
    <x v="0"/>
    <m/>
    <m/>
    <m/>
    <x v="3"/>
    <m/>
    <m/>
    <m/>
    <m/>
    <x v="13"/>
    <x v="2"/>
    <m/>
    <m/>
    <m/>
    <m/>
    <m/>
    <m/>
    <m/>
    <m/>
    <m/>
    <m/>
    <m/>
    <m/>
    <m/>
    <m/>
    <m/>
    <m/>
    <m/>
    <m/>
    <m/>
    <m/>
    <m/>
    <m/>
    <m/>
    <m/>
    <m/>
    <m/>
    <m/>
    <m/>
    <m/>
    <m/>
    <m/>
    <m/>
    <m/>
    <m/>
    <m/>
    <m/>
    <m/>
    <m/>
    <m/>
    <m/>
    <m/>
    <m/>
    <n v="1670"/>
    <n v="1670"/>
    <n v="1670"/>
    <m/>
    <m/>
    <m/>
    <x v="148"/>
    <x v="2"/>
    <x v="12"/>
    <n v="1.67"/>
    <n v="9.8529999999999998"/>
    <n v="0.14176320000000001"/>
    <n v="1.2808900000000001"/>
    <s v="ERRO"/>
    <n v="9.1999999999999998E-2"/>
    <x v="167"/>
    <x v="221"/>
    <n v="105"/>
    <n v="120"/>
    <x v="3"/>
    <n v="-8.4310087318685945E-2"/>
    <x v="191"/>
    <x v="229"/>
  </r>
  <r>
    <n v="7000456"/>
    <x v="15"/>
    <x v="6"/>
    <x v="17"/>
    <s v="DP"/>
    <x v="7"/>
    <s v="KOEHLER 689"/>
    <s v="gray"/>
    <n v="32166"/>
    <m/>
    <m/>
    <s v="EU"/>
    <x v="4"/>
    <x v="0"/>
    <m/>
    <m/>
    <m/>
    <x v="3"/>
    <m/>
    <m/>
    <m/>
    <m/>
    <x v="14"/>
    <x v="2"/>
    <m/>
    <m/>
    <m/>
    <m/>
    <m/>
    <m/>
    <m/>
    <m/>
    <m/>
    <m/>
    <m/>
    <m/>
    <m/>
    <m/>
    <m/>
    <m/>
    <m/>
    <m/>
    <m/>
    <m/>
    <m/>
    <m/>
    <m/>
    <m/>
    <m/>
    <m/>
    <m/>
    <m/>
    <m/>
    <m/>
    <m/>
    <m/>
    <m/>
    <m/>
    <m/>
    <m/>
    <m/>
    <m/>
    <m/>
    <m/>
    <m/>
    <m/>
    <n v="1680"/>
    <n v="1680"/>
    <n v="1680"/>
    <m/>
    <m/>
    <m/>
    <x v="149"/>
    <x v="2"/>
    <x v="12"/>
    <n v="1.68"/>
    <n v="9.9120000000000008"/>
    <n v="0.14176320000000001"/>
    <n v="1.2885600000000001"/>
    <s v="ERRO"/>
    <n v="9.1999999999999998E-2"/>
    <x v="168"/>
    <x v="222"/>
    <n v="105"/>
    <n v="120"/>
    <x v="3"/>
    <n v="-8.4804556442843904E-2"/>
    <x v="192"/>
    <x v="230"/>
  </r>
  <r>
    <n v="7000456"/>
    <x v="15"/>
    <x v="6"/>
    <x v="17"/>
    <s v="DP"/>
    <x v="7"/>
    <s v="KOEHLER 689"/>
    <s v="gray"/>
    <n v="32166"/>
    <m/>
    <m/>
    <s v="EU"/>
    <x v="4"/>
    <x v="0"/>
    <m/>
    <m/>
    <m/>
    <x v="3"/>
    <m/>
    <m/>
    <m/>
    <m/>
    <x v="15"/>
    <x v="2"/>
    <m/>
    <m/>
    <m/>
    <m/>
    <m/>
    <m/>
    <m/>
    <m/>
    <m/>
    <m/>
    <m/>
    <m/>
    <m/>
    <m/>
    <m/>
    <m/>
    <m/>
    <m/>
    <m/>
    <m/>
    <m/>
    <m/>
    <m/>
    <m/>
    <m/>
    <m/>
    <m/>
    <m/>
    <m/>
    <m/>
    <m/>
    <m/>
    <m/>
    <m/>
    <m/>
    <m/>
    <m/>
    <m/>
    <m/>
    <m/>
    <m/>
    <m/>
    <n v="1690"/>
    <n v="1690"/>
    <n v="1690"/>
    <m/>
    <m/>
    <m/>
    <x v="150"/>
    <x v="2"/>
    <x v="12"/>
    <n v="1.69"/>
    <n v="9.9710000000000001"/>
    <n v="0.14176320000000001"/>
    <n v="1.29623"/>
    <s v="ERRO"/>
    <n v="9.1999999999999998E-2"/>
    <x v="169"/>
    <x v="223"/>
    <n v="105"/>
    <n v="120"/>
    <x v="3"/>
    <n v="-8.5299025567001863E-2"/>
    <x v="193"/>
    <x v="231"/>
  </r>
  <r>
    <n v="7000456"/>
    <x v="15"/>
    <x v="6"/>
    <x v="17"/>
    <s v="DP"/>
    <x v="7"/>
    <s v="KOEHLER 689"/>
    <s v="gray"/>
    <n v="32166"/>
    <m/>
    <m/>
    <s v="EU"/>
    <x v="4"/>
    <x v="0"/>
    <m/>
    <m/>
    <m/>
    <x v="3"/>
    <m/>
    <m/>
    <m/>
    <m/>
    <x v="4"/>
    <x v="2"/>
    <m/>
    <m/>
    <m/>
    <m/>
    <m/>
    <m/>
    <m/>
    <m/>
    <m/>
    <m/>
    <m/>
    <m/>
    <m/>
    <m/>
    <m/>
    <m/>
    <m/>
    <m/>
    <m/>
    <m/>
    <m/>
    <m/>
    <m/>
    <m/>
    <m/>
    <m/>
    <m/>
    <m/>
    <m/>
    <m/>
    <m/>
    <m/>
    <m/>
    <m/>
    <m/>
    <m/>
    <m/>
    <m/>
    <m/>
    <m/>
    <m/>
    <m/>
    <n v="1710"/>
    <n v="1710"/>
    <n v="1710"/>
    <m/>
    <m/>
    <m/>
    <x v="151"/>
    <x v="2"/>
    <x v="12"/>
    <n v="1.71"/>
    <n v="10.089"/>
    <n v="0.14176320000000001"/>
    <n v="1.3115700000000001"/>
    <s v="ERRO"/>
    <n v="9.1999999999999998E-2"/>
    <x v="170"/>
    <x v="224"/>
    <n v="105"/>
    <n v="120"/>
    <x v="3"/>
    <n v="-8.6287963815317781E-2"/>
    <x v="194"/>
    <x v="232"/>
  </r>
  <r>
    <n v="7000456"/>
    <x v="15"/>
    <x v="6"/>
    <x v="17"/>
    <s v="DP"/>
    <x v="7"/>
    <s v="KOEHLER 689"/>
    <s v="gray"/>
    <n v="32166"/>
    <m/>
    <m/>
    <s v="EU"/>
    <x v="4"/>
    <x v="0"/>
    <m/>
    <m/>
    <m/>
    <x v="3"/>
    <m/>
    <m/>
    <m/>
    <m/>
    <x v="16"/>
    <x v="2"/>
    <m/>
    <m/>
    <m/>
    <m/>
    <m/>
    <m/>
    <m/>
    <m/>
    <m/>
    <m/>
    <m/>
    <m/>
    <m/>
    <m/>
    <m/>
    <m/>
    <m/>
    <m/>
    <m/>
    <m/>
    <m/>
    <m/>
    <m/>
    <m/>
    <m/>
    <m/>
    <m/>
    <m/>
    <m/>
    <m/>
    <m/>
    <m/>
    <m/>
    <m/>
    <m/>
    <m/>
    <m/>
    <m/>
    <m/>
    <m/>
    <m/>
    <m/>
    <n v="1750"/>
    <n v="1750"/>
    <n v="1750"/>
    <m/>
    <m/>
    <m/>
    <x v="33"/>
    <x v="2"/>
    <x v="12"/>
    <n v="1.75"/>
    <n v="10.325000000000001"/>
    <n v="0.14176320000000001"/>
    <n v="1.3422500000000002"/>
    <s v="ERRO"/>
    <n v="9.1999999999999998E-2"/>
    <x v="33"/>
    <x v="225"/>
    <n v="105"/>
    <n v="120"/>
    <x v="3"/>
    <n v="-8.8265840311951393E-2"/>
    <x v="100"/>
    <x v="233"/>
  </r>
  <r>
    <n v="7000456"/>
    <x v="15"/>
    <x v="6"/>
    <x v="17"/>
    <s v="DP"/>
    <x v="7"/>
    <s v="KOEHLER 689"/>
    <s v="gray"/>
    <n v="32166"/>
    <m/>
    <m/>
    <s v="EU"/>
    <x v="4"/>
    <x v="0"/>
    <m/>
    <m/>
    <m/>
    <x v="3"/>
    <m/>
    <m/>
    <m/>
    <m/>
    <x v="2"/>
    <x v="2"/>
    <m/>
    <m/>
    <m/>
    <m/>
    <m/>
    <m/>
    <m/>
    <m/>
    <m/>
    <m/>
    <m/>
    <m/>
    <m/>
    <m/>
    <m/>
    <m/>
    <m/>
    <m/>
    <m/>
    <m/>
    <m/>
    <m/>
    <m/>
    <m/>
    <m/>
    <m/>
    <m/>
    <m/>
    <m/>
    <m/>
    <m/>
    <m/>
    <m/>
    <m/>
    <m/>
    <m/>
    <m/>
    <m/>
    <m/>
    <m/>
    <m/>
    <m/>
    <n v="1780"/>
    <n v="1780"/>
    <n v="1780"/>
    <m/>
    <m/>
    <m/>
    <x v="66"/>
    <x v="2"/>
    <x v="12"/>
    <n v="1.78"/>
    <n v="10.502000000000001"/>
    <n v="0.14176320000000001"/>
    <n v="1.3652600000000001"/>
    <s v="ERRO"/>
    <n v="9.1999999999999998E-2"/>
    <x v="171"/>
    <x v="226"/>
    <n v="105"/>
    <n v="120"/>
    <x v="3"/>
    <n v="-8.9749247684425271E-2"/>
    <x v="195"/>
    <x v="234"/>
  </r>
  <r>
    <n v="7000456"/>
    <x v="15"/>
    <x v="6"/>
    <x v="17"/>
    <s v="DP"/>
    <x v="7"/>
    <s v="KOEHLER 689"/>
    <s v="gray"/>
    <n v="32166"/>
    <m/>
    <m/>
    <s v="EU"/>
    <x v="4"/>
    <x v="0"/>
    <m/>
    <m/>
    <m/>
    <x v="3"/>
    <m/>
    <m/>
    <m/>
    <m/>
    <x v="11"/>
    <x v="2"/>
    <m/>
    <m/>
    <m/>
    <m/>
    <m/>
    <m/>
    <m/>
    <m/>
    <m/>
    <m/>
    <m/>
    <m/>
    <m/>
    <m/>
    <m/>
    <m/>
    <m/>
    <m/>
    <m/>
    <m/>
    <m/>
    <m/>
    <m/>
    <m/>
    <m/>
    <m/>
    <m/>
    <m/>
    <m/>
    <m/>
    <m/>
    <m/>
    <m/>
    <m/>
    <m/>
    <m/>
    <m/>
    <m/>
    <m/>
    <m/>
    <m/>
    <m/>
    <n v="1830"/>
    <n v="1830"/>
    <n v="1830"/>
    <m/>
    <m/>
    <m/>
    <x v="67"/>
    <x v="2"/>
    <x v="12"/>
    <n v="1.83"/>
    <n v="10.797000000000001"/>
    <n v="0.14176320000000001"/>
    <n v="1.40361"/>
    <s v="ERRO"/>
    <n v="9.1999999999999998E-2"/>
    <x v="172"/>
    <x v="227"/>
    <n v="105"/>
    <n v="120"/>
    <x v="3"/>
    <n v="-9.2221593305215066E-2"/>
    <x v="196"/>
    <x v="235"/>
  </r>
  <r>
    <n v="7000457"/>
    <x v="40"/>
    <x v="9"/>
    <x v="17"/>
    <s v="DP"/>
    <x v="10"/>
    <s v="SUNSHINE 0128 ECO"/>
    <s v="white"/>
    <m/>
    <m/>
    <m/>
    <s v="CN"/>
    <x v="1"/>
    <x v="2"/>
    <m/>
    <m/>
    <m/>
    <x v="0"/>
    <m/>
    <m/>
    <m/>
    <s v="ton"/>
    <x v="3"/>
    <x v="3"/>
    <m/>
    <m/>
    <m/>
    <m/>
    <m/>
    <m/>
    <m/>
    <m/>
    <m/>
    <m/>
    <m/>
    <m/>
    <m/>
    <m/>
    <m/>
    <m/>
    <m/>
    <m/>
    <m/>
    <m/>
    <m/>
    <m/>
    <m/>
    <m/>
    <m/>
    <m/>
    <m/>
    <m/>
    <m/>
    <m/>
    <m/>
    <m/>
    <m/>
    <m/>
    <m/>
    <m/>
    <n v="10950"/>
    <n v="10950"/>
    <n v="10950"/>
    <n v="10950"/>
    <n v="10950"/>
    <n v="10950"/>
    <m/>
    <m/>
    <m/>
    <m/>
    <m/>
    <m/>
    <x v="109"/>
    <x v="4"/>
    <x v="12"/>
    <n v="10.95"/>
    <n v="8.2124999999999986"/>
    <n v="1.11958"/>
    <n v="1.1497499999999998"/>
    <n v="0"/>
    <n v="9.1999999999999998E-2"/>
    <x v="124"/>
    <x v="153"/>
    <n v="120"/>
    <n v="90"/>
    <x v="1"/>
    <n v="0.1586074499999981"/>
    <x v="134"/>
    <x v="158"/>
  </r>
  <r>
    <n v="7000458"/>
    <x v="44"/>
    <x v="9"/>
    <x v="17"/>
    <s v="DP"/>
    <x v="13"/>
    <s v="MALTADECOR 128"/>
    <s v="white"/>
    <s v="M128"/>
    <m/>
    <m/>
    <s v="EU"/>
    <x v="0"/>
    <x v="4"/>
    <m/>
    <m/>
    <m/>
    <x v="0"/>
    <m/>
    <m/>
    <m/>
    <s v="ton"/>
    <x v="20"/>
    <x v="2"/>
    <m/>
    <m/>
    <m/>
    <m/>
    <m/>
    <m/>
    <m/>
    <m/>
    <m/>
    <m/>
    <m/>
    <m/>
    <m/>
    <m/>
    <m/>
    <m/>
    <m/>
    <m/>
    <m/>
    <m/>
    <m/>
    <m/>
    <m/>
    <m/>
    <m/>
    <m/>
    <m/>
    <m/>
    <m/>
    <m/>
    <m/>
    <m/>
    <m/>
    <m/>
    <m/>
    <m/>
    <n v="1990"/>
    <n v="1990"/>
    <n v="1990"/>
    <n v="1960"/>
    <n v="1960"/>
    <n v="1960"/>
    <n v="2040"/>
    <n v="2040"/>
    <n v="2040"/>
    <m/>
    <m/>
    <m/>
    <x v="63"/>
    <x v="2"/>
    <x v="93"/>
    <n v="2.04"/>
    <n v="12.036000000000001"/>
    <n v="0.14176320000000001"/>
    <n v="1.5646800000000003"/>
    <n v="0"/>
    <n v="9.1999999999999998E-2"/>
    <x v="148"/>
    <x v="185"/>
    <n v="105"/>
    <n v="30"/>
    <x v="4"/>
    <n v="0.52464258950350562"/>
    <x v="158"/>
    <x v="190"/>
  </r>
  <r>
    <n v="7000459"/>
    <x v="19"/>
    <x v="3"/>
    <x v="17"/>
    <s v="DP"/>
    <x v="10"/>
    <s v="SUNSHINE 0104 ECO"/>
    <s v="white"/>
    <m/>
    <m/>
    <m/>
    <s v="CN"/>
    <x v="1"/>
    <x v="2"/>
    <m/>
    <m/>
    <m/>
    <x v="0"/>
    <m/>
    <m/>
    <m/>
    <s v="ton"/>
    <x v="3"/>
    <x v="3"/>
    <m/>
    <m/>
    <m/>
    <m/>
    <m/>
    <m/>
    <m/>
    <m/>
    <m/>
    <m/>
    <m/>
    <m/>
    <m/>
    <m/>
    <m/>
    <m/>
    <m/>
    <m/>
    <m/>
    <m/>
    <m/>
    <m/>
    <m/>
    <m/>
    <m/>
    <m/>
    <m/>
    <m/>
    <m/>
    <m/>
    <m/>
    <m/>
    <m/>
    <m/>
    <m/>
    <m/>
    <n v="11650"/>
    <n v="11650"/>
    <n v="11650"/>
    <n v="11650"/>
    <n v="11650"/>
    <n v="11650"/>
    <m/>
    <m/>
    <m/>
    <m/>
    <m/>
    <m/>
    <x v="105"/>
    <x v="4"/>
    <x v="12"/>
    <n v="11.65"/>
    <n v="8.7375000000000007"/>
    <n v="1.11958"/>
    <n v="1.2232500000000002"/>
    <n v="0"/>
    <n v="9.1999999999999998E-2"/>
    <x v="119"/>
    <x v="147"/>
    <n v="120"/>
    <n v="90"/>
    <x v="1"/>
    <n v="0.1675849499999984"/>
    <x v="129"/>
    <x v="152"/>
  </r>
  <r>
    <n v="7000461"/>
    <x v="19"/>
    <x v="3"/>
    <x v="17"/>
    <s v="DP"/>
    <x v="13"/>
    <s v="MALTADECOR M104"/>
    <s v="white"/>
    <s v="M104"/>
    <m/>
    <m/>
    <s v="EU"/>
    <x v="0"/>
    <x v="4"/>
    <m/>
    <m/>
    <m/>
    <x v="0"/>
    <m/>
    <m/>
    <m/>
    <s v="ton"/>
    <x v="20"/>
    <x v="2"/>
    <m/>
    <m/>
    <m/>
    <m/>
    <m/>
    <m/>
    <m/>
    <m/>
    <m/>
    <m/>
    <m/>
    <m/>
    <m/>
    <m/>
    <m/>
    <m/>
    <m/>
    <m/>
    <m/>
    <m/>
    <m/>
    <m/>
    <m/>
    <m/>
    <m/>
    <m/>
    <m/>
    <m/>
    <m/>
    <m/>
    <m/>
    <m/>
    <m/>
    <m/>
    <m/>
    <m/>
    <n v="2130"/>
    <n v="2130"/>
    <n v="2130"/>
    <n v="2690"/>
    <n v="2690"/>
    <n v="2690"/>
    <n v="2250"/>
    <n v="2250"/>
    <n v="2250"/>
    <m/>
    <m/>
    <m/>
    <x v="138"/>
    <x v="2"/>
    <x v="108"/>
    <n v="2.25"/>
    <n v="13.275"/>
    <n v="0.14176320000000001"/>
    <n v="1.7257500000000001"/>
    <n v="0"/>
    <n v="9.1999999999999998E-2"/>
    <x v="157"/>
    <x v="202"/>
    <n v="105"/>
    <n v="30"/>
    <x v="4"/>
    <n v="0.57773734291477297"/>
    <x v="175"/>
    <x v="207"/>
  </r>
  <r>
    <n v="7000462"/>
    <x v="36"/>
    <x v="9"/>
    <x v="17"/>
    <s v="DP"/>
    <x v="5"/>
    <s v="TECHNOCELL 6287"/>
    <s v="brown"/>
    <n v="6287"/>
    <m/>
    <m/>
    <s v="EU"/>
    <x v="4"/>
    <x v="1"/>
    <m/>
    <m/>
    <m/>
    <x v="0"/>
    <m/>
    <m/>
    <m/>
    <s v="ton"/>
    <x v="2"/>
    <x v="2"/>
    <m/>
    <m/>
    <m/>
    <m/>
    <m/>
    <m/>
    <m/>
    <m/>
    <m/>
    <m/>
    <m/>
    <m/>
    <m/>
    <m/>
    <m/>
    <m/>
    <m/>
    <m/>
    <m/>
    <m/>
    <m/>
    <m/>
    <m/>
    <m/>
    <m/>
    <m/>
    <m/>
    <m/>
    <m/>
    <m/>
    <m/>
    <m/>
    <m/>
    <m/>
    <m/>
    <m/>
    <n v="2480"/>
    <n v="2480"/>
    <n v="2480"/>
    <n v="2580"/>
    <n v="2580"/>
    <n v="2580"/>
    <n v="2660"/>
    <n v="2660"/>
    <n v="2660"/>
    <m/>
    <m/>
    <m/>
    <x v="95"/>
    <x v="2"/>
    <x v="144"/>
    <n v="2.66"/>
    <n v="15.694000000000003"/>
    <n v="0.14176320000000001"/>
    <n v="2.0402200000000006"/>
    <n v="0"/>
    <n v="9.1999999999999998E-2"/>
    <x v="106"/>
    <x v="133"/>
    <n v="105"/>
    <n v="120"/>
    <x v="3"/>
    <n v="-0.13326253061033455"/>
    <x v="115"/>
    <x v="137"/>
  </r>
  <r>
    <n v="7000462"/>
    <x v="36"/>
    <x v="9"/>
    <x v="17"/>
    <s v="DP"/>
    <x v="5"/>
    <s v="TECHNOCELL 6287"/>
    <s v="brown"/>
    <n v="6287"/>
    <m/>
    <m/>
    <s v="EU"/>
    <x v="4"/>
    <x v="1"/>
    <m/>
    <m/>
    <m/>
    <x v="0"/>
    <m/>
    <m/>
    <m/>
    <s v="ton"/>
    <x v="11"/>
    <x v="2"/>
    <m/>
    <m/>
    <m/>
    <m/>
    <m/>
    <m/>
    <m/>
    <m/>
    <m/>
    <m/>
    <m/>
    <m/>
    <m/>
    <m/>
    <m/>
    <m/>
    <m/>
    <m/>
    <m/>
    <m/>
    <m/>
    <m/>
    <m/>
    <m/>
    <m/>
    <m/>
    <m/>
    <m/>
    <m/>
    <m/>
    <m/>
    <m/>
    <m/>
    <m/>
    <m/>
    <m/>
    <n v="2530"/>
    <n v="2530"/>
    <n v="2530"/>
    <n v="2630"/>
    <n v="2630"/>
    <n v="2630"/>
    <n v="2710"/>
    <n v="2710"/>
    <n v="2710"/>
    <m/>
    <m/>
    <m/>
    <x v="96"/>
    <x v="2"/>
    <x v="145"/>
    <n v="2.71"/>
    <n v="15.989000000000001"/>
    <n v="0.14176320000000001"/>
    <n v="2.07857"/>
    <n v="0"/>
    <n v="9.1999999999999998E-2"/>
    <x v="107"/>
    <x v="134"/>
    <n v="105"/>
    <n v="120"/>
    <x v="3"/>
    <n v="-0.13573487623112612"/>
    <x v="116"/>
    <x v="138"/>
  </r>
  <r>
    <n v="7000462"/>
    <x v="36"/>
    <x v="9"/>
    <x v="17"/>
    <s v="DP"/>
    <x v="5"/>
    <s v="TECHNOCELL 6287"/>
    <s v="brown"/>
    <n v="6287"/>
    <m/>
    <m/>
    <s v="EU"/>
    <x v="4"/>
    <x v="1"/>
    <m/>
    <m/>
    <m/>
    <x v="0"/>
    <m/>
    <m/>
    <m/>
    <s v="ton"/>
    <x v="1"/>
    <x v="2"/>
    <m/>
    <m/>
    <m/>
    <m/>
    <m/>
    <m/>
    <m/>
    <m/>
    <m/>
    <m/>
    <m/>
    <m/>
    <m/>
    <m/>
    <m/>
    <m/>
    <m/>
    <m/>
    <m/>
    <m/>
    <m/>
    <m/>
    <m/>
    <m/>
    <m/>
    <m/>
    <m/>
    <m/>
    <m/>
    <m/>
    <m/>
    <m/>
    <m/>
    <m/>
    <m/>
    <m/>
    <n v="2580"/>
    <n v="2580"/>
    <n v="2580"/>
    <n v="2680"/>
    <n v="2680"/>
    <n v="2680"/>
    <n v="2760"/>
    <n v="2760"/>
    <n v="2760"/>
    <m/>
    <m/>
    <m/>
    <x v="98"/>
    <x v="2"/>
    <x v="146"/>
    <n v="2.76"/>
    <n v="16.283999999999999"/>
    <n v="0.14176320000000001"/>
    <n v="2.1169199999999999"/>
    <n v="0"/>
    <n v="9.1999999999999998E-2"/>
    <x v="109"/>
    <x v="135"/>
    <n v="105"/>
    <n v="120"/>
    <x v="3"/>
    <n v="-0.13820722185191769"/>
    <x v="118"/>
    <x v="139"/>
  </r>
  <r>
    <n v="7000462"/>
    <x v="36"/>
    <x v="9"/>
    <x v="17"/>
    <s v="DP"/>
    <x v="5"/>
    <s v="TECHNOCELL 6287"/>
    <s v="brown"/>
    <n v="6287"/>
    <m/>
    <m/>
    <s v="EU"/>
    <x v="4"/>
    <x v="1"/>
    <m/>
    <m/>
    <m/>
    <x v="0"/>
    <m/>
    <m/>
    <m/>
    <s v="ton"/>
    <x v="12"/>
    <x v="2"/>
    <m/>
    <m/>
    <m/>
    <m/>
    <m/>
    <m/>
    <m/>
    <m/>
    <m/>
    <m/>
    <m/>
    <m/>
    <m/>
    <m/>
    <m/>
    <m/>
    <m/>
    <m/>
    <m/>
    <m/>
    <m/>
    <m/>
    <m/>
    <m/>
    <m/>
    <m/>
    <m/>
    <m/>
    <m/>
    <m/>
    <m/>
    <m/>
    <m/>
    <m/>
    <m/>
    <m/>
    <n v="2660"/>
    <n v="2660"/>
    <n v="2660"/>
    <n v="2760"/>
    <n v="2760"/>
    <n v="2760"/>
    <n v="2840"/>
    <n v="2840"/>
    <n v="2840"/>
    <m/>
    <m/>
    <m/>
    <x v="99"/>
    <x v="2"/>
    <x v="147"/>
    <n v="2.84"/>
    <n v="16.756"/>
    <n v="0.14176320000000001"/>
    <n v="2.17828"/>
    <n v="0"/>
    <n v="9.1999999999999998E-2"/>
    <x v="110"/>
    <x v="136"/>
    <n v="105"/>
    <n v="120"/>
    <x v="3"/>
    <n v="-0.14216297484518137"/>
    <x v="119"/>
    <x v="140"/>
  </r>
  <r>
    <n v="7000466"/>
    <x v="4"/>
    <x v="3"/>
    <x v="2"/>
    <s v="FF"/>
    <x v="2"/>
    <s v="MUNKSJO 9370-070 White PO"/>
    <s v="white"/>
    <s v="9370-070"/>
    <m/>
    <m/>
    <s v="EU"/>
    <x v="2"/>
    <x v="0"/>
    <m/>
    <m/>
    <m/>
    <x v="0"/>
    <m/>
    <m/>
    <m/>
    <s v="ton"/>
    <x v="5"/>
    <x v="2"/>
    <m/>
    <m/>
    <m/>
    <m/>
    <m/>
    <m/>
    <m/>
    <m/>
    <m/>
    <m/>
    <m/>
    <m/>
    <m/>
    <m/>
    <m/>
    <m/>
    <m/>
    <m/>
    <m/>
    <m/>
    <m/>
    <m/>
    <m/>
    <m/>
    <m/>
    <m/>
    <m/>
    <m/>
    <m/>
    <m/>
    <m/>
    <m/>
    <m/>
    <m/>
    <m/>
    <m/>
    <n v="2660"/>
    <m/>
    <m/>
    <n v="2680"/>
    <n v="2780"/>
    <n v="2780"/>
    <n v="2800"/>
    <n v="2690"/>
    <n v="2690"/>
    <m/>
    <m/>
    <m/>
    <x v="12"/>
    <x v="2"/>
    <x v="5"/>
    <n v="2.69"/>
    <n v="15.871"/>
    <n v="0.14176320000000001"/>
    <n v="2.0632300000000003"/>
    <n v="0"/>
    <n v="9.1999999999999998E-2"/>
    <x v="12"/>
    <x v="12"/>
    <n v="105"/>
    <n v="60"/>
    <x v="2"/>
    <n v="0.41030896051165655"/>
    <x v="12"/>
    <x v="12"/>
  </r>
  <r>
    <n v="7000466"/>
    <x v="4"/>
    <x v="3"/>
    <x v="2"/>
    <s v="FF"/>
    <x v="2"/>
    <s v="MUNKSJO 9370-070 White PO"/>
    <s v="white"/>
    <s v="9370-070"/>
    <m/>
    <m/>
    <s v="EU"/>
    <x v="2"/>
    <x v="0"/>
    <m/>
    <m/>
    <m/>
    <x v="0"/>
    <m/>
    <m/>
    <m/>
    <s v="ton"/>
    <x v="7"/>
    <x v="2"/>
    <m/>
    <m/>
    <m/>
    <m/>
    <m/>
    <m/>
    <m/>
    <m/>
    <m/>
    <m/>
    <m/>
    <m/>
    <m/>
    <m/>
    <m/>
    <m/>
    <m/>
    <m/>
    <m/>
    <m/>
    <m/>
    <m/>
    <m/>
    <m/>
    <m/>
    <m/>
    <m/>
    <m/>
    <m/>
    <m/>
    <m/>
    <m/>
    <m/>
    <m/>
    <m/>
    <m/>
    <m/>
    <m/>
    <m/>
    <n v="2630"/>
    <n v="2730"/>
    <n v="2730"/>
    <n v="2750"/>
    <n v="2640"/>
    <n v="2640"/>
    <m/>
    <m/>
    <m/>
    <x v="13"/>
    <x v="2"/>
    <x v="148"/>
    <n v="2.64"/>
    <n v="15.576000000000002"/>
    <n v="0.14176320000000001"/>
    <n v="2.0248800000000005"/>
    <n v="0"/>
    <n v="9.1999999999999998E-2"/>
    <x v="13"/>
    <x v="13"/>
    <n v="105"/>
    <n v="60"/>
    <x v="2"/>
    <n v="0.40278052902883488"/>
    <x v="13"/>
    <x v="13"/>
  </r>
  <r>
    <n v="7000469"/>
    <x v="4"/>
    <x v="3"/>
    <x v="2"/>
    <s v="FF"/>
    <x v="2"/>
    <s v="MUNKSJO 9370-070 New White PO"/>
    <s v="white"/>
    <s v="9370-070"/>
    <m/>
    <m/>
    <s v="EU"/>
    <x v="2"/>
    <x v="0"/>
    <m/>
    <m/>
    <m/>
    <x v="0"/>
    <m/>
    <m/>
    <m/>
    <s v="ton"/>
    <x v="5"/>
    <x v="2"/>
    <m/>
    <m/>
    <m/>
    <m/>
    <m/>
    <m/>
    <m/>
    <m/>
    <m/>
    <m/>
    <m/>
    <m/>
    <m/>
    <m/>
    <m/>
    <m/>
    <m/>
    <m/>
    <m/>
    <m/>
    <m/>
    <m/>
    <m/>
    <m/>
    <m/>
    <m/>
    <m/>
    <m/>
    <m/>
    <m/>
    <m/>
    <m/>
    <m/>
    <m/>
    <m/>
    <m/>
    <n v="2660"/>
    <m/>
    <m/>
    <n v="2680"/>
    <n v="2780"/>
    <n v="2780"/>
    <n v="2800"/>
    <n v="2690"/>
    <n v="2690"/>
    <m/>
    <m/>
    <m/>
    <x v="12"/>
    <x v="2"/>
    <x v="5"/>
    <n v="2.69"/>
    <n v="15.871"/>
    <n v="0.14176320000000001"/>
    <n v="2.0632300000000003"/>
    <n v="0"/>
    <n v="9.1999999999999998E-2"/>
    <x v="12"/>
    <x v="12"/>
    <n v="105"/>
    <n v="60"/>
    <x v="2"/>
    <n v="0.41030896051165655"/>
    <x v="12"/>
    <x v="12"/>
  </r>
  <r>
    <n v="7000470"/>
    <x v="47"/>
    <x v="0"/>
    <x v="17"/>
    <s v="FF"/>
    <x v="14"/>
    <s v="FF BRANCO HO"/>
    <s v="white"/>
    <m/>
    <m/>
    <m/>
    <s v="BR"/>
    <x v="3"/>
    <x v="0"/>
    <m/>
    <n v="0"/>
    <m/>
    <x v="0"/>
    <n v="0.12"/>
    <s v="Não"/>
    <n v="9.2499999999999999E-2"/>
    <s v="ton"/>
    <x v="0"/>
    <x v="0"/>
    <m/>
    <m/>
    <m/>
    <m/>
    <m/>
    <m/>
    <m/>
    <m/>
    <m/>
    <m/>
    <m/>
    <m/>
    <m/>
    <m/>
    <m/>
    <m/>
    <m/>
    <m/>
    <m/>
    <m/>
    <m/>
    <m/>
    <m/>
    <m/>
    <m/>
    <m/>
    <m/>
    <m/>
    <m/>
    <m/>
    <m/>
    <m/>
    <m/>
    <m/>
    <m/>
    <m/>
    <n v="17981.11"/>
    <n v="18610.439999999999"/>
    <n v="19239.78"/>
    <n v="19239.78"/>
    <n v="19239.78"/>
    <n v="19239.78"/>
    <m/>
    <m/>
    <m/>
    <m/>
    <m/>
    <m/>
    <x v="19"/>
    <x v="4"/>
    <x v="149"/>
    <n v="19.23978"/>
    <n v="19.23978"/>
    <n v="0"/>
    <n v="0"/>
    <n v="0"/>
    <n v="0.2"/>
    <x v="19"/>
    <x v="19"/>
    <n v="45"/>
    <n v="0"/>
    <x v="2"/>
    <n v="0.43903120375316362"/>
    <x v="19"/>
    <x v="19"/>
  </r>
  <r>
    <n v="7000471"/>
    <x v="48"/>
    <x v="0"/>
    <x v="17"/>
    <s v="FF"/>
    <x v="14"/>
    <s v="FF BRANCO"/>
    <s v="white"/>
    <m/>
    <m/>
    <m/>
    <s v="BR"/>
    <x v="3"/>
    <x v="0"/>
    <m/>
    <n v="0"/>
    <m/>
    <x v="0"/>
    <n v="0.12"/>
    <s v="Não"/>
    <n v="9.2499999999999999E-2"/>
    <s v="ton"/>
    <x v="0"/>
    <x v="0"/>
    <m/>
    <m/>
    <m/>
    <m/>
    <m/>
    <m/>
    <m/>
    <m/>
    <m/>
    <m/>
    <m/>
    <m/>
    <m/>
    <m/>
    <m/>
    <m/>
    <m/>
    <m/>
    <m/>
    <m/>
    <m/>
    <m/>
    <m/>
    <m/>
    <m/>
    <m/>
    <m/>
    <m/>
    <m/>
    <m/>
    <m/>
    <m/>
    <m/>
    <m/>
    <m/>
    <m/>
    <n v="13274.03"/>
    <n v="13738.61"/>
    <n v="14203.2"/>
    <n v="14203.2"/>
    <n v="14203.2"/>
    <n v="14203.2"/>
    <m/>
    <m/>
    <m/>
    <m/>
    <m/>
    <m/>
    <x v="15"/>
    <x v="4"/>
    <x v="150"/>
    <n v="14.203200000000001"/>
    <n v="14.203200000000001"/>
    <n v="0"/>
    <n v="0"/>
    <n v="0"/>
    <n v="0.2"/>
    <x v="15"/>
    <x v="15"/>
    <n v="45"/>
    <n v="0"/>
    <x v="2"/>
    <n v="0.32528424878766948"/>
    <x v="15"/>
    <x v="15"/>
  </r>
  <r>
    <n v="7000473"/>
    <x v="49"/>
    <x v="0"/>
    <x v="17"/>
    <s v="FF"/>
    <x v="14"/>
    <s v="FF PARDO"/>
    <s v="light brown"/>
    <m/>
    <m/>
    <m/>
    <s v="BR"/>
    <x v="3"/>
    <x v="0"/>
    <m/>
    <n v="0"/>
    <m/>
    <x v="0"/>
    <n v="0.12"/>
    <s v="Não"/>
    <n v="9.2499999999999999E-2"/>
    <s v="ton"/>
    <x v="0"/>
    <x v="0"/>
    <m/>
    <m/>
    <m/>
    <m/>
    <m/>
    <m/>
    <m/>
    <m/>
    <m/>
    <m/>
    <m/>
    <m/>
    <m/>
    <m/>
    <m/>
    <m/>
    <m/>
    <m/>
    <m/>
    <m/>
    <m/>
    <m/>
    <m/>
    <m/>
    <m/>
    <m/>
    <m/>
    <m/>
    <m/>
    <m/>
    <m/>
    <m/>
    <m/>
    <m/>
    <m/>
    <m/>
    <n v="11575.55"/>
    <n v="11980.69"/>
    <n v="12385.83"/>
    <n v="12385.83"/>
    <n v="12385.83"/>
    <n v="12385.83"/>
    <m/>
    <m/>
    <m/>
    <m/>
    <m/>
    <m/>
    <x v="16"/>
    <x v="4"/>
    <x v="151"/>
    <n v="12.38583"/>
    <n v="12.38583"/>
    <n v="0"/>
    <n v="0"/>
    <n v="0"/>
    <n v="0.2"/>
    <x v="16"/>
    <x v="16"/>
    <n v="45"/>
    <n v="0"/>
    <x v="2"/>
    <n v="0.28424046440508555"/>
    <x v="16"/>
    <x v="16"/>
  </r>
  <r>
    <n v="7000476"/>
    <x v="50"/>
    <x v="0"/>
    <x v="17"/>
    <s v="FF"/>
    <x v="14"/>
    <s v="FF PRETO"/>
    <s v="black"/>
    <m/>
    <m/>
    <m/>
    <s v="BR"/>
    <x v="3"/>
    <x v="0"/>
    <m/>
    <n v="0"/>
    <m/>
    <x v="0"/>
    <n v="0.12"/>
    <s v="Não"/>
    <n v="9.2499999999999999E-2"/>
    <s v="ton"/>
    <x v="0"/>
    <x v="0"/>
    <m/>
    <m/>
    <m/>
    <m/>
    <m/>
    <m/>
    <m/>
    <m/>
    <m/>
    <m/>
    <m/>
    <m/>
    <m/>
    <m/>
    <m/>
    <m/>
    <m/>
    <m/>
    <m/>
    <m/>
    <m/>
    <m/>
    <m/>
    <m/>
    <m/>
    <m/>
    <m/>
    <m/>
    <m/>
    <m/>
    <m/>
    <m/>
    <m/>
    <m/>
    <m/>
    <m/>
    <n v="15722.81"/>
    <n v="16273.1"/>
    <n v="16823.400000000001"/>
    <n v="16823.400000000001"/>
    <n v="16823.400000000001"/>
    <n v="16823.400000000001"/>
    <m/>
    <m/>
    <m/>
    <m/>
    <m/>
    <m/>
    <x v="18"/>
    <x v="4"/>
    <x v="152"/>
    <n v="16.823400000000003"/>
    <n v="16.823400000000003"/>
    <n v="0"/>
    <n v="0"/>
    <n v="0"/>
    <n v="0.2"/>
    <x v="18"/>
    <x v="228"/>
    <n v="45"/>
    <n v="0"/>
    <x v="2"/>
    <n v="0.38445927855004669"/>
    <x v="18"/>
    <x v="236"/>
  </r>
  <r>
    <n v="7000477"/>
    <x v="12"/>
    <x v="2"/>
    <x v="10"/>
    <s v="IP"/>
    <x v="5"/>
    <s v="TECHNOCELL 3222"/>
    <s v="black"/>
    <n v="3222"/>
    <m/>
    <m/>
    <s v="EU"/>
    <x v="4"/>
    <x v="1"/>
    <m/>
    <m/>
    <m/>
    <x v="0"/>
    <m/>
    <m/>
    <m/>
    <s v="ton"/>
    <x v="0"/>
    <x v="2"/>
    <m/>
    <m/>
    <m/>
    <m/>
    <m/>
    <m/>
    <m/>
    <m/>
    <m/>
    <m/>
    <m/>
    <m/>
    <m/>
    <m/>
    <m/>
    <m/>
    <m/>
    <m/>
    <m/>
    <m/>
    <m/>
    <m/>
    <m/>
    <m/>
    <m/>
    <m/>
    <m/>
    <m/>
    <m/>
    <m/>
    <m/>
    <m/>
    <m/>
    <m/>
    <m/>
    <m/>
    <m/>
    <m/>
    <m/>
    <m/>
    <m/>
    <m/>
    <m/>
    <m/>
    <m/>
    <m/>
    <m/>
    <m/>
    <x v="152"/>
    <x v="21"/>
    <x v="0"/>
    <e v="#N/A"/>
    <e v="#N/A"/>
    <n v="0.14176320000000001"/>
    <e v="#N/A"/>
    <n v="0"/>
    <n v="9.1999999999999998E-2"/>
    <x v="173"/>
    <x v="229"/>
    <n v="105"/>
    <n v="120"/>
    <x v="3"/>
    <e v="#N/A"/>
    <x v="197"/>
    <x v="237"/>
  </r>
  <r>
    <n v="7000479"/>
    <x v="19"/>
    <x v="2"/>
    <x v="17"/>
    <s v="IP"/>
    <x v="6"/>
    <s v="DEKORPEL WHITE 963"/>
    <s v="white"/>
    <n v="963"/>
    <m/>
    <s v="yes"/>
    <s v="BR"/>
    <x v="3"/>
    <x v="0"/>
    <m/>
    <n v="3"/>
    <s v="monthly"/>
    <x v="0"/>
    <n v="0.12"/>
    <s v="Sim"/>
    <n v="9.2499999999999999E-2"/>
    <s v="ton"/>
    <x v="17"/>
    <x v="0"/>
    <m/>
    <m/>
    <m/>
    <m/>
    <m/>
    <m/>
    <m/>
    <m/>
    <m/>
    <m/>
    <m/>
    <m/>
    <m/>
    <m/>
    <m/>
    <m/>
    <m/>
    <m/>
    <m/>
    <m/>
    <m/>
    <m/>
    <m/>
    <m/>
    <m/>
    <m/>
    <m/>
    <m/>
    <m/>
    <m/>
    <m/>
    <m/>
    <m/>
    <m/>
    <m/>
    <m/>
    <n v="13634"/>
    <n v="13634"/>
    <n v="13634"/>
    <n v="14425"/>
    <n v="14425"/>
    <n v="14425"/>
    <n v="15045"/>
    <n v="15045"/>
    <n v="15045"/>
    <m/>
    <m/>
    <m/>
    <x v="78"/>
    <x v="2"/>
    <x v="59"/>
    <n v="15.045"/>
    <n v="15.045"/>
    <n v="0"/>
    <n v="0"/>
    <n v="0"/>
    <n v="0.2"/>
    <x v="85"/>
    <x v="100"/>
    <n v="45"/>
    <n v="0"/>
    <x v="2"/>
    <n v="0.34429559908687146"/>
    <x v="89"/>
    <x v="102"/>
  </r>
  <r>
    <n v="7000480"/>
    <x v="19"/>
    <x v="12"/>
    <x v="17"/>
    <s v="IP"/>
    <x v="13"/>
    <s v="MALTADECOR 0104"/>
    <s v="white"/>
    <n v="104"/>
    <m/>
    <m/>
    <s v="EU"/>
    <x v="0"/>
    <x v="4"/>
    <m/>
    <m/>
    <m/>
    <x v="0"/>
    <m/>
    <m/>
    <m/>
    <s v="ton"/>
    <x v="21"/>
    <x v="2"/>
    <m/>
    <m/>
    <m/>
    <m/>
    <m/>
    <m/>
    <m/>
    <m/>
    <m/>
    <m/>
    <m/>
    <m/>
    <m/>
    <m/>
    <m/>
    <m/>
    <m/>
    <m/>
    <m/>
    <m/>
    <m/>
    <m/>
    <m/>
    <m/>
    <m/>
    <m/>
    <m/>
    <m/>
    <m/>
    <m/>
    <m/>
    <m/>
    <m/>
    <m/>
    <m/>
    <m/>
    <m/>
    <m/>
    <m/>
    <m/>
    <m/>
    <m/>
    <n v="1600"/>
    <n v="1600"/>
    <n v="1600"/>
    <m/>
    <m/>
    <m/>
    <x v="111"/>
    <x v="2"/>
    <x v="12"/>
    <n v="1.6"/>
    <n v="9.4400000000000013"/>
    <n v="0.14176320000000001"/>
    <n v="1.2272000000000003"/>
    <n v="0"/>
    <n v="9.1999999999999998E-2"/>
    <x v="174"/>
    <x v="230"/>
    <n v="105"/>
    <n v="30"/>
    <x v="4"/>
    <n v="0.413396439498948"/>
    <x v="198"/>
    <x v="238"/>
  </r>
  <r>
    <n v="7000480"/>
    <x v="19"/>
    <x v="12"/>
    <x v="17"/>
    <s v="IP"/>
    <x v="13"/>
    <s v="MALTADECOR 0104"/>
    <s v="white"/>
    <n v="104"/>
    <m/>
    <m/>
    <s v="EU"/>
    <x v="0"/>
    <x v="4"/>
    <m/>
    <m/>
    <m/>
    <x v="0"/>
    <m/>
    <m/>
    <m/>
    <s v="ton"/>
    <x v="20"/>
    <x v="2"/>
    <m/>
    <m/>
    <m/>
    <m/>
    <m/>
    <m/>
    <m/>
    <m/>
    <m/>
    <m/>
    <m/>
    <m/>
    <m/>
    <m/>
    <m/>
    <m/>
    <m/>
    <m/>
    <m/>
    <m/>
    <m/>
    <m/>
    <m/>
    <m/>
    <m/>
    <m/>
    <m/>
    <m/>
    <m/>
    <m/>
    <m/>
    <m/>
    <m/>
    <m/>
    <m/>
    <m/>
    <n v="1650"/>
    <n v="1650"/>
    <n v="1650"/>
    <n v="1650"/>
    <n v="1650"/>
    <n v="1650"/>
    <n v="1650"/>
    <n v="1650"/>
    <n v="1650"/>
    <m/>
    <m/>
    <m/>
    <x v="124"/>
    <x v="2"/>
    <x v="12"/>
    <n v="1.65"/>
    <n v="9.7349999999999994"/>
    <n v="0.14176320000000001"/>
    <n v="1.26555"/>
    <n v="0"/>
    <n v="9.1999999999999998E-2"/>
    <x v="155"/>
    <x v="198"/>
    <n v="105"/>
    <n v="30"/>
    <x v="4"/>
    <n v="0.42603804745401064"/>
    <x v="171"/>
    <x v="203"/>
  </r>
  <r>
    <n v="7000481"/>
    <x v="19"/>
    <x v="2"/>
    <x v="17"/>
    <s v="IP"/>
    <x v="10"/>
    <s v="SUNSHINE 0104 ECO"/>
    <s v="white"/>
    <m/>
    <m/>
    <m/>
    <s v="CN"/>
    <x v="1"/>
    <x v="2"/>
    <m/>
    <m/>
    <m/>
    <x v="0"/>
    <m/>
    <m/>
    <m/>
    <s v="ton"/>
    <x v="3"/>
    <x v="3"/>
    <m/>
    <m/>
    <m/>
    <m/>
    <m/>
    <m/>
    <m/>
    <m/>
    <m/>
    <m/>
    <m/>
    <m/>
    <m/>
    <m/>
    <m/>
    <m/>
    <m/>
    <m/>
    <m/>
    <m/>
    <m/>
    <m/>
    <m/>
    <m/>
    <m/>
    <m/>
    <m/>
    <m/>
    <m/>
    <m/>
    <m/>
    <m/>
    <m/>
    <m/>
    <m/>
    <m/>
    <n v="11650"/>
    <n v="11650"/>
    <n v="11650"/>
    <n v="11650"/>
    <n v="11650"/>
    <n v="11650"/>
    <m/>
    <m/>
    <m/>
    <m/>
    <m/>
    <m/>
    <x v="105"/>
    <x v="4"/>
    <x v="12"/>
    <n v="11.65"/>
    <n v="8.7375000000000007"/>
    <n v="1.11958"/>
    <n v="1.2232500000000002"/>
    <n v="0"/>
    <n v="9.1999999999999998E-2"/>
    <x v="119"/>
    <x v="149"/>
    <n v="120"/>
    <n v="90"/>
    <x v="1"/>
    <n v="0.1675849499999984"/>
    <x v="129"/>
    <x v="154"/>
  </r>
  <r>
    <n v="7000483"/>
    <x v="42"/>
    <x v="3"/>
    <x v="12"/>
    <s v="IP"/>
    <x v="10"/>
    <s v="SUNSHINE YG0086PW"/>
    <s v="white"/>
    <s v="YG086PW"/>
    <m/>
    <m/>
    <s v="CN"/>
    <x v="1"/>
    <x v="2"/>
    <m/>
    <m/>
    <m/>
    <x v="0"/>
    <m/>
    <m/>
    <m/>
    <s v="ton"/>
    <x v="3"/>
    <x v="3"/>
    <m/>
    <m/>
    <m/>
    <m/>
    <m/>
    <m/>
    <m/>
    <m/>
    <m/>
    <m/>
    <m/>
    <m/>
    <m/>
    <m/>
    <m/>
    <m/>
    <m/>
    <m/>
    <m/>
    <m/>
    <m/>
    <m/>
    <m/>
    <m/>
    <m/>
    <m/>
    <m/>
    <m/>
    <m/>
    <m/>
    <m/>
    <m/>
    <m/>
    <m/>
    <m/>
    <m/>
    <n v="11600"/>
    <n v="11600"/>
    <n v="11600"/>
    <n v="11600"/>
    <n v="11600"/>
    <n v="11600"/>
    <m/>
    <m/>
    <m/>
    <m/>
    <m/>
    <m/>
    <x v="112"/>
    <x v="4"/>
    <x v="12"/>
    <n v="11.6"/>
    <n v="8.6999999999999993"/>
    <n v="1.11958"/>
    <n v="1.218"/>
    <n v="0"/>
    <n v="9.1999999999999998E-2"/>
    <x v="127"/>
    <x v="156"/>
    <n v="120"/>
    <n v="90"/>
    <x v="1"/>
    <n v="0.16694369999999914"/>
    <x v="137"/>
    <x v="161"/>
  </r>
  <r>
    <n v="7000484"/>
    <x v="13"/>
    <x v="2"/>
    <x v="17"/>
    <s v="IP"/>
    <x v="10"/>
    <s v="SUNSHINE YG002PW"/>
    <s v="white"/>
    <s v="YG002PW"/>
    <m/>
    <m/>
    <s v="CN"/>
    <x v="1"/>
    <x v="2"/>
    <m/>
    <m/>
    <m/>
    <x v="0"/>
    <m/>
    <m/>
    <m/>
    <s v="ton"/>
    <x v="3"/>
    <x v="3"/>
    <m/>
    <m/>
    <m/>
    <m/>
    <m/>
    <m/>
    <m/>
    <m/>
    <m/>
    <m/>
    <m/>
    <m/>
    <m/>
    <m/>
    <m/>
    <m/>
    <m/>
    <m/>
    <m/>
    <m/>
    <m/>
    <m/>
    <m/>
    <m/>
    <m/>
    <m/>
    <m/>
    <m/>
    <m/>
    <m/>
    <m/>
    <m/>
    <m/>
    <m/>
    <m/>
    <m/>
    <n v="14500"/>
    <n v="14500"/>
    <n v="14500"/>
    <n v="14500"/>
    <n v="14500"/>
    <n v="14500"/>
    <m/>
    <m/>
    <m/>
    <m/>
    <m/>
    <m/>
    <x v="107"/>
    <x v="4"/>
    <x v="12"/>
    <n v="14.5"/>
    <n v="10.875"/>
    <n v="1.11958"/>
    <n v="1.5225000000000002"/>
    <n v="0"/>
    <n v="9.1999999999999998E-2"/>
    <x v="122"/>
    <x v="151"/>
    <n v="120"/>
    <n v="90"/>
    <x v="1"/>
    <n v="0.20413619999999888"/>
    <x v="132"/>
    <x v="156"/>
  </r>
  <r>
    <n v="7000485"/>
    <x v="29"/>
    <x v="2"/>
    <x v="17"/>
    <s v="IP"/>
    <x v="6"/>
    <s v="DEKORPEL BEIGE 9080"/>
    <s v="beige"/>
    <n v="9080"/>
    <m/>
    <s v="yes"/>
    <s v="BR"/>
    <x v="3"/>
    <x v="0"/>
    <m/>
    <n v="3"/>
    <s v="monthly"/>
    <x v="0"/>
    <n v="0.12"/>
    <s v="Sim"/>
    <n v="9.2499999999999999E-2"/>
    <s v="ton"/>
    <x v="17"/>
    <x v="0"/>
    <m/>
    <m/>
    <m/>
    <m/>
    <m/>
    <m/>
    <m/>
    <m/>
    <m/>
    <m/>
    <m/>
    <m/>
    <m/>
    <m/>
    <m/>
    <m/>
    <m/>
    <m/>
    <m/>
    <m/>
    <m/>
    <m/>
    <m/>
    <m/>
    <m/>
    <m/>
    <m/>
    <m/>
    <m/>
    <m/>
    <m/>
    <m/>
    <m/>
    <m/>
    <m/>
    <m/>
    <n v="17941"/>
    <n v="17941"/>
    <n v="17941"/>
    <n v="18981"/>
    <n v="18981"/>
    <n v="18981"/>
    <n v="19787"/>
    <n v="19787"/>
    <n v="19787"/>
    <m/>
    <m/>
    <m/>
    <x v="72"/>
    <x v="2"/>
    <x v="54"/>
    <n v="19.786999999999999"/>
    <n v="19.786999999999999"/>
    <n v="0"/>
    <n v="0"/>
    <n v="0"/>
    <n v="0.2"/>
    <x v="79"/>
    <x v="94"/>
    <n v="45"/>
    <n v="0"/>
    <x v="2"/>
    <n v="0.45138971065590638"/>
    <x v="83"/>
    <x v="96"/>
  </r>
  <r>
    <n v="7000487"/>
    <x v="28"/>
    <x v="2"/>
    <x v="17"/>
    <s v="IP"/>
    <x v="6"/>
    <s v="DEKORPEL GREY 9300"/>
    <s v="gray"/>
    <n v="9300"/>
    <m/>
    <m/>
    <s v="BR"/>
    <x v="3"/>
    <x v="0"/>
    <m/>
    <n v="3"/>
    <s v="monthly"/>
    <x v="0"/>
    <n v="0.04"/>
    <s v="Sim"/>
    <n v="9.2499999999999999E-2"/>
    <s v="ton"/>
    <x v="17"/>
    <x v="0"/>
    <m/>
    <m/>
    <m/>
    <m/>
    <m/>
    <m/>
    <m/>
    <m/>
    <m/>
    <m/>
    <m/>
    <m/>
    <m/>
    <m/>
    <m/>
    <m/>
    <m/>
    <m/>
    <m/>
    <m/>
    <m/>
    <m/>
    <m/>
    <m/>
    <m/>
    <m/>
    <m/>
    <m/>
    <m/>
    <m/>
    <m/>
    <m/>
    <m/>
    <m/>
    <m/>
    <m/>
    <n v="21370"/>
    <n v="21370"/>
    <n v="21370"/>
    <n v="22609"/>
    <n v="22609"/>
    <n v="22609"/>
    <n v="23581"/>
    <n v="23581"/>
    <n v="23581"/>
    <m/>
    <m/>
    <m/>
    <x v="71"/>
    <x v="2"/>
    <x v="53"/>
    <n v="23.581"/>
    <n v="23.581"/>
    <n v="0"/>
    <n v="0"/>
    <n v="0"/>
    <n v="0.2"/>
    <x v="78"/>
    <x v="93"/>
    <n v="45"/>
    <n v="0"/>
    <x v="2"/>
    <n v="0.53707403357723038"/>
    <x v="82"/>
    <x v="95"/>
  </r>
  <r>
    <n v="7000489"/>
    <x v="11"/>
    <x v="2"/>
    <x v="17"/>
    <s v="IP"/>
    <x v="6"/>
    <s v="DEKORPEL GREY 932"/>
    <s v="gray"/>
    <n v="932"/>
    <m/>
    <m/>
    <s v="BR"/>
    <x v="3"/>
    <x v="0"/>
    <m/>
    <n v="3"/>
    <s v="monthly"/>
    <x v="0"/>
    <n v="0.04"/>
    <s v="Sim"/>
    <n v="9.2499999999999999E-2"/>
    <s v="ton"/>
    <x v="1"/>
    <x v="0"/>
    <m/>
    <m/>
    <m/>
    <m/>
    <m/>
    <m/>
    <m/>
    <m/>
    <m/>
    <m/>
    <m/>
    <m/>
    <m/>
    <m/>
    <m/>
    <m/>
    <m/>
    <m/>
    <m/>
    <m/>
    <m/>
    <m/>
    <m/>
    <m/>
    <m/>
    <m/>
    <m/>
    <m/>
    <m/>
    <m/>
    <m/>
    <m/>
    <m/>
    <m/>
    <m/>
    <m/>
    <n v="23439"/>
    <n v="23439"/>
    <n v="23439"/>
    <n v="24799"/>
    <n v="24799"/>
    <n v="24799"/>
    <n v="25865"/>
    <n v="25865"/>
    <n v="25865"/>
    <m/>
    <m/>
    <m/>
    <x v="73"/>
    <x v="2"/>
    <x v="55"/>
    <n v="25.864999999999998"/>
    <n v="25.864999999999998"/>
    <n v="0"/>
    <n v="0"/>
    <n v="0"/>
    <n v="0.2"/>
    <x v="80"/>
    <x v="95"/>
    <n v="45"/>
    <n v="0"/>
    <x v="2"/>
    <n v="0.58865626698585061"/>
    <x v="84"/>
    <x v="97"/>
  </r>
  <r>
    <n v="7000491"/>
    <x v="8"/>
    <x v="5"/>
    <x v="17"/>
    <m/>
    <x v="6"/>
    <s v="BACKING OS"/>
    <s v="brown"/>
    <m/>
    <m/>
    <m/>
    <s v="BR"/>
    <x v="3"/>
    <x v="0"/>
    <m/>
    <n v="3"/>
    <s v="monthly"/>
    <x v="0"/>
    <n v="0.12"/>
    <s v="Sim"/>
    <n v="9.2499999999999999E-2"/>
    <s v="ton"/>
    <x v="17"/>
    <x v="0"/>
    <m/>
    <m/>
    <m/>
    <m/>
    <m/>
    <m/>
    <m/>
    <m/>
    <m/>
    <m/>
    <m/>
    <m/>
    <m/>
    <m/>
    <m/>
    <m/>
    <m/>
    <m/>
    <m/>
    <m/>
    <m/>
    <m/>
    <m/>
    <m/>
    <m/>
    <m/>
    <m/>
    <m/>
    <m/>
    <m/>
    <m/>
    <m/>
    <m/>
    <m/>
    <m/>
    <m/>
    <n v="10471"/>
    <n v="10471"/>
    <n v="10471"/>
    <n v="11079"/>
    <n v="11079"/>
    <n v="11079"/>
    <n v="11555"/>
    <n v="11555"/>
    <n v="11555"/>
    <m/>
    <m/>
    <m/>
    <x v="77"/>
    <x v="2"/>
    <x v="58"/>
    <n v="11.555"/>
    <n v="11.555"/>
    <n v="0"/>
    <n v="0"/>
    <n v="0"/>
    <n v="0.2"/>
    <x v="84"/>
    <x v="99"/>
    <n v="45"/>
    <n v="0"/>
    <x v="2"/>
    <n v="0.26547686239856816"/>
    <x v="88"/>
    <x v="101"/>
  </r>
  <r>
    <n v="7002362"/>
    <x v="4"/>
    <x v="3"/>
    <x v="2"/>
    <s v="FF"/>
    <x v="11"/>
    <s v="KINGDECOR KD7002V"/>
    <s v="white"/>
    <s v="KD7002V"/>
    <m/>
    <m/>
    <s v="CN"/>
    <x v="1"/>
    <x v="2"/>
    <m/>
    <m/>
    <m/>
    <x v="0"/>
    <m/>
    <m/>
    <m/>
    <s v="ton"/>
    <x v="3"/>
    <x v="3"/>
    <m/>
    <m/>
    <m/>
    <m/>
    <m/>
    <m/>
    <m/>
    <m/>
    <m/>
    <m/>
    <m/>
    <m/>
    <m/>
    <m/>
    <m/>
    <m/>
    <m/>
    <m/>
    <m/>
    <m/>
    <m/>
    <m/>
    <m/>
    <m/>
    <m/>
    <m/>
    <m/>
    <m/>
    <m/>
    <m/>
    <m/>
    <m/>
    <m/>
    <m/>
    <m/>
    <m/>
    <n v="19500"/>
    <n v="19500"/>
    <n v="19500"/>
    <n v="19500"/>
    <n v="19500"/>
    <n v="19500"/>
    <m/>
    <m/>
    <m/>
    <m/>
    <m/>
    <m/>
    <x v="121"/>
    <x v="4"/>
    <x v="12"/>
    <n v="19.5"/>
    <n v="14.625"/>
    <n v="1.11958"/>
    <n v="2.0475000000000003"/>
    <n v="0"/>
    <n v="9.1999999999999998E-2"/>
    <x v="136"/>
    <x v="168"/>
    <n v="120"/>
    <n v="90"/>
    <x v="1"/>
    <n v="0.26826119999999776"/>
    <x v="146"/>
    <x v="173"/>
  </r>
  <r>
    <n v="7002367"/>
    <x v="19"/>
    <x v="3"/>
    <x v="17"/>
    <s v="DP"/>
    <x v="11"/>
    <s v="KINGDECOR YH0021D"/>
    <s v="white"/>
    <s v="KD7002V"/>
    <m/>
    <m/>
    <s v="CN"/>
    <x v="1"/>
    <x v="2"/>
    <m/>
    <m/>
    <m/>
    <x v="0"/>
    <m/>
    <m/>
    <m/>
    <s v="ton"/>
    <x v="0"/>
    <x v="3"/>
    <m/>
    <m/>
    <m/>
    <m/>
    <m/>
    <m/>
    <m/>
    <m/>
    <m/>
    <m/>
    <m/>
    <m/>
    <m/>
    <m/>
    <m/>
    <m/>
    <m/>
    <m/>
    <m/>
    <m/>
    <m/>
    <m/>
    <m/>
    <m/>
    <m/>
    <m/>
    <m/>
    <m/>
    <m/>
    <m/>
    <m/>
    <m/>
    <m/>
    <m/>
    <m/>
    <m/>
    <n v="12000"/>
    <n v="12000"/>
    <n v="12000"/>
    <n v="12000"/>
    <n v="12000"/>
    <n v="12000"/>
    <m/>
    <m/>
    <m/>
    <m/>
    <m/>
    <m/>
    <x v="119"/>
    <x v="4"/>
    <x v="12"/>
    <n v="12"/>
    <n v="9"/>
    <n v="1.11958"/>
    <n v="1.2600000000000002"/>
    <n v="0"/>
    <n v="9.1999999999999998E-2"/>
    <x v="134"/>
    <x v="165"/>
    <n v="120"/>
    <n v="90"/>
    <x v="1"/>
    <n v="0.17207369999999855"/>
    <x v="144"/>
    <x v="170"/>
  </r>
  <r>
    <n v="7002369"/>
    <x v="13"/>
    <x v="2"/>
    <x v="17"/>
    <s v="IP"/>
    <x v="4"/>
    <s v="CARTIERE SW0337"/>
    <s v="white"/>
    <s v="SW0337"/>
    <m/>
    <m/>
    <s v="EU"/>
    <x v="1"/>
    <x v="0"/>
    <m/>
    <m/>
    <m/>
    <x v="0"/>
    <m/>
    <m/>
    <m/>
    <s v="ton"/>
    <x v="3"/>
    <x v="2"/>
    <m/>
    <m/>
    <m/>
    <m/>
    <m/>
    <m/>
    <m/>
    <m/>
    <m/>
    <m/>
    <m/>
    <m/>
    <m/>
    <m/>
    <m/>
    <m/>
    <m/>
    <m/>
    <m/>
    <m/>
    <m/>
    <m/>
    <m/>
    <m/>
    <m/>
    <m/>
    <m/>
    <m/>
    <m/>
    <m/>
    <m/>
    <m/>
    <m/>
    <m/>
    <m/>
    <m/>
    <n v="2390"/>
    <n v="2390"/>
    <n v="2390"/>
    <n v="2500"/>
    <n v="2500"/>
    <n v="2500"/>
    <m/>
    <m/>
    <m/>
    <m/>
    <m/>
    <m/>
    <x v="41"/>
    <x v="4"/>
    <x v="153"/>
    <n v="2.5"/>
    <n v="14.75"/>
    <n v="0.14176320000000001"/>
    <n v="1.9175"/>
    <n v="0"/>
    <n v="9.1999999999999998E-2"/>
    <x v="41"/>
    <x v="231"/>
    <n v="105"/>
    <n v="90"/>
    <x v="0"/>
    <n v="0.12628765800683794"/>
    <x v="199"/>
    <x v="239"/>
  </r>
  <r>
    <n v="7002370"/>
    <x v="39"/>
    <x v="9"/>
    <x v="17"/>
    <s v="DP"/>
    <x v="9"/>
    <s v="MUNKSJO 0301"/>
    <s v="dark beige"/>
    <n v="301"/>
    <m/>
    <m/>
    <s v="EU"/>
    <x v="2"/>
    <x v="0"/>
    <m/>
    <m/>
    <m/>
    <x v="0"/>
    <m/>
    <m/>
    <m/>
    <s v="ton"/>
    <x v="2"/>
    <x v="2"/>
    <m/>
    <m/>
    <m/>
    <m/>
    <m/>
    <m/>
    <m/>
    <m/>
    <m/>
    <m/>
    <m/>
    <m/>
    <m/>
    <m/>
    <m/>
    <m/>
    <m/>
    <m/>
    <m/>
    <m/>
    <m/>
    <m/>
    <m/>
    <m/>
    <m/>
    <m/>
    <m/>
    <m/>
    <m/>
    <m/>
    <m/>
    <m/>
    <m/>
    <m/>
    <m/>
    <m/>
    <n v="2080"/>
    <n v="2080"/>
    <n v="2080"/>
    <n v="2160"/>
    <n v="2240"/>
    <n v="2240"/>
    <n v="2360"/>
    <n v="2310"/>
    <n v="2310"/>
    <m/>
    <m/>
    <m/>
    <x v="49"/>
    <x v="2"/>
    <x v="90"/>
    <n v="2.31"/>
    <n v="13.629000000000001"/>
    <n v="0.14176320000000001"/>
    <n v="1.7717700000000003"/>
    <n v="0"/>
    <n v="9.1999999999999998E-2"/>
    <x v="117"/>
    <x v="144"/>
    <n v="105"/>
    <n v="60"/>
    <x v="2"/>
    <n v="0.35309288124221538"/>
    <x v="126"/>
    <x v="149"/>
  </r>
  <r>
    <n v="7002371"/>
    <x v="26"/>
    <x v="9"/>
    <x v="17"/>
    <s v="DP"/>
    <x v="10"/>
    <s v="SUNSHINE 0244"/>
    <s v="gray"/>
    <m/>
    <m/>
    <m/>
    <s v="CN"/>
    <x v="1"/>
    <x v="2"/>
    <m/>
    <m/>
    <m/>
    <x v="0"/>
    <m/>
    <m/>
    <m/>
    <s v="ton"/>
    <x v="3"/>
    <x v="3"/>
    <m/>
    <m/>
    <m/>
    <m/>
    <m/>
    <m/>
    <m/>
    <m/>
    <m/>
    <m/>
    <m/>
    <m/>
    <m/>
    <m/>
    <m/>
    <m/>
    <m/>
    <m/>
    <m/>
    <m/>
    <m/>
    <m/>
    <m/>
    <m/>
    <m/>
    <m/>
    <m/>
    <m/>
    <m/>
    <m/>
    <m/>
    <m/>
    <m/>
    <m/>
    <m/>
    <m/>
    <n v="13000"/>
    <n v="13000"/>
    <n v="13000"/>
    <n v="13000"/>
    <n v="13000"/>
    <n v="13000"/>
    <m/>
    <m/>
    <m/>
    <m/>
    <m/>
    <m/>
    <x v="118"/>
    <x v="4"/>
    <x v="12"/>
    <n v="13"/>
    <n v="9.75"/>
    <n v="1.11958"/>
    <n v="1.3650000000000002"/>
    <n v="0"/>
    <n v="9.1999999999999998E-2"/>
    <x v="133"/>
    <x v="163"/>
    <n v="120"/>
    <n v="90"/>
    <x v="1"/>
    <n v="0.18489869999999797"/>
    <x v="143"/>
    <x v="168"/>
  </r>
  <r>
    <n v="7002372"/>
    <x v="25"/>
    <x v="9"/>
    <x v="17"/>
    <s v="DP"/>
    <x v="12"/>
    <s v="HUAWON HG5098"/>
    <s v="gray"/>
    <s v="HG5098"/>
    <m/>
    <m/>
    <s v="CN"/>
    <x v="1"/>
    <x v="3"/>
    <m/>
    <n v="90"/>
    <m/>
    <x v="0"/>
    <m/>
    <m/>
    <m/>
    <s v="ton"/>
    <x v="3"/>
    <x v="3"/>
    <m/>
    <m/>
    <m/>
    <m/>
    <m/>
    <m/>
    <m/>
    <m/>
    <m/>
    <m/>
    <m/>
    <m/>
    <m/>
    <m/>
    <m/>
    <m/>
    <m/>
    <m/>
    <m/>
    <m/>
    <m/>
    <m/>
    <m/>
    <m/>
    <m/>
    <m/>
    <m/>
    <m/>
    <m/>
    <m/>
    <m/>
    <m/>
    <m/>
    <m/>
    <m/>
    <m/>
    <n v="12300"/>
    <n v="12300"/>
    <n v="12300"/>
    <n v="12300"/>
    <n v="12300"/>
    <n v="12300"/>
    <m/>
    <m/>
    <m/>
    <m/>
    <m/>
    <m/>
    <x v="128"/>
    <x v="4"/>
    <x v="12"/>
    <n v="12.3"/>
    <n v="9.2250000000000014"/>
    <n v="1.11958"/>
    <n v="1.2915000000000003"/>
    <n v="0"/>
    <n v="9.1999999999999998E-2"/>
    <x v="144"/>
    <x v="180"/>
    <n v="120"/>
    <n v="90"/>
    <x v="1"/>
    <n v="0.17592119999999944"/>
    <x v="154"/>
    <x v="185"/>
  </r>
  <r>
    <n v="7002384"/>
    <x v="44"/>
    <x v="9"/>
    <x v="17"/>
    <s v="DP"/>
    <x v="10"/>
    <s v="SUNSHINE 0128K"/>
    <s v="white"/>
    <m/>
    <m/>
    <m/>
    <s v="CN"/>
    <x v="1"/>
    <x v="2"/>
    <m/>
    <m/>
    <m/>
    <x v="0"/>
    <m/>
    <m/>
    <m/>
    <s v="ton"/>
    <x v="3"/>
    <x v="3"/>
    <m/>
    <m/>
    <m/>
    <m/>
    <m/>
    <m/>
    <m/>
    <m/>
    <m/>
    <m/>
    <m/>
    <m/>
    <m/>
    <m/>
    <m/>
    <m/>
    <m/>
    <m/>
    <m/>
    <m/>
    <m/>
    <m/>
    <m/>
    <m/>
    <m/>
    <m/>
    <m/>
    <m/>
    <m/>
    <m/>
    <m/>
    <m/>
    <m/>
    <m/>
    <m/>
    <m/>
    <n v="10950"/>
    <n v="10950"/>
    <n v="10950"/>
    <n v="10950"/>
    <n v="10950"/>
    <n v="10950"/>
    <m/>
    <m/>
    <m/>
    <m/>
    <m/>
    <m/>
    <x v="109"/>
    <x v="4"/>
    <x v="12"/>
    <n v="10.95"/>
    <n v="8.2124999999999986"/>
    <n v="1.11958"/>
    <n v="1.1497499999999998"/>
    <n v="0"/>
    <n v="9.1999999999999998E-2"/>
    <x v="124"/>
    <x v="153"/>
    <n v="120"/>
    <n v="90"/>
    <x v="1"/>
    <n v="0.1586074499999981"/>
    <x v="134"/>
    <x v="158"/>
  </r>
  <r>
    <n v="7002385"/>
    <x v="51"/>
    <x v="9"/>
    <x v="17"/>
    <s v="DP"/>
    <x v="12"/>
    <s v="HUAWON HW1831"/>
    <s v="white"/>
    <s v="HW1831"/>
    <m/>
    <m/>
    <s v="CN"/>
    <x v="1"/>
    <x v="3"/>
    <m/>
    <n v="90"/>
    <m/>
    <x v="0"/>
    <m/>
    <m/>
    <m/>
    <s v="ton"/>
    <x v="3"/>
    <x v="3"/>
    <m/>
    <m/>
    <m/>
    <m/>
    <m/>
    <m/>
    <m/>
    <m/>
    <m/>
    <m/>
    <m/>
    <m/>
    <m/>
    <m/>
    <m/>
    <m/>
    <m/>
    <m/>
    <m/>
    <m/>
    <m/>
    <m/>
    <m/>
    <m/>
    <m/>
    <m/>
    <m/>
    <m/>
    <m/>
    <m/>
    <m/>
    <m/>
    <m/>
    <m/>
    <m/>
    <m/>
    <n v="11000"/>
    <n v="11000"/>
    <n v="11000"/>
    <n v="11000"/>
    <n v="11000"/>
    <n v="11000"/>
    <m/>
    <m/>
    <m/>
    <m/>
    <m/>
    <m/>
    <x v="153"/>
    <x v="4"/>
    <x v="12"/>
    <n v="11"/>
    <n v="8.25"/>
    <n v="1.11958"/>
    <n v="1.155"/>
    <n v="0"/>
    <n v="9.1999999999999998E-2"/>
    <x v="175"/>
    <x v="232"/>
    <n v="120"/>
    <n v="90"/>
    <x v="1"/>
    <n v="0.15924869999999913"/>
    <x v="200"/>
    <x v="240"/>
  </r>
  <r>
    <n v="7002386"/>
    <x v="40"/>
    <x v="9"/>
    <x v="17"/>
    <s v="DP"/>
    <x v="11"/>
    <s v="KINGDECOR KD0124D"/>
    <s v="white"/>
    <s v="KD0124D"/>
    <m/>
    <m/>
    <s v="CN"/>
    <x v="1"/>
    <x v="2"/>
    <m/>
    <m/>
    <m/>
    <x v="0"/>
    <m/>
    <m/>
    <m/>
    <s v="ton"/>
    <x v="0"/>
    <x v="3"/>
    <m/>
    <m/>
    <m/>
    <m/>
    <m/>
    <m/>
    <m/>
    <m/>
    <m/>
    <m/>
    <m/>
    <m/>
    <m/>
    <m/>
    <m/>
    <m/>
    <m/>
    <m/>
    <m/>
    <m/>
    <m/>
    <m/>
    <m/>
    <m/>
    <m/>
    <m/>
    <m/>
    <m/>
    <m/>
    <m/>
    <m/>
    <m/>
    <m/>
    <m/>
    <m/>
    <m/>
    <n v="11500"/>
    <n v="11500"/>
    <n v="11500"/>
    <n v="11500"/>
    <n v="11500"/>
    <n v="11500"/>
    <m/>
    <m/>
    <m/>
    <m/>
    <m/>
    <m/>
    <x v="120"/>
    <x v="4"/>
    <x v="12"/>
    <n v="11.5"/>
    <n v="8.625"/>
    <n v="1.11958"/>
    <n v="1.2075"/>
    <n v="0"/>
    <n v="9.1999999999999998E-2"/>
    <x v="135"/>
    <x v="166"/>
    <n v="120"/>
    <n v="90"/>
    <x v="1"/>
    <n v="0.16566119999999884"/>
    <x v="145"/>
    <x v="171"/>
  </r>
  <r>
    <n v="7004320"/>
    <x v="17"/>
    <x v="3"/>
    <x v="17"/>
    <s v="DP"/>
    <x v="5"/>
    <s v="TECHNOCELL 4478"/>
    <s v="gray"/>
    <n v="4478"/>
    <m/>
    <m/>
    <s v="EU"/>
    <x v="4"/>
    <x v="1"/>
    <m/>
    <m/>
    <m/>
    <x v="0"/>
    <m/>
    <m/>
    <m/>
    <s v="ton"/>
    <x v="3"/>
    <x v="2"/>
    <m/>
    <m/>
    <m/>
    <m/>
    <m/>
    <m/>
    <m/>
    <m/>
    <m/>
    <m/>
    <m/>
    <m/>
    <m/>
    <m/>
    <m/>
    <m/>
    <m/>
    <m/>
    <m/>
    <m/>
    <m/>
    <m/>
    <m/>
    <m/>
    <m/>
    <m/>
    <m/>
    <m/>
    <m/>
    <m/>
    <m/>
    <m/>
    <m/>
    <m/>
    <m/>
    <m/>
    <n v="2250"/>
    <n v="2250"/>
    <n v="2250"/>
    <n v="2350"/>
    <n v="2350"/>
    <n v="2350"/>
    <n v="2430"/>
    <n v="2430"/>
    <n v="2430"/>
    <m/>
    <m/>
    <m/>
    <x v="51"/>
    <x v="2"/>
    <x v="154"/>
    <n v="2.4300000000000002"/>
    <n v="14.337000000000002"/>
    <n v="0.14176320000000001"/>
    <n v="1.8638100000000002"/>
    <n v="0"/>
    <n v="9.1999999999999998E-2"/>
    <x v="176"/>
    <x v="233"/>
    <n v="105"/>
    <n v="120"/>
    <x v="3"/>
    <n v="-0.12188974075469972"/>
    <x v="201"/>
    <x v="241"/>
  </r>
  <r>
    <n v="7004320"/>
    <x v="17"/>
    <x v="3"/>
    <x v="17"/>
    <s v="DP"/>
    <x v="5"/>
    <s v="TECHNOCELL 4478"/>
    <s v="gray"/>
    <n v="4478"/>
    <m/>
    <m/>
    <s v="EU"/>
    <x v="4"/>
    <x v="1"/>
    <m/>
    <m/>
    <m/>
    <x v="0"/>
    <m/>
    <m/>
    <m/>
    <s v="ton"/>
    <x v="2"/>
    <x v="2"/>
    <m/>
    <m/>
    <m/>
    <m/>
    <m/>
    <m/>
    <m/>
    <m/>
    <m/>
    <m/>
    <m/>
    <m/>
    <m/>
    <m/>
    <m/>
    <m/>
    <m/>
    <m/>
    <m/>
    <m/>
    <m/>
    <m/>
    <m/>
    <m/>
    <m/>
    <m/>
    <m/>
    <m/>
    <m/>
    <m/>
    <m/>
    <m/>
    <m/>
    <m/>
    <m/>
    <m/>
    <n v="2270"/>
    <n v="2270"/>
    <n v="2270"/>
    <n v="2370"/>
    <n v="2370"/>
    <n v="2370"/>
    <n v="2450"/>
    <n v="2450"/>
    <n v="2450"/>
    <m/>
    <m/>
    <m/>
    <x v="22"/>
    <x v="2"/>
    <x v="135"/>
    <n v="2.4500000000000002"/>
    <n v="14.455000000000002"/>
    <n v="0.14176320000000001"/>
    <n v="1.8791500000000003"/>
    <n v="0"/>
    <n v="9.1999999999999998E-2"/>
    <x v="22"/>
    <x v="203"/>
    <n v="105"/>
    <n v="120"/>
    <x v="3"/>
    <n v="-0.12287867900301563"/>
    <x v="42"/>
    <x v="242"/>
  </r>
  <r>
    <n v="7004320"/>
    <x v="17"/>
    <x v="3"/>
    <x v="17"/>
    <s v="DP"/>
    <x v="5"/>
    <s v="TECHNOCELL 4478"/>
    <s v="gray"/>
    <n v="4478"/>
    <m/>
    <m/>
    <s v="EU"/>
    <x v="4"/>
    <x v="1"/>
    <m/>
    <m/>
    <m/>
    <x v="0"/>
    <m/>
    <m/>
    <m/>
    <s v="ton"/>
    <x v="11"/>
    <x v="2"/>
    <m/>
    <m/>
    <m/>
    <m/>
    <m/>
    <m/>
    <m/>
    <m/>
    <m/>
    <m/>
    <m/>
    <m/>
    <m/>
    <m/>
    <m/>
    <m/>
    <m/>
    <m/>
    <m/>
    <m/>
    <m/>
    <m/>
    <m/>
    <m/>
    <m/>
    <m/>
    <m/>
    <m/>
    <m/>
    <m/>
    <m/>
    <m/>
    <m/>
    <m/>
    <m/>
    <m/>
    <n v="2320"/>
    <n v="2320"/>
    <n v="2320"/>
    <n v="2420"/>
    <n v="2420"/>
    <n v="2420"/>
    <n v="2500"/>
    <n v="2500"/>
    <n v="2500"/>
    <m/>
    <m/>
    <m/>
    <x v="41"/>
    <x v="2"/>
    <x v="136"/>
    <n v="2.5"/>
    <n v="14.75"/>
    <n v="0.14176320000000001"/>
    <n v="1.9175"/>
    <n v="0"/>
    <n v="9.1999999999999998E-2"/>
    <x v="41"/>
    <x v="118"/>
    <n v="105"/>
    <n v="120"/>
    <x v="3"/>
    <n v="-0.12535102462380721"/>
    <x v="43"/>
    <x v="122"/>
  </r>
  <r>
    <n v="7004320"/>
    <x v="17"/>
    <x v="3"/>
    <x v="17"/>
    <s v="DP"/>
    <x v="5"/>
    <s v="TECHNOCELL 4478"/>
    <s v="gray"/>
    <n v="4478"/>
    <m/>
    <m/>
    <s v="EU"/>
    <x v="4"/>
    <x v="1"/>
    <m/>
    <m/>
    <m/>
    <x v="0"/>
    <m/>
    <m/>
    <m/>
    <s v="ton"/>
    <x v="1"/>
    <x v="2"/>
    <m/>
    <m/>
    <m/>
    <m/>
    <m/>
    <m/>
    <m/>
    <m/>
    <m/>
    <m/>
    <m/>
    <m/>
    <m/>
    <m/>
    <m/>
    <m/>
    <m/>
    <m/>
    <m/>
    <m/>
    <m/>
    <m/>
    <m/>
    <m/>
    <m/>
    <m/>
    <m/>
    <m/>
    <m/>
    <m/>
    <m/>
    <m/>
    <m/>
    <m/>
    <m/>
    <m/>
    <n v="2370"/>
    <n v="2370"/>
    <n v="2370"/>
    <n v="2470"/>
    <n v="2470"/>
    <n v="2470"/>
    <n v="2550"/>
    <n v="2550"/>
    <n v="2550"/>
    <m/>
    <m/>
    <m/>
    <x v="27"/>
    <x v="2"/>
    <x v="155"/>
    <n v="2.5499999999999998"/>
    <n v="15.045"/>
    <n v="0.14176320000000001"/>
    <n v="1.9558500000000001"/>
    <n v="0"/>
    <n v="9.1999999999999998E-2"/>
    <x v="27"/>
    <x v="234"/>
    <n v="105"/>
    <n v="120"/>
    <x v="3"/>
    <n v="-0.12782337024459878"/>
    <x v="44"/>
    <x v="243"/>
  </r>
  <r>
    <n v="7004320"/>
    <x v="17"/>
    <x v="3"/>
    <x v="17"/>
    <s v="DP"/>
    <x v="5"/>
    <s v="TECHNOCELL 4478"/>
    <s v="gray"/>
    <n v="4478"/>
    <m/>
    <m/>
    <s v="EU"/>
    <x v="4"/>
    <x v="1"/>
    <m/>
    <m/>
    <m/>
    <x v="0"/>
    <m/>
    <m/>
    <m/>
    <s v="ton"/>
    <x v="12"/>
    <x v="2"/>
    <m/>
    <m/>
    <m/>
    <m/>
    <m/>
    <m/>
    <m/>
    <m/>
    <m/>
    <m/>
    <m/>
    <m/>
    <m/>
    <m/>
    <m/>
    <m/>
    <m/>
    <m/>
    <m/>
    <m/>
    <m/>
    <m/>
    <m/>
    <m/>
    <m/>
    <m/>
    <m/>
    <m/>
    <m/>
    <m/>
    <m/>
    <m/>
    <m/>
    <m/>
    <m/>
    <m/>
    <n v="2450"/>
    <n v="2450"/>
    <n v="2450"/>
    <n v="2550"/>
    <n v="2550"/>
    <n v="2550"/>
    <n v="2630"/>
    <n v="2630"/>
    <n v="2630"/>
    <m/>
    <m/>
    <m/>
    <x v="28"/>
    <x v="2"/>
    <x v="156"/>
    <n v="2.63"/>
    <n v="15.516999999999999"/>
    <n v="0.14176320000000001"/>
    <n v="2.0172099999999999"/>
    <n v="0"/>
    <n v="9.1999999999999998E-2"/>
    <x v="28"/>
    <x v="235"/>
    <n v="105"/>
    <n v="120"/>
    <x v="3"/>
    <n v="-0.13177912323786245"/>
    <x v="45"/>
    <x v="244"/>
  </r>
  <r>
    <n v="7004664"/>
    <x v="25"/>
    <x v="9"/>
    <x v="17"/>
    <s v="DP"/>
    <x v="4"/>
    <s v="CARTIERE 0248"/>
    <s v="gray"/>
    <m/>
    <m/>
    <m/>
    <s v="EU"/>
    <x v="1"/>
    <x v="0"/>
    <m/>
    <m/>
    <m/>
    <x v="0"/>
    <m/>
    <m/>
    <m/>
    <s v="ton"/>
    <x v="0"/>
    <x v="2"/>
    <m/>
    <m/>
    <m/>
    <m/>
    <m/>
    <m/>
    <m/>
    <m/>
    <m/>
    <m/>
    <m/>
    <m/>
    <m/>
    <m/>
    <m/>
    <m/>
    <m/>
    <m/>
    <m/>
    <m/>
    <m/>
    <m/>
    <m/>
    <m/>
    <m/>
    <m/>
    <m/>
    <m/>
    <m/>
    <m/>
    <m/>
    <m/>
    <m/>
    <m/>
    <m/>
    <m/>
    <n v="2240"/>
    <m/>
    <m/>
    <m/>
    <m/>
    <m/>
    <m/>
    <m/>
    <m/>
    <m/>
    <m/>
    <m/>
    <x v="132"/>
    <x v="11"/>
    <x v="12"/>
    <n v="2.2400000000000002"/>
    <n v="13.216000000000003"/>
    <n v="0.14176320000000001"/>
    <n v="1.7180800000000005"/>
    <n v="0"/>
    <n v="9.1999999999999998E-2"/>
    <x v="149"/>
    <x v="186"/>
    <n v="105"/>
    <n v="90"/>
    <x v="0"/>
    <n v="0.11333539819336913"/>
    <x v="202"/>
    <x v="245"/>
  </r>
  <r>
    <n v="7004665"/>
    <x v="25"/>
    <x v="9"/>
    <x v="17"/>
    <s v="DP"/>
    <x v="7"/>
    <s v="KOEHLER 0248"/>
    <s v="gray"/>
    <n v="32153"/>
    <m/>
    <m/>
    <s v="EU"/>
    <x v="4"/>
    <x v="0"/>
    <m/>
    <m/>
    <m/>
    <x v="2"/>
    <m/>
    <m/>
    <m/>
    <s v="ton"/>
    <x v="3"/>
    <x v="2"/>
    <m/>
    <m/>
    <m/>
    <m/>
    <m/>
    <m/>
    <m/>
    <m/>
    <m/>
    <m/>
    <m/>
    <m/>
    <m/>
    <m/>
    <m/>
    <m/>
    <m/>
    <m/>
    <m/>
    <m/>
    <m/>
    <m/>
    <m/>
    <m/>
    <m/>
    <m/>
    <m/>
    <m/>
    <m/>
    <m/>
    <m/>
    <m/>
    <m/>
    <m/>
    <m/>
    <m/>
    <n v="2270"/>
    <n v="2270"/>
    <n v="2270"/>
    <n v="2350"/>
    <n v="2350"/>
    <n v="2350"/>
    <m/>
    <m/>
    <m/>
    <m/>
    <m/>
    <m/>
    <x v="37"/>
    <x v="4"/>
    <x v="43"/>
    <n v="2.35"/>
    <n v="13.865000000000002"/>
    <n v="0.14176320000000001"/>
    <n v="1.8024500000000003"/>
    <n v="-0.17699999999999999"/>
    <n v="9.1999999999999998E-2"/>
    <x v="50"/>
    <x v="84"/>
    <n v="105"/>
    <n v="120"/>
    <x v="3"/>
    <n v="-0.11662123787429124"/>
    <x v="54"/>
    <x v="86"/>
  </r>
  <r>
    <n v="7004665"/>
    <x v="25"/>
    <x v="9"/>
    <x v="17"/>
    <s v="DP"/>
    <x v="7"/>
    <s v="KOEHLER 0248"/>
    <s v="gray"/>
    <n v="32153"/>
    <m/>
    <m/>
    <s v="EU"/>
    <x v="4"/>
    <x v="0"/>
    <m/>
    <m/>
    <m/>
    <x v="2"/>
    <m/>
    <m/>
    <m/>
    <s v="ton"/>
    <x v="16"/>
    <x v="2"/>
    <m/>
    <m/>
    <m/>
    <m/>
    <m/>
    <m/>
    <m/>
    <m/>
    <m/>
    <m/>
    <m/>
    <m/>
    <m/>
    <m/>
    <m/>
    <m/>
    <m/>
    <m/>
    <m/>
    <m/>
    <m/>
    <m/>
    <m/>
    <m/>
    <m/>
    <m/>
    <m/>
    <m/>
    <m/>
    <m/>
    <m/>
    <m/>
    <m/>
    <m/>
    <m/>
    <m/>
    <n v="2290"/>
    <n v="2290"/>
    <n v="2290"/>
    <n v="2370"/>
    <n v="2370"/>
    <n v="2370"/>
    <m/>
    <m/>
    <m/>
    <m/>
    <m/>
    <m/>
    <x v="23"/>
    <x v="4"/>
    <x v="44"/>
    <n v="2.37"/>
    <n v="13.983000000000002"/>
    <n v="0.14176320000000001"/>
    <n v="1.8177900000000005"/>
    <n v="-0.17699999999999999"/>
    <n v="9.1999999999999998E-2"/>
    <x v="72"/>
    <x v="85"/>
    <n v="105"/>
    <n v="120"/>
    <x v="3"/>
    <n v="-0.11761017612260716"/>
    <x v="76"/>
    <x v="87"/>
  </r>
  <r>
    <n v="7004665"/>
    <x v="25"/>
    <x v="9"/>
    <x v="17"/>
    <s v="DP"/>
    <x v="7"/>
    <s v="KOEHLER 0248"/>
    <s v="gray"/>
    <n v="32153"/>
    <m/>
    <m/>
    <s v="EU"/>
    <x v="4"/>
    <x v="0"/>
    <m/>
    <m/>
    <m/>
    <x v="2"/>
    <m/>
    <m/>
    <m/>
    <s v="ton"/>
    <x v="2"/>
    <x v="2"/>
    <m/>
    <m/>
    <m/>
    <m/>
    <m/>
    <m/>
    <m/>
    <m/>
    <m/>
    <m/>
    <m/>
    <m/>
    <m/>
    <m/>
    <m/>
    <m/>
    <m/>
    <m/>
    <m/>
    <m/>
    <m/>
    <m/>
    <m/>
    <m/>
    <m/>
    <m/>
    <m/>
    <m/>
    <m/>
    <m/>
    <m/>
    <m/>
    <m/>
    <m/>
    <m/>
    <m/>
    <n v="2320"/>
    <n v="2320"/>
    <n v="2320"/>
    <n v="2400"/>
    <n v="2400"/>
    <n v="2400"/>
    <m/>
    <m/>
    <m/>
    <m/>
    <m/>
    <m/>
    <x v="68"/>
    <x v="4"/>
    <x v="45"/>
    <n v="2.4"/>
    <n v="14.16"/>
    <n v="0.14176320000000001"/>
    <n v="1.8408"/>
    <n v="-0.17699999999999999"/>
    <n v="9.1999999999999998E-2"/>
    <x v="73"/>
    <x v="86"/>
    <n v="105"/>
    <n v="120"/>
    <x v="3"/>
    <n v="-0.11909358349508103"/>
    <x v="77"/>
    <x v="88"/>
  </r>
  <r>
    <n v="7004665"/>
    <x v="25"/>
    <x v="9"/>
    <x v="17"/>
    <s v="DP"/>
    <x v="7"/>
    <s v="KOEHLER 0248"/>
    <s v="gray"/>
    <n v="32153"/>
    <m/>
    <m/>
    <s v="EU"/>
    <x v="4"/>
    <x v="0"/>
    <m/>
    <m/>
    <m/>
    <x v="2"/>
    <m/>
    <m/>
    <m/>
    <s v="ton"/>
    <x v="11"/>
    <x v="2"/>
    <m/>
    <m/>
    <m/>
    <m/>
    <m/>
    <m/>
    <m/>
    <m/>
    <m/>
    <m/>
    <m/>
    <m/>
    <m/>
    <m/>
    <m/>
    <m/>
    <m/>
    <m/>
    <m/>
    <m/>
    <m/>
    <m/>
    <m/>
    <m/>
    <m/>
    <m/>
    <m/>
    <m/>
    <m/>
    <m/>
    <m/>
    <m/>
    <m/>
    <m/>
    <m/>
    <m/>
    <n v="2370"/>
    <n v="2370"/>
    <n v="2370"/>
    <n v="2450"/>
    <n v="2450"/>
    <n v="2450"/>
    <m/>
    <m/>
    <m/>
    <m/>
    <m/>
    <m/>
    <x v="22"/>
    <x v="4"/>
    <x v="46"/>
    <n v="2.4500000000000002"/>
    <n v="14.455000000000002"/>
    <n v="0.14176320000000001"/>
    <n v="1.8791500000000003"/>
    <n v="-0.17699999999999999"/>
    <n v="9.1999999999999998E-2"/>
    <x v="74"/>
    <x v="87"/>
    <n v="105"/>
    <n v="120"/>
    <x v="3"/>
    <n v="-0.12156592911587083"/>
    <x v="78"/>
    <x v="89"/>
  </r>
  <r>
    <n v="7004737"/>
    <x v="8"/>
    <x v="7"/>
    <x v="17"/>
    <m/>
    <x v="4"/>
    <s v="CARTIERE BACKER BROWN"/>
    <s v="brown"/>
    <m/>
    <m/>
    <m/>
    <s v="EU"/>
    <x v="1"/>
    <x v="0"/>
    <m/>
    <m/>
    <m/>
    <x v="0"/>
    <m/>
    <m/>
    <m/>
    <s v="ton"/>
    <x v="3"/>
    <x v="2"/>
    <m/>
    <m/>
    <m/>
    <m/>
    <m/>
    <m/>
    <m/>
    <m/>
    <m/>
    <m/>
    <m/>
    <m/>
    <m/>
    <m/>
    <m/>
    <m/>
    <m/>
    <m/>
    <m/>
    <m/>
    <m/>
    <m/>
    <m/>
    <m/>
    <m/>
    <m/>
    <m/>
    <m/>
    <m/>
    <m/>
    <m/>
    <m/>
    <m/>
    <m/>
    <m/>
    <m/>
    <m/>
    <m/>
    <m/>
    <m/>
    <n v="1100"/>
    <m/>
    <m/>
    <m/>
    <m/>
    <m/>
    <m/>
    <m/>
    <x v="154"/>
    <x v="22"/>
    <x v="12"/>
    <n v="1.1000000000000001"/>
    <n v="6.4900000000000011"/>
    <n v="0.14176320000000001"/>
    <n v="0.84370000000000012"/>
    <n v="0"/>
    <n v="9.1999999999999998E-2"/>
    <x v="177"/>
    <x v="236"/>
    <n v="105"/>
    <n v="90"/>
    <x v="0"/>
    <n v="5.6544720549699612E-2"/>
    <x v="203"/>
    <x v="246"/>
  </r>
  <r>
    <n v="7004738"/>
    <x v="8"/>
    <x v="5"/>
    <x v="17"/>
    <m/>
    <x v="4"/>
    <s v="CARTIERE BACKER BROWN"/>
    <s v="brown"/>
    <m/>
    <m/>
    <m/>
    <s v="EU"/>
    <x v="1"/>
    <x v="0"/>
    <m/>
    <m/>
    <m/>
    <x v="0"/>
    <m/>
    <m/>
    <m/>
    <s v="ton"/>
    <x v="3"/>
    <x v="2"/>
    <m/>
    <m/>
    <m/>
    <m/>
    <m/>
    <m/>
    <m/>
    <m/>
    <m/>
    <m/>
    <m/>
    <m/>
    <m/>
    <m/>
    <m/>
    <m/>
    <m/>
    <m/>
    <m/>
    <m/>
    <m/>
    <m/>
    <m/>
    <m/>
    <m/>
    <m/>
    <m/>
    <m/>
    <m/>
    <m/>
    <m/>
    <m/>
    <m/>
    <m/>
    <m/>
    <m/>
    <m/>
    <m/>
    <m/>
    <n v="1100"/>
    <n v="1100"/>
    <n v="1100"/>
    <m/>
    <m/>
    <m/>
    <m/>
    <m/>
    <m/>
    <x v="154"/>
    <x v="4"/>
    <x v="12"/>
    <n v="1.1000000000000001"/>
    <n v="6.4900000000000011"/>
    <n v="0.14176320000000001"/>
    <n v="0.84370000000000012"/>
    <n v="0"/>
    <n v="9.1999999999999998E-2"/>
    <x v="177"/>
    <x v="237"/>
    <n v="105"/>
    <n v="90"/>
    <x v="0"/>
    <n v="5.6544720549699612E-2"/>
    <x v="203"/>
    <x v="247"/>
  </r>
  <r>
    <n v="7004755"/>
    <x v="14"/>
    <x v="3"/>
    <x v="6"/>
    <s v="DP"/>
    <x v="4"/>
    <s v="CARTIERE 0483"/>
    <s v="gray"/>
    <m/>
    <m/>
    <m/>
    <s v="EU"/>
    <x v="1"/>
    <x v="0"/>
    <m/>
    <m/>
    <m/>
    <x v="0"/>
    <m/>
    <m/>
    <m/>
    <s v="ton"/>
    <x v="10"/>
    <x v="2"/>
    <m/>
    <m/>
    <m/>
    <m/>
    <m/>
    <m/>
    <m/>
    <m/>
    <m/>
    <m/>
    <m/>
    <m/>
    <m/>
    <m/>
    <m/>
    <m/>
    <m/>
    <m/>
    <m/>
    <m/>
    <m/>
    <m/>
    <m/>
    <m/>
    <m/>
    <m/>
    <m/>
    <m/>
    <m/>
    <m/>
    <m/>
    <m/>
    <m/>
    <m/>
    <m/>
    <m/>
    <n v="1750"/>
    <n v="1750"/>
    <n v="1750"/>
    <n v="1850"/>
    <n v="1850"/>
    <n v="1850"/>
    <m/>
    <m/>
    <m/>
    <m/>
    <m/>
    <m/>
    <x v="137"/>
    <x v="4"/>
    <x v="157"/>
    <n v="1.85"/>
    <n v="10.915000000000001"/>
    <n v="0.14176320000000001"/>
    <n v="1.4189500000000002"/>
    <n v="0"/>
    <n v="9.1999999999999998E-2"/>
    <x v="156"/>
    <x v="238"/>
    <n v="105"/>
    <n v="90"/>
    <x v="0"/>
    <n v="9.3907008473166798E-2"/>
    <x v="204"/>
    <x v="248"/>
  </r>
  <r>
    <n v="7004755"/>
    <x v="14"/>
    <x v="3"/>
    <x v="6"/>
    <s v="DP"/>
    <x v="4"/>
    <s v="CARTIERE 0483"/>
    <s v="gray"/>
    <m/>
    <m/>
    <m/>
    <s v="EU"/>
    <x v="1"/>
    <x v="0"/>
    <m/>
    <m/>
    <m/>
    <x v="0"/>
    <m/>
    <m/>
    <m/>
    <s v="ton"/>
    <x v="4"/>
    <x v="2"/>
    <m/>
    <m/>
    <m/>
    <m/>
    <m/>
    <m/>
    <m/>
    <m/>
    <m/>
    <m/>
    <m/>
    <m/>
    <m/>
    <m/>
    <m/>
    <m/>
    <m/>
    <m/>
    <m/>
    <m/>
    <m/>
    <m/>
    <m/>
    <m/>
    <m/>
    <m/>
    <m/>
    <m/>
    <m/>
    <m/>
    <m/>
    <m/>
    <m/>
    <m/>
    <m/>
    <m/>
    <m/>
    <m/>
    <m/>
    <n v="2040"/>
    <n v="2040"/>
    <n v="2040"/>
    <m/>
    <m/>
    <m/>
    <m/>
    <m/>
    <m/>
    <x v="63"/>
    <x v="4"/>
    <x v="12"/>
    <n v="2.04"/>
    <n v="12.036000000000001"/>
    <n v="0.14176320000000001"/>
    <n v="1.5646800000000003"/>
    <n v="0"/>
    <n v="9.1999999999999998E-2"/>
    <x v="148"/>
    <x v="239"/>
    <n v="105"/>
    <n v="90"/>
    <x v="0"/>
    <n v="0.10337212141377705"/>
    <x v="205"/>
    <x v="249"/>
  </r>
  <r>
    <n v="7004755"/>
    <x v="14"/>
    <x v="3"/>
    <x v="6"/>
    <s v="DP"/>
    <x v="4"/>
    <s v="CARTIERE 0483"/>
    <s v="gray"/>
    <m/>
    <m/>
    <m/>
    <s v="EU"/>
    <x v="1"/>
    <x v="0"/>
    <m/>
    <m/>
    <m/>
    <x v="0"/>
    <m/>
    <m/>
    <m/>
    <s v="ton"/>
    <x v="3"/>
    <x v="2"/>
    <m/>
    <m/>
    <m/>
    <m/>
    <m/>
    <m/>
    <m/>
    <m/>
    <m/>
    <m/>
    <m/>
    <m/>
    <m/>
    <m/>
    <m/>
    <m/>
    <m/>
    <m/>
    <m/>
    <m/>
    <m/>
    <m/>
    <m/>
    <m/>
    <m/>
    <m/>
    <m/>
    <m/>
    <m/>
    <m/>
    <m/>
    <m/>
    <m/>
    <m/>
    <m/>
    <m/>
    <m/>
    <m/>
    <m/>
    <n v="2090"/>
    <n v="2090"/>
    <n v="2090"/>
    <m/>
    <m/>
    <m/>
    <m/>
    <m/>
    <m/>
    <x v="155"/>
    <x v="4"/>
    <x v="12"/>
    <n v="2.09"/>
    <n v="12.331"/>
    <n v="0.14176320000000001"/>
    <n v="1.60303"/>
    <n v="0"/>
    <n v="9.1999999999999998E-2"/>
    <x v="178"/>
    <x v="240"/>
    <n v="105"/>
    <n v="90"/>
    <x v="0"/>
    <n v="0.10586294060867552"/>
    <x v="206"/>
    <x v="250"/>
  </r>
  <r>
    <n v="7004755"/>
    <x v="14"/>
    <x v="3"/>
    <x v="6"/>
    <s v="DP"/>
    <x v="4"/>
    <s v="CARTIERE 0483"/>
    <s v="gray"/>
    <m/>
    <m/>
    <m/>
    <s v="EU"/>
    <x v="1"/>
    <x v="0"/>
    <m/>
    <m/>
    <m/>
    <x v="0"/>
    <m/>
    <m/>
    <m/>
    <s v="ton"/>
    <x v="2"/>
    <x v="2"/>
    <m/>
    <m/>
    <m/>
    <m/>
    <m/>
    <m/>
    <m/>
    <m/>
    <m/>
    <m/>
    <m/>
    <m/>
    <m/>
    <m/>
    <m/>
    <m/>
    <m/>
    <m/>
    <m/>
    <m/>
    <m/>
    <m/>
    <m/>
    <m/>
    <m/>
    <m/>
    <m/>
    <m/>
    <m/>
    <m/>
    <m/>
    <m/>
    <m/>
    <m/>
    <m/>
    <m/>
    <m/>
    <m/>
    <m/>
    <n v="2220"/>
    <n v="2220"/>
    <n v="2220"/>
    <m/>
    <m/>
    <m/>
    <m/>
    <m/>
    <m/>
    <x v="101"/>
    <x v="4"/>
    <x v="12"/>
    <n v="2.2200000000000002"/>
    <n v="13.098000000000003"/>
    <n v="0.14176320000000001"/>
    <n v="1.7027400000000004"/>
    <n v="0"/>
    <n v="9.1999999999999998E-2"/>
    <x v="114"/>
    <x v="241"/>
    <n v="105"/>
    <n v="90"/>
    <x v="0"/>
    <n v="0.11233907051540903"/>
    <x v="207"/>
    <x v="251"/>
  </r>
  <r>
    <n v="7004755"/>
    <x v="14"/>
    <x v="3"/>
    <x v="6"/>
    <s v="DP"/>
    <x v="4"/>
    <s v="CARTIERE 0483"/>
    <s v="gray"/>
    <m/>
    <m/>
    <m/>
    <s v="EU"/>
    <x v="1"/>
    <x v="0"/>
    <m/>
    <m/>
    <m/>
    <x v="0"/>
    <m/>
    <m/>
    <m/>
    <s v="ton"/>
    <x v="8"/>
    <x v="2"/>
    <m/>
    <m/>
    <m/>
    <m/>
    <m/>
    <m/>
    <m/>
    <m/>
    <m/>
    <m/>
    <m/>
    <m/>
    <m/>
    <m/>
    <m/>
    <m/>
    <m/>
    <m/>
    <m/>
    <m/>
    <m/>
    <m/>
    <m/>
    <m/>
    <m/>
    <m/>
    <m/>
    <m/>
    <m/>
    <m/>
    <m/>
    <m/>
    <m/>
    <m/>
    <m/>
    <m/>
    <m/>
    <m/>
    <m/>
    <n v="2590"/>
    <n v="2590"/>
    <n v="2590"/>
    <m/>
    <m/>
    <m/>
    <m/>
    <m/>
    <m/>
    <x v="85"/>
    <x v="4"/>
    <x v="12"/>
    <n v="2.59"/>
    <n v="15.281000000000001"/>
    <n v="0.14176320000000001"/>
    <n v="1.9865300000000001"/>
    <n v="0"/>
    <n v="9.1999999999999998E-2"/>
    <x v="93"/>
    <x v="110"/>
    <n v="105"/>
    <n v="90"/>
    <x v="0"/>
    <n v="0.13077113255765482"/>
    <x v="208"/>
    <x v="252"/>
  </r>
  <r>
    <n v="7004756"/>
    <x v="15"/>
    <x v="3"/>
    <x v="17"/>
    <s v="DP"/>
    <x v="4"/>
    <s v="CARTIERE 689"/>
    <s v="gray"/>
    <m/>
    <m/>
    <m/>
    <s v="EU"/>
    <x v="1"/>
    <x v="0"/>
    <m/>
    <m/>
    <m/>
    <x v="0"/>
    <m/>
    <m/>
    <m/>
    <s v="ton"/>
    <x v="3"/>
    <x v="2"/>
    <m/>
    <m/>
    <m/>
    <m/>
    <m/>
    <m/>
    <m/>
    <m/>
    <m/>
    <m/>
    <m/>
    <m/>
    <m/>
    <m/>
    <m/>
    <m/>
    <m/>
    <m/>
    <m/>
    <m/>
    <m/>
    <m/>
    <m/>
    <m/>
    <m/>
    <m/>
    <m/>
    <m/>
    <m/>
    <m/>
    <m/>
    <m/>
    <m/>
    <m/>
    <m/>
    <m/>
    <n v="1790"/>
    <n v="1790"/>
    <n v="1790"/>
    <n v="1920"/>
    <n v="1920"/>
    <n v="1920"/>
    <m/>
    <m/>
    <m/>
    <m/>
    <m/>
    <m/>
    <x v="156"/>
    <x v="4"/>
    <x v="158"/>
    <n v="1.92"/>
    <n v="11.327999999999999"/>
    <n v="0.14176320000000001"/>
    <n v="1.4726399999999999"/>
    <n v="0"/>
    <n v="9.1999999999999998E-2"/>
    <x v="179"/>
    <x v="242"/>
    <n v="105"/>
    <n v="90"/>
    <x v="0"/>
    <n v="9.7394155346023581E-2"/>
    <x v="209"/>
    <x v="253"/>
  </r>
  <r>
    <n v="7004757"/>
    <x v="4"/>
    <x v="9"/>
    <x v="2"/>
    <s v="FF"/>
    <x v="11"/>
    <s v="KINGDECOR KD7002V"/>
    <s v="white"/>
    <s v="KD7002V"/>
    <m/>
    <m/>
    <s v="CN"/>
    <x v="1"/>
    <x v="2"/>
    <m/>
    <m/>
    <m/>
    <x v="0"/>
    <m/>
    <m/>
    <m/>
    <s v="ton"/>
    <x v="3"/>
    <x v="3"/>
    <m/>
    <m/>
    <m/>
    <m/>
    <m/>
    <m/>
    <m/>
    <m/>
    <m/>
    <m/>
    <m/>
    <m/>
    <m/>
    <m/>
    <m/>
    <m/>
    <m/>
    <m/>
    <m/>
    <m/>
    <m/>
    <m/>
    <m/>
    <m/>
    <m/>
    <m/>
    <m/>
    <m/>
    <m/>
    <m/>
    <m/>
    <m/>
    <m/>
    <m/>
    <m/>
    <m/>
    <n v="19500"/>
    <n v="19500"/>
    <n v="19500"/>
    <n v="19500"/>
    <n v="19500"/>
    <n v="19500"/>
    <m/>
    <m/>
    <m/>
    <m/>
    <m/>
    <m/>
    <x v="121"/>
    <x v="4"/>
    <x v="12"/>
    <n v="19.5"/>
    <n v="14.625"/>
    <n v="1.11958"/>
    <n v="2.0475000000000003"/>
    <n v="0"/>
    <n v="9.1999999999999998E-2"/>
    <x v="136"/>
    <x v="167"/>
    <n v="120"/>
    <n v="90"/>
    <x v="1"/>
    <n v="0.26826119999999776"/>
    <x v="146"/>
    <x v="172"/>
  </r>
  <r>
    <n v="7004758"/>
    <x v="19"/>
    <x v="3"/>
    <x v="17"/>
    <s v="DP"/>
    <x v="12"/>
    <s v="HUAWON HW1813"/>
    <s v="white"/>
    <s v="HW1813"/>
    <m/>
    <m/>
    <s v="CN"/>
    <x v="1"/>
    <x v="3"/>
    <m/>
    <n v="90"/>
    <m/>
    <x v="0"/>
    <m/>
    <m/>
    <m/>
    <s v="ton"/>
    <x v="3"/>
    <x v="3"/>
    <m/>
    <m/>
    <m/>
    <m/>
    <m/>
    <m/>
    <m/>
    <m/>
    <m/>
    <m/>
    <m/>
    <m/>
    <m/>
    <m/>
    <m/>
    <m/>
    <m/>
    <m/>
    <m/>
    <m/>
    <m/>
    <m/>
    <m/>
    <m/>
    <m/>
    <m/>
    <m/>
    <m/>
    <m/>
    <m/>
    <m/>
    <m/>
    <m/>
    <m/>
    <m/>
    <m/>
    <n v="11700"/>
    <n v="11700"/>
    <n v="11700"/>
    <n v="11700"/>
    <n v="11700"/>
    <n v="11700"/>
    <m/>
    <m/>
    <m/>
    <m/>
    <m/>
    <m/>
    <x v="157"/>
    <x v="4"/>
    <x v="12"/>
    <n v="11.7"/>
    <n v="8.7749999999999986"/>
    <n v="1.11958"/>
    <n v="1.2284999999999999"/>
    <n v="0"/>
    <n v="9.1999999999999998E-2"/>
    <x v="180"/>
    <x v="243"/>
    <n v="120"/>
    <n v="90"/>
    <x v="1"/>
    <n v="0.16822619999999944"/>
    <x v="210"/>
    <x v="254"/>
  </r>
  <r>
    <n v="7004759"/>
    <x v="19"/>
    <x v="2"/>
    <x v="17"/>
    <s v="IP"/>
    <x v="12"/>
    <s v="HUAWON HW1813"/>
    <s v="white"/>
    <s v="HW1813"/>
    <m/>
    <m/>
    <s v="CN"/>
    <x v="1"/>
    <x v="3"/>
    <m/>
    <n v="90"/>
    <m/>
    <x v="0"/>
    <m/>
    <m/>
    <m/>
    <s v="ton"/>
    <x v="3"/>
    <x v="3"/>
    <m/>
    <m/>
    <m/>
    <m/>
    <m/>
    <m/>
    <m/>
    <m/>
    <m/>
    <m/>
    <m/>
    <m/>
    <m/>
    <m/>
    <m/>
    <m/>
    <m/>
    <m/>
    <m/>
    <m/>
    <m/>
    <m/>
    <m/>
    <m/>
    <m/>
    <m/>
    <m/>
    <m/>
    <m/>
    <m/>
    <m/>
    <m/>
    <m/>
    <m/>
    <m/>
    <m/>
    <n v="11700"/>
    <n v="11700"/>
    <n v="11700"/>
    <n v="11700"/>
    <n v="11700"/>
    <n v="11700"/>
    <m/>
    <m/>
    <m/>
    <m/>
    <m/>
    <m/>
    <x v="157"/>
    <x v="4"/>
    <x v="12"/>
    <n v="11.7"/>
    <n v="8.7749999999999986"/>
    <n v="1.11958"/>
    <n v="1.2284999999999999"/>
    <n v="0"/>
    <n v="9.1999999999999998E-2"/>
    <x v="180"/>
    <x v="244"/>
    <n v="120"/>
    <n v="90"/>
    <x v="1"/>
    <n v="0.16822619999999944"/>
    <x v="210"/>
    <x v="255"/>
  </r>
  <r>
    <n v="7004777"/>
    <x v="40"/>
    <x v="9"/>
    <x v="17"/>
    <s v="DP"/>
    <x v="15"/>
    <s v="ULTRADECOR 0128"/>
    <s v="white"/>
    <n v="128"/>
    <m/>
    <m/>
    <s v="RU"/>
    <x v="6"/>
    <x v="0"/>
    <m/>
    <m/>
    <m/>
    <x v="2"/>
    <m/>
    <m/>
    <m/>
    <s v="ton"/>
    <x v="0"/>
    <x v="4"/>
    <m/>
    <m/>
    <m/>
    <m/>
    <m/>
    <m/>
    <m/>
    <m/>
    <m/>
    <m/>
    <m/>
    <m/>
    <m/>
    <m/>
    <m/>
    <m/>
    <m/>
    <m/>
    <m/>
    <m/>
    <m/>
    <m/>
    <m/>
    <m/>
    <m/>
    <m/>
    <m/>
    <m/>
    <m/>
    <m/>
    <m/>
    <m/>
    <m/>
    <m/>
    <m/>
    <m/>
    <n v="210000"/>
    <n v="210000"/>
    <n v="210000"/>
    <m/>
    <m/>
    <m/>
    <m/>
    <m/>
    <m/>
    <m/>
    <m/>
    <m/>
    <x v="158"/>
    <x v="14"/>
    <x v="12"/>
    <n v="210"/>
    <n v="13.9377"/>
    <n v="0"/>
    <n v="1.811901"/>
    <n v="-0.17699999999999999"/>
    <n v="9.1999999999999998E-2"/>
    <x v="181"/>
    <x v="245"/>
    <n v="105"/>
    <n v="45"/>
    <x v="5"/>
    <n v="0.4734625652249953"/>
    <x v="211"/>
    <x v="256"/>
  </r>
  <r>
    <n v="7004848"/>
    <x v="19"/>
    <x v="3"/>
    <x v="17"/>
    <s v="DP"/>
    <x v="11"/>
    <s v="KINGDECOR XH0021D"/>
    <s v="white"/>
    <s v="XH0021D"/>
    <m/>
    <m/>
    <s v="CN"/>
    <x v="1"/>
    <x v="2"/>
    <m/>
    <m/>
    <m/>
    <x v="0"/>
    <m/>
    <m/>
    <m/>
    <s v="ton"/>
    <x v="0"/>
    <x v="3"/>
    <m/>
    <m/>
    <m/>
    <m/>
    <m/>
    <m/>
    <m/>
    <m/>
    <m/>
    <m/>
    <m/>
    <m/>
    <m/>
    <m/>
    <m/>
    <m/>
    <m/>
    <m/>
    <m/>
    <m/>
    <m/>
    <m/>
    <m/>
    <m/>
    <m/>
    <m/>
    <m/>
    <m/>
    <m/>
    <m/>
    <m/>
    <m/>
    <m/>
    <m/>
    <m/>
    <m/>
    <n v="12000"/>
    <n v="12000"/>
    <n v="12000"/>
    <n v="12000"/>
    <n v="12000"/>
    <n v="12000"/>
    <m/>
    <m/>
    <m/>
    <m/>
    <m/>
    <m/>
    <x v="119"/>
    <x v="4"/>
    <x v="12"/>
    <n v="12"/>
    <n v="9"/>
    <n v="1.11958"/>
    <n v="1.2600000000000002"/>
    <n v="0"/>
    <n v="9.1999999999999998E-2"/>
    <x v="134"/>
    <x v="165"/>
    <n v="120"/>
    <n v="90"/>
    <x v="1"/>
    <n v="0.17207369999999855"/>
    <x v="144"/>
    <x v="170"/>
  </r>
  <r>
    <n v="7004990"/>
    <x v="4"/>
    <x v="3"/>
    <x v="17"/>
    <s v="FF"/>
    <x v="16"/>
    <s v="Qifeng QF9816-70"/>
    <s v="white"/>
    <s v="QF9816"/>
    <m/>
    <m/>
    <s v="CN"/>
    <x v="1"/>
    <x v="2"/>
    <m/>
    <m/>
    <m/>
    <x v="0"/>
    <m/>
    <m/>
    <m/>
    <s v="ton"/>
    <x v="3"/>
    <x v="3"/>
    <m/>
    <m/>
    <m/>
    <m/>
    <m/>
    <m/>
    <m/>
    <m/>
    <m/>
    <m/>
    <m/>
    <m/>
    <m/>
    <m/>
    <m/>
    <m/>
    <m/>
    <m/>
    <m/>
    <m/>
    <m/>
    <m/>
    <m/>
    <m/>
    <m/>
    <m/>
    <m/>
    <m/>
    <m/>
    <m/>
    <m/>
    <m/>
    <m/>
    <m/>
    <m/>
    <m/>
    <m/>
    <m/>
    <m/>
    <m/>
    <n v="19500"/>
    <n v="19500"/>
    <m/>
    <m/>
    <m/>
    <m/>
    <m/>
    <m/>
    <x v="121"/>
    <x v="4"/>
    <x v="12"/>
    <n v="19.5"/>
    <n v="14.625"/>
    <n v="1.11958"/>
    <n v="2.0475000000000003"/>
    <n v="0"/>
    <n v="9.1999999999999998E-2"/>
    <x v="136"/>
    <x v="168"/>
    <n v="120"/>
    <n v="90"/>
    <x v="1"/>
    <n v="0.26826119999999776"/>
    <x v="146"/>
    <x v="173"/>
  </r>
  <r>
    <s v="7000446"/>
    <x v="10"/>
    <x v="6"/>
    <x v="17"/>
    <s v="DP"/>
    <x v="6"/>
    <s v="DEKORPRINT BEIGE 751"/>
    <s v="beige"/>
    <n v="751"/>
    <m/>
    <m/>
    <s v="BR"/>
    <x v="3"/>
    <x v="0"/>
    <m/>
    <n v="3"/>
    <s v="monthly"/>
    <x v="0"/>
    <n v="0.12"/>
    <s v="Sim"/>
    <n v="9.2499999999999999E-2"/>
    <s v="ton"/>
    <x v="2"/>
    <x v="0"/>
    <m/>
    <m/>
    <m/>
    <m/>
    <m/>
    <m/>
    <m/>
    <m/>
    <m/>
    <m/>
    <m/>
    <m/>
    <m/>
    <m/>
    <m/>
    <m/>
    <m/>
    <m/>
    <m/>
    <m/>
    <m/>
    <m/>
    <m/>
    <m/>
    <m/>
    <m/>
    <m/>
    <m/>
    <m/>
    <m/>
    <m/>
    <m/>
    <m/>
    <m/>
    <m/>
    <m/>
    <n v="16617"/>
    <n v="16617"/>
    <n v="16617"/>
    <n v="17581"/>
    <n v="17581"/>
    <n v="17581"/>
    <n v="18337"/>
    <n v="18337"/>
    <n v="18337"/>
    <m/>
    <m/>
    <m/>
    <x v="70"/>
    <x v="2"/>
    <x v="52"/>
    <n v="18.337"/>
    <n v="18.337"/>
    <n v="0"/>
    <n v="0"/>
    <n v="0"/>
    <n v="0.2"/>
    <x v="77"/>
    <x v="246"/>
    <n v="45"/>
    <n v="0"/>
    <x v="2"/>
    <n v="0.41864267105761499"/>
    <x v="81"/>
    <x v="257"/>
  </r>
  <r>
    <s v="7000486"/>
    <x v="31"/>
    <x v="2"/>
    <x v="17"/>
    <s v="IP"/>
    <x v="6"/>
    <s v="DEKORPEL BLUE 0497"/>
    <s v="blue"/>
    <n v="497"/>
    <m/>
    <m/>
    <s v="BR"/>
    <x v="3"/>
    <x v="0"/>
    <m/>
    <n v="3"/>
    <s v="monthly"/>
    <x v="0"/>
    <n v="0.12"/>
    <s v="Sim"/>
    <n v="9.2499999999999999E-2"/>
    <s v="ton"/>
    <x v="1"/>
    <x v="0"/>
    <m/>
    <m/>
    <m/>
    <m/>
    <m/>
    <m/>
    <m/>
    <m/>
    <m/>
    <m/>
    <m/>
    <m/>
    <m/>
    <m/>
    <m/>
    <m/>
    <m/>
    <m/>
    <m/>
    <m/>
    <m/>
    <m/>
    <m/>
    <m/>
    <m/>
    <m/>
    <m/>
    <m/>
    <m/>
    <m/>
    <m/>
    <m/>
    <m/>
    <m/>
    <m/>
    <m/>
    <n v="23501"/>
    <n v="23501"/>
    <n v="23501"/>
    <n v="24864"/>
    <n v="24864"/>
    <n v="24864"/>
    <n v="25933"/>
    <n v="25933"/>
    <n v="25933"/>
    <m/>
    <m/>
    <m/>
    <x v="75"/>
    <x v="2"/>
    <x v="57"/>
    <n v="25.933"/>
    <n v="25.933"/>
    <n v="0"/>
    <n v="0"/>
    <n v="0"/>
    <n v="0.2"/>
    <x v="82"/>
    <x v="97"/>
    <n v="45"/>
    <n v="0"/>
    <x v="2"/>
    <n v="0.59019199022218416"/>
    <x v="86"/>
    <x v="99"/>
  </r>
  <r>
    <s v="7000488"/>
    <x v="11"/>
    <x v="2"/>
    <x v="17"/>
    <s v="IP"/>
    <x v="4"/>
    <s v="CARTIERE ARGILA 932"/>
    <s v="beige"/>
    <m/>
    <m/>
    <m/>
    <s v="EU"/>
    <x v="1"/>
    <x v="0"/>
    <m/>
    <m/>
    <m/>
    <x v="0"/>
    <m/>
    <m/>
    <m/>
    <s v="ton"/>
    <x v="8"/>
    <x v="2"/>
    <m/>
    <m/>
    <m/>
    <m/>
    <m/>
    <m/>
    <m/>
    <m/>
    <m/>
    <m/>
    <m/>
    <m/>
    <m/>
    <m/>
    <m/>
    <m/>
    <m/>
    <m/>
    <m/>
    <m/>
    <m/>
    <m/>
    <m/>
    <m/>
    <m/>
    <m/>
    <m/>
    <m/>
    <m/>
    <m/>
    <m/>
    <m/>
    <m/>
    <m/>
    <m/>
    <m/>
    <m/>
    <m/>
    <m/>
    <n v="2900"/>
    <n v="2900"/>
    <n v="2900"/>
    <m/>
    <m/>
    <m/>
    <m/>
    <m/>
    <m/>
    <x v="25"/>
    <x v="4"/>
    <x v="12"/>
    <n v="2.9"/>
    <n v="17.11"/>
    <n v="0.14176320000000001"/>
    <n v="2.2242999999999999"/>
    <n v="0"/>
    <n v="9.1999999999999998E-2"/>
    <x v="25"/>
    <x v="25"/>
    <n v="105"/>
    <n v="90"/>
    <x v="0"/>
    <n v="0.14621421156601855"/>
    <x v="25"/>
    <x v="25"/>
  </r>
  <r>
    <s v="7000488"/>
    <x v="11"/>
    <x v="2"/>
    <x v="17"/>
    <s v="IP"/>
    <x v="4"/>
    <s v="CARTIERE ARGILA 932"/>
    <s v="beige"/>
    <m/>
    <m/>
    <m/>
    <s v="EU"/>
    <x v="1"/>
    <x v="0"/>
    <m/>
    <m/>
    <m/>
    <x v="0"/>
    <m/>
    <m/>
    <m/>
    <s v="ton"/>
    <x v="2"/>
    <x v="2"/>
    <m/>
    <m/>
    <m/>
    <m/>
    <m/>
    <m/>
    <m/>
    <m/>
    <m/>
    <m/>
    <m/>
    <m/>
    <m/>
    <m/>
    <m/>
    <m/>
    <m/>
    <m/>
    <m/>
    <m/>
    <m/>
    <m/>
    <m/>
    <m/>
    <m/>
    <m/>
    <m/>
    <m/>
    <m/>
    <m/>
    <m/>
    <m/>
    <m/>
    <m/>
    <m/>
    <m/>
    <m/>
    <m/>
    <m/>
    <n v="2500"/>
    <n v="2500"/>
    <n v="2500"/>
    <m/>
    <m/>
    <m/>
    <m/>
    <m/>
    <m/>
    <x v="41"/>
    <x v="4"/>
    <x v="12"/>
    <n v="2.5"/>
    <n v="14.75"/>
    <n v="0.14176320000000001"/>
    <n v="1.9175"/>
    <n v="0"/>
    <n v="9.1999999999999998E-2"/>
    <x v="41"/>
    <x v="231"/>
    <n v="105"/>
    <n v="90"/>
    <x v="0"/>
    <n v="0.12628765800683794"/>
    <x v="199"/>
    <x v="239"/>
  </r>
  <r>
    <s v="7004817"/>
    <x v="52"/>
    <x v="7"/>
    <x v="17"/>
    <s v="DP"/>
    <x v="13"/>
    <s v="MALTADECOR 204"/>
    <s v="beige"/>
    <s v="U204"/>
    <m/>
    <m/>
    <s v="EU"/>
    <x v="0"/>
    <x v="4"/>
    <m/>
    <m/>
    <m/>
    <x v="0"/>
    <m/>
    <m/>
    <m/>
    <s v="ton"/>
    <x v="20"/>
    <x v="2"/>
    <m/>
    <m/>
    <m/>
    <m/>
    <m/>
    <m/>
    <m/>
    <m/>
    <m/>
    <m/>
    <m/>
    <m/>
    <m/>
    <m/>
    <m/>
    <m/>
    <m/>
    <m/>
    <m/>
    <m/>
    <m/>
    <m/>
    <m/>
    <m/>
    <m/>
    <m/>
    <m/>
    <m/>
    <m/>
    <m/>
    <m/>
    <m/>
    <m/>
    <m/>
    <m/>
    <m/>
    <n v="2570"/>
    <n v="2570"/>
    <n v="2570"/>
    <n v="2540"/>
    <n v="2540"/>
    <n v="2540"/>
    <n v="2620"/>
    <n v="2620"/>
    <n v="2620"/>
    <m/>
    <m/>
    <m/>
    <x v="159"/>
    <x v="2"/>
    <x v="159"/>
    <n v="2.62"/>
    <n v="15.458000000000002"/>
    <n v="0.14176320000000001"/>
    <n v="2.0095400000000003"/>
    <n v="0"/>
    <n v="9.1999999999999998E-2"/>
    <x v="182"/>
    <x v="247"/>
    <n v="105"/>
    <n v="30"/>
    <x v="4"/>
    <n v="0.67128524178224325"/>
    <x v="212"/>
    <x v="258"/>
  </r>
  <r>
    <s v="7004975"/>
    <x v="53"/>
    <x v="3"/>
    <x v="6"/>
    <s v="DP"/>
    <x v="10"/>
    <s v="SUNSHINE 0247"/>
    <s v="gray"/>
    <m/>
    <m/>
    <m/>
    <s v="CN"/>
    <x v="1"/>
    <x v="2"/>
    <m/>
    <m/>
    <m/>
    <x v="0"/>
    <m/>
    <m/>
    <m/>
    <s v="ton"/>
    <x v="3"/>
    <x v="3"/>
    <m/>
    <m/>
    <m/>
    <m/>
    <m/>
    <m/>
    <m/>
    <m/>
    <m/>
    <m/>
    <m/>
    <m/>
    <m/>
    <m/>
    <m/>
    <m/>
    <m/>
    <m/>
    <m/>
    <m/>
    <m/>
    <m/>
    <m/>
    <m/>
    <m/>
    <m/>
    <m/>
    <m/>
    <m/>
    <m/>
    <m/>
    <m/>
    <m/>
    <m/>
    <m/>
    <m/>
    <m/>
    <m/>
    <m/>
    <m/>
    <n v="8500"/>
    <m/>
    <m/>
    <m/>
    <m/>
    <m/>
    <m/>
    <m/>
    <x v="160"/>
    <x v="22"/>
    <x v="12"/>
    <n v="8.5"/>
    <n v="6.375"/>
    <n v="1.11958"/>
    <n v="0.89250000000000007"/>
    <n v="0"/>
    <n v="9.1999999999999998E-2"/>
    <x v="183"/>
    <x v="248"/>
    <n v="120"/>
    <n v="90"/>
    <x v="1"/>
    <n v="0.12718619999999881"/>
    <x v="213"/>
    <x v="259"/>
  </r>
  <r>
    <s v="7005622"/>
    <x v="14"/>
    <x v="6"/>
    <x v="17"/>
    <s v="DP"/>
    <x v="7"/>
    <s v="KOEHLER 0483"/>
    <s v="gray"/>
    <n v="32165"/>
    <m/>
    <m/>
    <s v="EU"/>
    <x v="4"/>
    <x v="0"/>
    <m/>
    <m/>
    <m/>
    <x v="2"/>
    <m/>
    <m/>
    <m/>
    <s v="ton"/>
    <x v="3"/>
    <x v="2"/>
    <m/>
    <m/>
    <m/>
    <m/>
    <m/>
    <m/>
    <m/>
    <m/>
    <m/>
    <m/>
    <m/>
    <m/>
    <m/>
    <m/>
    <m/>
    <m/>
    <m/>
    <m/>
    <m/>
    <m/>
    <m/>
    <m/>
    <m/>
    <m/>
    <m/>
    <m/>
    <m/>
    <m/>
    <m/>
    <m/>
    <m/>
    <m/>
    <m/>
    <m/>
    <m/>
    <m/>
    <m/>
    <m/>
    <m/>
    <m/>
    <m/>
    <m/>
    <n v="1730"/>
    <n v="1730"/>
    <n v="1730"/>
    <m/>
    <m/>
    <m/>
    <x v="58"/>
    <x v="2"/>
    <x v="12"/>
    <n v="1.73"/>
    <n v="10.207000000000001"/>
    <n v="0.14176320000000001"/>
    <n v="1.32691"/>
    <n v="-0.17699999999999999"/>
    <n v="9.1999999999999998E-2"/>
    <x v="60"/>
    <x v="63"/>
    <n v="105"/>
    <n v="120"/>
    <x v="3"/>
    <n v="-8.5964152176488895E-2"/>
    <x v="64"/>
    <x v="65"/>
  </r>
  <r>
    <s v="7005622"/>
    <x v="14"/>
    <x v="6"/>
    <x v="17"/>
    <s v="DP"/>
    <x v="7"/>
    <s v="KOEHLER 0483"/>
    <s v="gray"/>
    <n v="32165"/>
    <m/>
    <m/>
    <s v="EU"/>
    <x v="4"/>
    <x v="0"/>
    <m/>
    <m/>
    <m/>
    <x v="2"/>
    <m/>
    <m/>
    <m/>
    <s v="ton"/>
    <x v="13"/>
    <x v="2"/>
    <m/>
    <m/>
    <m/>
    <m/>
    <m/>
    <m/>
    <m/>
    <m/>
    <m/>
    <m/>
    <m/>
    <m/>
    <m/>
    <m/>
    <m/>
    <m/>
    <m/>
    <m/>
    <m/>
    <m/>
    <m/>
    <m/>
    <m/>
    <m/>
    <m/>
    <m/>
    <m/>
    <m/>
    <m/>
    <m/>
    <m/>
    <m/>
    <m/>
    <m/>
    <m/>
    <m/>
    <m/>
    <m/>
    <m/>
    <m/>
    <m/>
    <m/>
    <n v="1670"/>
    <n v="1670"/>
    <n v="1670"/>
    <m/>
    <m/>
    <m/>
    <x v="148"/>
    <x v="2"/>
    <x v="12"/>
    <n v="1.67"/>
    <n v="9.8529999999999998"/>
    <n v="0.14176320000000001"/>
    <n v="1.2808900000000001"/>
    <n v="-0.17699999999999999"/>
    <n v="9.1999999999999998E-2"/>
    <x v="184"/>
    <x v="249"/>
    <n v="105"/>
    <n v="120"/>
    <x v="3"/>
    <n v="-8.2997337431541141E-2"/>
    <x v="214"/>
    <x v="260"/>
  </r>
  <r>
    <s v="7005622"/>
    <x v="14"/>
    <x v="6"/>
    <x v="17"/>
    <s v="DP"/>
    <x v="7"/>
    <s v="KOEHLER 0483"/>
    <s v="gray"/>
    <n v="32165"/>
    <m/>
    <m/>
    <s v="EU"/>
    <x v="4"/>
    <x v="0"/>
    <m/>
    <m/>
    <m/>
    <x v="2"/>
    <m/>
    <m/>
    <m/>
    <s v="ton"/>
    <x v="14"/>
    <x v="2"/>
    <m/>
    <m/>
    <m/>
    <m/>
    <m/>
    <m/>
    <m/>
    <m/>
    <m/>
    <m/>
    <m/>
    <m/>
    <m/>
    <m/>
    <m/>
    <m/>
    <m/>
    <m/>
    <m/>
    <m/>
    <m/>
    <m/>
    <m/>
    <m/>
    <m/>
    <m/>
    <m/>
    <m/>
    <m/>
    <m/>
    <m/>
    <m/>
    <m/>
    <m/>
    <m/>
    <m/>
    <m/>
    <m/>
    <m/>
    <m/>
    <m/>
    <m/>
    <n v="1680"/>
    <n v="1680"/>
    <n v="1680"/>
    <m/>
    <m/>
    <m/>
    <x v="149"/>
    <x v="2"/>
    <x v="12"/>
    <n v="1.68"/>
    <n v="9.9120000000000008"/>
    <n v="0.14176320000000001"/>
    <n v="1.2885600000000001"/>
    <n v="-0.17699999999999999"/>
    <n v="9.1999999999999998E-2"/>
    <x v="185"/>
    <x v="250"/>
    <n v="105"/>
    <n v="120"/>
    <x v="3"/>
    <n v="-8.34918065556991E-2"/>
    <x v="215"/>
    <x v="261"/>
  </r>
  <r>
    <s v="7005622"/>
    <x v="14"/>
    <x v="6"/>
    <x v="17"/>
    <s v="DP"/>
    <x v="7"/>
    <s v="KOEHLER 0483"/>
    <s v="gray"/>
    <n v="32165"/>
    <m/>
    <m/>
    <s v="EU"/>
    <x v="4"/>
    <x v="0"/>
    <m/>
    <m/>
    <m/>
    <x v="2"/>
    <m/>
    <m/>
    <m/>
    <s v="ton"/>
    <x v="15"/>
    <x v="2"/>
    <m/>
    <m/>
    <m/>
    <m/>
    <m/>
    <m/>
    <m/>
    <m/>
    <m/>
    <m/>
    <m/>
    <m/>
    <m/>
    <m/>
    <m/>
    <m/>
    <m/>
    <m/>
    <m/>
    <m/>
    <m/>
    <m/>
    <m/>
    <m/>
    <m/>
    <m/>
    <m/>
    <m/>
    <m/>
    <m/>
    <m/>
    <m/>
    <m/>
    <m/>
    <m/>
    <m/>
    <m/>
    <m/>
    <m/>
    <m/>
    <m/>
    <m/>
    <n v="1690"/>
    <n v="1690"/>
    <n v="1690"/>
    <m/>
    <m/>
    <m/>
    <x v="150"/>
    <x v="2"/>
    <x v="12"/>
    <n v="1.69"/>
    <n v="9.9710000000000001"/>
    <n v="0.14176320000000001"/>
    <n v="1.29623"/>
    <n v="-0.17699999999999999"/>
    <n v="9.1999999999999998E-2"/>
    <x v="186"/>
    <x v="251"/>
    <n v="105"/>
    <n v="120"/>
    <x v="3"/>
    <n v="-8.3986275679857059E-2"/>
    <x v="216"/>
    <x v="262"/>
  </r>
  <r>
    <s v="7005622"/>
    <x v="14"/>
    <x v="6"/>
    <x v="17"/>
    <s v="DP"/>
    <x v="7"/>
    <s v="KOEHLER 0483"/>
    <s v="gray"/>
    <n v="32165"/>
    <m/>
    <m/>
    <s v="EU"/>
    <x v="4"/>
    <x v="0"/>
    <m/>
    <m/>
    <m/>
    <x v="2"/>
    <m/>
    <m/>
    <m/>
    <s v="ton"/>
    <x v="4"/>
    <x v="2"/>
    <m/>
    <m/>
    <m/>
    <m/>
    <m/>
    <m/>
    <m/>
    <m/>
    <m/>
    <m/>
    <m/>
    <m/>
    <m/>
    <m/>
    <m/>
    <m/>
    <m/>
    <m/>
    <m/>
    <m/>
    <m/>
    <m/>
    <m/>
    <m/>
    <m/>
    <m/>
    <m/>
    <m/>
    <m/>
    <m/>
    <m/>
    <m/>
    <m/>
    <m/>
    <m/>
    <m/>
    <m/>
    <m/>
    <m/>
    <m/>
    <m/>
    <m/>
    <n v="1710"/>
    <n v="1710"/>
    <n v="1710"/>
    <m/>
    <m/>
    <m/>
    <x v="151"/>
    <x v="2"/>
    <x v="12"/>
    <n v="1.71"/>
    <n v="10.089"/>
    <n v="0.14176320000000001"/>
    <n v="1.3115700000000001"/>
    <n v="-0.17699999999999999"/>
    <n v="9.1999999999999998E-2"/>
    <x v="187"/>
    <x v="252"/>
    <n v="105"/>
    <n v="120"/>
    <x v="3"/>
    <n v="-8.4975213928172977E-2"/>
    <x v="217"/>
    <x v="263"/>
  </r>
  <r>
    <s v="7005622"/>
    <x v="14"/>
    <x v="6"/>
    <x v="17"/>
    <s v="DP"/>
    <x v="7"/>
    <s v="KOEHLER 0483"/>
    <s v="gray"/>
    <n v="32165"/>
    <m/>
    <m/>
    <s v="EU"/>
    <x v="4"/>
    <x v="0"/>
    <m/>
    <m/>
    <m/>
    <x v="2"/>
    <m/>
    <m/>
    <m/>
    <s v="ton"/>
    <x v="16"/>
    <x v="2"/>
    <m/>
    <m/>
    <m/>
    <m/>
    <m/>
    <m/>
    <m/>
    <m/>
    <m/>
    <m/>
    <m/>
    <m/>
    <m/>
    <m/>
    <m/>
    <m/>
    <m/>
    <m/>
    <m/>
    <m/>
    <m/>
    <m/>
    <m/>
    <m/>
    <m/>
    <m/>
    <m/>
    <m/>
    <m/>
    <m/>
    <m/>
    <m/>
    <m/>
    <m/>
    <m/>
    <m/>
    <m/>
    <m/>
    <m/>
    <m/>
    <m/>
    <m/>
    <n v="1750"/>
    <n v="1750"/>
    <n v="1750"/>
    <m/>
    <m/>
    <m/>
    <x v="33"/>
    <x v="2"/>
    <x v="12"/>
    <n v="1.75"/>
    <n v="10.325000000000001"/>
    <n v="0.14176320000000001"/>
    <n v="1.3422500000000002"/>
    <n v="-0.17699999999999999"/>
    <n v="9.1999999999999998E-2"/>
    <x v="69"/>
    <x v="73"/>
    <n v="105"/>
    <n v="120"/>
    <x v="3"/>
    <n v="-8.6953090424804813E-2"/>
    <x v="73"/>
    <x v="75"/>
  </r>
  <r>
    <s v="7005622"/>
    <x v="14"/>
    <x v="6"/>
    <x v="17"/>
    <s v="DP"/>
    <x v="7"/>
    <s v="KOEHLER 0483"/>
    <s v="gray"/>
    <n v="32165"/>
    <m/>
    <m/>
    <s v="EU"/>
    <x v="4"/>
    <x v="0"/>
    <m/>
    <m/>
    <m/>
    <x v="2"/>
    <m/>
    <m/>
    <m/>
    <s v="ton"/>
    <x v="2"/>
    <x v="2"/>
    <m/>
    <m/>
    <m/>
    <m/>
    <m/>
    <m/>
    <m/>
    <m/>
    <m/>
    <m/>
    <m/>
    <m/>
    <m/>
    <m/>
    <m/>
    <m/>
    <m/>
    <m/>
    <m/>
    <m/>
    <m/>
    <m/>
    <m/>
    <m/>
    <m/>
    <m/>
    <m/>
    <m/>
    <m/>
    <m/>
    <m/>
    <m/>
    <m/>
    <m/>
    <m/>
    <m/>
    <m/>
    <m/>
    <m/>
    <m/>
    <m/>
    <m/>
    <n v="1780"/>
    <n v="1780"/>
    <n v="1780"/>
    <m/>
    <m/>
    <m/>
    <x v="66"/>
    <x v="2"/>
    <x v="12"/>
    <n v="1.78"/>
    <n v="10.502000000000001"/>
    <n v="0.14176320000000001"/>
    <n v="1.3652600000000001"/>
    <n v="-0.17699999999999999"/>
    <n v="9.1999999999999998E-2"/>
    <x v="70"/>
    <x v="74"/>
    <n v="105"/>
    <n v="120"/>
    <x v="3"/>
    <n v="-8.8436497797280467E-2"/>
    <x v="74"/>
    <x v="76"/>
  </r>
  <r>
    <s v="7005622"/>
    <x v="14"/>
    <x v="6"/>
    <x v="17"/>
    <s v="DP"/>
    <x v="7"/>
    <s v="KOEHLER 0483"/>
    <s v="gray"/>
    <n v="32165"/>
    <m/>
    <m/>
    <s v="EU"/>
    <x v="4"/>
    <x v="0"/>
    <m/>
    <m/>
    <m/>
    <x v="2"/>
    <m/>
    <m/>
    <m/>
    <s v="ton"/>
    <x v="11"/>
    <x v="2"/>
    <m/>
    <m/>
    <m/>
    <m/>
    <m/>
    <m/>
    <m/>
    <m/>
    <m/>
    <m/>
    <m/>
    <m/>
    <m/>
    <m/>
    <m/>
    <m/>
    <m/>
    <m/>
    <m/>
    <m/>
    <m/>
    <m/>
    <m/>
    <m/>
    <m/>
    <m/>
    <m/>
    <m/>
    <m/>
    <m/>
    <m/>
    <m/>
    <m/>
    <m/>
    <m/>
    <m/>
    <m/>
    <m/>
    <m/>
    <m/>
    <m/>
    <m/>
    <n v="1830"/>
    <n v="1830"/>
    <n v="1830"/>
    <m/>
    <m/>
    <m/>
    <x v="67"/>
    <x v="2"/>
    <x v="12"/>
    <n v="1.83"/>
    <n v="10.797000000000001"/>
    <n v="0.14176320000000001"/>
    <n v="1.40361"/>
    <n v="-0.17699999999999999"/>
    <n v="9.1999999999999998E-2"/>
    <x v="71"/>
    <x v="75"/>
    <n v="105"/>
    <n v="120"/>
    <x v="3"/>
    <n v="-9.0908843418070262E-2"/>
    <x v="75"/>
    <x v="77"/>
  </r>
  <r>
    <s v="7005629"/>
    <x v="27"/>
    <x v="6"/>
    <x v="17"/>
    <s v="DP"/>
    <x v="10"/>
    <s v="SUNSHINE 2638"/>
    <s v="beige"/>
    <n v="2638"/>
    <m/>
    <m/>
    <s v="CN"/>
    <x v="1"/>
    <x v="2"/>
    <m/>
    <m/>
    <m/>
    <x v="0"/>
    <m/>
    <m/>
    <m/>
    <s v="ton"/>
    <x v="3"/>
    <x v="3"/>
    <m/>
    <m/>
    <m/>
    <m/>
    <m/>
    <m/>
    <m/>
    <m/>
    <m/>
    <m/>
    <m/>
    <m/>
    <m/>
    <m/>
    <m/>
    <m/>
    <m/>
    <m/>
    <m/>
    <m/>
    <m/>
    <m/>
    <m/>
    <m/>
    <m/>
    <m/>
    <m/>
    <m/>
    <m/>
    <m/>
    <m/>
    <m/>
    <m/>
    <m/>
    <m/>
    <m/>
    <n v="13900"/>
    <n v="13900"/>
    <n v="13900"/>
    <n v="13900"/>
    <n v="13900"/>
    <n v="13900"/>
    <m/>
    <m/>
    <m/>
    <m/>
    <m/>
    <m/>
    <x v="161"/>
    <x v="4"/>
    <x v="12"/>
    <n v="13.9"/>
    <n v="10.425000000000001"/>
    <n v="1.11958"/>
    <n v="1.4595000000000002"/>
    <n v="0"/>
    <n v="9.1999999999999998E-2"/>
    <x v="188"/>
    <x v="253"/>
    <n v="120"/>
    <n v="90"/>
    <x v="1"/>
    <n v="0.19644119999999887"/>
    <x v="218"/>
    <x v="264"/>
  </r>
  <r>
    <s v="7005635"/>
    <x v="21"/>
    <x v="6"/>
    <x v="17"/>
    <s v="DP"/>
    <x v="13"/>
    <s v="MALTADECOR 1410"/>
    <s v="brown"/>
    <m/>
    <m/>
    <m/>
    <s v="EU"/>
    <x v="0"/>
    <x v="4"/>
    <m/>
    <m/>
    <m/>
    <x v="0"/>
    <m/>
    <m/>
    <m/>
    <s v="ton"/>
    <x v="20"/>
    <x v="2"/>
    <m/>
    <m/>
    <m/>
    <m/>
    <m/>
    <m/>
    <m/>
    <m/>
    <m/>
    <m/>
    <m/>
    <m/>
    <m/>
    <m/>
    <m/>
    <m/>
    <m/>
    <m/>
    <m/>
    <m/>
    <m/>
    <m/>
    <m/>
    <m/>
    <m/>
    <m/>
    <m/>
    <m/>
    <m/>
    <m/>
    <m/>
    <m/>
    <m/>
    <m/>
    <m/>
    <m/>
    <m/>
    <m/>
    <m/>
    <m/>
    <m/>
    <n v="1790"/>
    <n v="1790"/>
    <n v="1790"/>
    <n v="1790"/>
    <m/>
    <m/>
    <m/>
    <x v="34"/>
    <x v="2"/>
    <x v="12"/>
    <n v="1.79"/>
    <n v="10.561000000000002"/>
    <n v="0.14176320000000001"/>
    <n v="1.3729300000000002"/>
    <n v="0"/>
    <n v="9.1999999999999998E-2"/>
    <x v="34"/>
    <x v="214"/>
    <n v="105"/>
    <n v="30"/>
    <x v="4"/>
    <n v="0.46143454972818887"/>
    <x v="184"/>
    <x v="219"/>
  </r>
  <r>
    <s v="7005636"/>
    <x v="22"/>
    <x v="6"/>
    <x v="17"/>
    <s v="DP"/>
    <x v="13"/>
    <s v="MALTADECOR 1430"/>
    <s v="brown"/>
    <m/>
    <m/>
    <m/>
    <s v="EU"/>
    <x v="0"/>
    <x v="4"/>
    <m/>
    <m/>
    <m/>
    <x v="0"/>
    <m/>
    <m/>
    <m/>
    <s v="ton"/>
    <x v="20"/>
    <x v="2"/>
    <m/>
    <m/>
    <m/>
    <m/>
    <m/>
    <m/>
    <m/>
    <m/>
    <m/>
    <m/>
    <m/>
    <m/>
    <m/>
    <m/>
    <m/>
    <m/>
    <m/>
    <m/>
    <m/>
    <m/>
    <m/>
    <m/>
    <m/>
    <m/>
    <m/>
    <m/>
    <m/>
    <m/>
    <m/>
    <m/>
    <m/>
    <m/>
    <m/>
    <m/>
    <m/>
    <m/>
    <m/>
    <m/>
    <m/>
    <m/>
    <m/>
    <n v="1900"/>
    <n v="1900"/>
    <n v="1900"/>
    <n v="1900"/>
    <m/>
    <m/>
    <m/>
    <x v="35"/>
    <x v="2"/>
    <x v="12"/>
    <n v="1.9"/>
    <n v="11.21"/>
    <n v="0.14176320000000001"/>
    <n v="1.4573000000000003"/>
    <n v="0"/>
    <n v="9.1999999999999998E-2"/>
    <x v="35"/>
    <x v="215"/>
    <n v="105"/>
    <n v="30"/>
    <x v="4"/>
    <n v="0.48924608722932739"/>
    <x v="185"/>
    <x v="220"/>
  </r>
  <r>
    <s v="SRU35"/>
    <x v="0"/>
    <x v="13"/>
    <x v="17"/>
    <s v="setup"/>
    <x v="0"/>
    <s v="ACERTO"/>
    <s v="white"/>
    <m/>
    <m/>
    <m/>
    <s v="BR"/>
    <x v="0"/>
    <x v="0"/>
    <m/>
    <m/>
    <m/>
    <x v="0"/>
    <m/>
    <m/>
    <m/>
    <s v="ton"/>
    <x v="0"/>
    <x v="0"/>
    <m/>
    <m/>
    <m/>
    <m/>
    <m/>
    <m/>
    <m/>
    <m/>
    <m/>
    <m/>
    <m/>
    <m/>
    <m/>
    <m/>
    <n v="9367"/>
    <n v="9367"/>
    <n v="9367"/>
    <n v="9367"/>
    <m/>
    <m/>
    <m/>
    <m/>
    <m/>
    <m/>
    <m/>
    <m/>
    <m/>
    <n v="8984.25"/>
    <n v="8984.25"/>
    <n v="8984.25"/>
    <n v="9568.2262499999997"/>
    <n v="9568.2262499999997"/>
    <n v="9568.2262499999997"/>
    <m/>
    <m/>
    <m/>
    <m/>
    <m/>
    <m/>
    <m/>
    <m/>
    <m/>
    <m/>
    <m/>
    <m/>
    <m/>
    <m/>
    <m/>
    <x v="1"/>
    <x v="0"/>
    <x v="0"/>
    <n v="9.5682262500000004"/>
    <n v="9.5682262500000004"/>
    <n v="0"/>
    <n v="0"/>
    <n v="0"/>
    <n v="0.2"/>
    <x v="1"/>
    <x v="254"/>
    <n v="45"/>
    <n v="30"/>
    <x v="0"/>
    <n v="7.2989006880469276E-2"/>
    <x v="1"/>
    <x v="265"/>
  </r>
  <r>
    <m/>
    <x v="19"/>
    <x v="3"/>
    <x v="6"/>
    <s v="DP"/>
    <x v="12"/>
    <s v="HUAWON HW1813"/>
    <s v="white"/>
    <s v="HW1061"/>
    <m/>
    <m/>
    <s v="CN"/>
    <x v="1"/>
    <x v="2"/>
    <m/>
    <n v="90"/>
    <m/>
    <x v="0"/>
    <m/>
    <m/>
    <m/>
    <s v="ton"/>
    <x v="3"/>
    <x v="3"/>
    <m/>
    <m/>
    <m/>
    <m/>
    <m/>
    <m/>
    <m/>
    <m/>
    <m/>
    <m/>
    <m/>
    <m/>
    <m/>
    <m/>
    <n v="1800"/>
    <n v="1800"/>
    <n v="1800"/>
    <n v="1800"/>
    <m/>
    <m/>
    <m/>
    <m/>
    <m/>
    <m/>
    <m/>
    <m/>
    <m/>
    <n v="13700"/>
    <n v="13700"/>
    <n v="13700"/>
    <m/>
    <m/>
    <m/>
    <m/>
    <n v="11700"/>
    <m/>
    <m/>
    <m/>
    <m/>
    <m/>
    <m/>
    <m/>
    <m/>
    <m/>
    <m/>
    <m/>
    <m/>
    <m/>
    <x v="157"/>
    <x v="19"/>
    <x v="0"/>
    <n v="11.7"/>
    <n v="8.7749999999999986"/>
    <n v="1.11958"/>
    <n v="1.2284999999999999"/>
    <n v="0"/>
    <n v="9.1999999999999998E-2"/>
    <x v="180"/>
    <x v="243"/>
    <n v="120"/>
    <n v="90"/>
    <x v="1"/>
    <n v="0.16822619999999944"/>
    <x v="210"/>
    <x v="254"/>
  </r>
  <r>
    <m/>
    <x v="19"/>
    <x v="2"/>
    <x v="6"/>
    <s v="DP"/>
    <x v="12"/>
    <s v="HUAWON HW1813"/>
    <s v="white"/>
    <s v="HW1061"/>
    <m/>
    <m/>
    <s v="CN"/>
    <x v="1"/>
    <x v="2"/>
    <m/>
    <n v="90"/>
    <m/>
    <x v="0"/>
    <m/>
    <m/>
    <m/>
    <s v="ton"/>
    <x v="3"/>
    <x v="3"/>
    <m/>
    <m/>
    <m/>
    <m/>
    <m/>
    <m/>
    <m/>
    <m/>
    <m/>
    <m/>
    <m/>
    <m/>
    <m/>
    <m/>
    <m/>
    <m/>
    <m/>
    <m/>
    <m/>
    <m/>
    <m/>
    <m/>
    <m/>
    <m/>
    <m/>
    <m/>
    <m/>
    <m/>
    <m/>
    <m/>
    <m/>
    <m/>
    <m/>
    <m/>
    <n v="11700"/>
    <m/>
    <m/>
    <m/>
    <m/>
    <m/>
    <m/>
    <m/>
    <m/>
    <m/>
    <m/>
    <m/>
    <m/>
    <m/>
    <x v="157"/>
    <x v="19"/>
    <x v="0"/>
    <n v="11.7"/>
    <n v="8.7749999999999986"/>
    <n v="1.11958"/>
    <n v="1.2284999999999999"/>
    <n v="0"/>
    <n v="9.1999999999999998E-2"/>
    <x v="180"/>
    <x v="244"/>
    <n v="120"/>
    <n v="90"/>
    <x v="1"/>
    <n v="0.16822619999999944"/>
    <x v="210"/>
    <x v="255"/>
  </r>
  <r>
    <m/>
    <x v="19"/>
    <x v="3"/>
    <x v="6"/>
    <s v="DP"/>
    <x v="12"/>
    <s v="HUAWON HW1061"/>
    <s v="white"/>
    <s v="HW1061"/>
    <m/>
    <m/>
    <s v="CN"/>
    <x v="1"/>
    <x v="3"/>
    <m/>
    <n v="90"/>
    <m/>
    <x v="0"/>
    <m/>
    <m/>
    <m/>
    <s v="ton"/>
    <x v="3"/>
    <x v="2"/>
    <m/>
    <m/>
    <m/>
    <m/>
    <m/>
    <m/>
    <m/>
    <m/>
    <m/>
    <m/>
    <m/>
    <m/>
    <m/>
    <m/>
    <n v="1800"/>
    <n v="1800"/>
    <n v="1800"/>
    <n v="1800"/>
    <m/>
    <m/>
    <m/>
    <m/>
    <m/>
    <m/>
    <m/>
    <m/>
    <m/>
    <m/>
    <m/>
    <m/>
    <m/>
    <m/>
    <m/>
    <m/>
    <m/>
    <m/>
    <m/>
    <m/>
    <m/>
    <m/>
    <m/>
    <m/>
    <m/>
    <m/>
    <m/>
    <m/>
    <m/>
    <m/>
    <x v="116"/>
    <x v="1"/>
    <x v="0"/>
    <n v="1.8"/>
    <n v="10.620000000000001"/>
    <n v="1.11958"/>
    <n v="1.4868000000000003"/>
    <n v="0"/>
    <n v="9.1999999999999998E-2"/>
    <x v="131"/>
    <x v="255"/>
    <n v="120"/>
    <n v="90"/>
    <x v="1"/>
    <n v="0.19977569999999822"/>
    <x v="141"/>
    <x v="266"/>
  </r>
  <r>
    <m/>
    <x v="42"/>
    <x v="3"/>
    <x v="12"/>
    <s v="DP"/>
    <x v="12"/>
    <s v="HUAWON HW1641"/>
    <s v="white"/>
    <s v="HW1641"/>
    <m/>
    <m/>
    <s v="CN"/>
    <x v="1"/>
    <x v="2"/>
    <m/>
    <n v="90"/>
    <m/>
    <x v="0"/>
    <m/>
    <m/>
    <m/>
    <s v="ton"/>
    <x v="3"/>
    <x v="3"/>
    <m/>
    <m/>
    <m/>
    <m/>
    <m/>
    <m/>
    <m/>
    <m/>
    <m/>
    <m/>
    <m/>
    <m/>
    <m/>
    <m/>
    <m/>
    <m/>
    <m/>
    <m/>
    <m/>
    <m/>
    <m/>
    <m/>
    <m/>
    <m/>
    <m/>
    <m/>
    <m/>
    <m/>
    <m/>
    <m/>
    <m/>
    <m/>
    <m/>
    <m/>
    <m/>
    <m/>
    <n v="11600"/>
    <m/>
    <m/>
    <m/>
    <m/>
    <m/>
    <m/>
    <m/>
    <m/>
    <m/>
    <m/>
    <m/>
    <x v="112"/>
    <x v="11"/>
    <x v="12"/>
    <n v="11.6"/>
    <n v="8.6999999999999993"/>
    <n v="1.11958"/>
    <n v="1.218"/>
    <n v="0"/>
    <n v="9.1999999999999998E-2"/>
    <x v="127"/>
    <x v="156"/>
    <n v="120"/>
    <n v="90"/>
    <x v="1"/>
    <n v="0.16694369999999914"/>
    <x v="137"/>
    <x v="161"/>
  </r>
  <r>
    <m/>
    <x v="2"/>
    <x v="0"/>
    <x v="0"/>
    <s v="FF"/>
    <x v="11"/>
    <s v="Hard paper 40-45g (definir)"/>
    <s v="light brown"/>
    <m/>
    <m/>
    <m/>
    <s v="CN"/>
    <x v="5"/>
    <x v="3"/>
    <m/>
    <m/>
    <m/>
    <x v="0"/>
    <m/>
    <m/>
    <m/>
    <s v="ton"/>
    <x v="19"/>
    <x v="2"/>
    <m/>
    <m/>
    <m/>
    <m/>
    <m/>
    <m/>
    <m/>
    <m/>
    <m/>
    <m/>
    <m/>
    <m/>
    <m/>
    <m/>
    <m/>
    <m/>
    <m/>
    <m/>
    <m/>
    <m/>
    <m/>
    <m/>
    <m/>
    <m/>
    <m/>
    <m/>
    <m/>
    <n v="2600"/>
    <n v="2600"/>
    <n v="2600"/>
    <m/>
    <m/>
    <m/>
    <m/>
    <m/>
    <m/>
    <m/>
    <m/>
    <m/>
    <m/>
    <m/>
    <m/>
    <m/>
    <m/>
    <m/>
    <m/>
    <m/>
    <m/>
    <x v="90"/>
    <x v="9"/>
    <x v="0"/>
    <n v="2.6"/>
    <n v="15.340000000000002"/>
    <n v="1.11958"/>
    <n v="2.1476000000000006"/>
    <n v="0"/>
    <n v="9.1999999999999998E-2"/>
    <x v="189"/>
    <x v="256"/>
    <n v="120"/>
    <n v="75"/>
    <x v="2"/>
    <n v="0.42230537097627163"/>
    <x v="219"/>
    <x v="267"/>
  </r>
  <r>
    <m/>
    <x v="54"/>
    <x v="7"/>
    <x v="6"/>
    <s v="DP"/>
    <x v="11"/>
    <s v="Kingdecor XH1007D"/>
    <s v="beige"/>
    <m/>
    <m/>
    <m/>
    <s v="CN"/>
    <x v="1"/>
    <x v="2"/>
    <m/>
    <m/>
    <m/>
    <x v="0"/>
    <m/>
    <m/>
    <m/>
    <s v="ton"/>
    <x v="3"/>
    <x v="3"/>
    <m/>
    <m/>
    <m/>
    <m/>
    <m/>
    <m/>
    <m/>
    <m/>
    <m/>
    <m/>
    <m/>
    <m/>
    <m/>
    <m/>
    <m/>
    <m/>
    <m/>
    <m/>
    <m/>
    <m/>
    <m/>
    <m/>
    <m/>
    <m/>
    <m/>
    <m/>
    <m/>
    <m/>
    <m/>
    <m/>
    <m/>
    <m/>
    <m/>
    <m/>
    <m/>
    <m/>
    <n v="13000"/>
    <m/>
    <m/>
    <m/>
    <m/>
    <m/>
    <m/>
    <m/>
    <m/>
    <m/>
    <m/>
    <m/>
    <x v="118"/>
    <x v="11"/>
    <x v="12"/>
    <n v="13"/>
    <n v="9.75"/>
    <n v="1.11958"/>
    <n v="1.3650000000000002"/>
    <n v="0"/>
    <n v="9.1999999999999998E-2"/>
    <x v="133"/>
    <x v="257"/>
    <n v="120"/>
    <n v="90"/>
    <x v="1"/>
    <n v="0.18489869999999797"/>
    <x v="143"/>
    <x v="268"/>
  </r>
  <r>
    <m/>
    <x v="55"/>
    <x v="2"/>
    <x v="7"/>
    <s v="IP"/>
    <x v="6"/>
    <s v="DEKORPEL GREY 673"/>
    <s v="gray"/>
    <n v="673"/>
    <m/>
    <m/>
    <s v="BR"/>
    <x v="3"/>
    <x v="0"/>
    <m/>
    <n v="3"/>
    <s v="monthly"/>
    <x v="0"/>
    <n v="0.12"/>
    <s v="Sim"/>
    <n v="9.2499999999999999E-2"/>
    <s v="ton"/>
    <x v="1"/>
    <x v="0"/>
    <m/>
    <m/>
    <m/>
    <m/>
    <m/>
    <m/>
    <m/>
    <m/>
    <m/>
    <n v="22310"/>
    <n v="22310"/>
    <n v="22310"/>
    <n v="21640"/>
    <n v="21640"/>
    <n v="21640"/>
    <n v="21640"/>
    <n v="21640"/>
    <n v="21640"/>
    <n v="23458"/>
    <n v="23458"/>
    <n v="23458"/>
    <n v="24631"/>
    <n v="24631"/>
    <n v="24631"/>
    <n v="24631"/>
    <n v="24631"/>
    <n v="24631"/>
    <n v="24631"/>
    <n v="24631"/>
    <n v="24631"/>
    <n v="24631"/>
    <n v="24631"/>
    <n v="24631"/>
    <n v="24631"/>
    <n v="24631"/>
    <n v="24631"/>
    <n v="24631"/>
    <n v="24631"/>
    <n v="24631"/>
    <n v="26060"/>
    <n v="26060"/>
    <n v="26060"/>
    <n v="27180"/>
    <n v="27180"/>
    <n v="27180"/>
    <m/>
    <m/>
    <m/>
    <x v="162"/>
    <x v="2"/>
    <x v="160"/>
    <n v="27.18"/>
    <n v="27.18"/>
    <n v="0"/>
    <n v="0"/>
    <n v="0"/>
    <n v="0.2"/>
    <x v="190"/>
    <x v="258"/>
    <n v="45"/>
    <n v="0"/>
    <x v="2"/>
    <n v="0.61835444427671504"/>
    <x v="220"/>
    <x v="269"/>
  </r>
  <r>
    <m/>
    <x v="56"/>
    <x v="14"/>
    <x v="7"/>
    <s v="IP"/>
    <x v="6"/>
    <s v="DEKORPEL WHITE 986"/>
    <s v="white"/>
    <n v="986"/>
    <m/>
    <m/>
    <s v="BR"/>
    <x v="3"/>
    <x v="0"/>
    <m/>
    <n v="3"/>
    <s v="monthly"/>
    <x v="0"/>
    <n v="0.12"/>
    <s v="Sim"/>
    <n v="9.2499999999999999E-2"/>
    <s v="ton"/>
    <x v="2"/>
    <x v="0"/>
    <n v="18500"/>
    <n v="18500"/>
    <n v="18500"/>
    <n v="18500"/>
    <n v="18500"/>
    <n v="18500"/>
    <n v="17575"/>
    <n v="17575"/>
    <n v="17575"/>
    <n v="17000"/>
    <n v="17000"/>
    <n v="17000"/>
    <n v="16490"/>
    <n v="16490"/>
    <n v="16490"/>
    <n v="16490"/>
    <n v="16490"/>
    <n v="16490"/>
    <n v="17875"/>
    <n v="17875"/>
    <n v="17875"/>
    <n v="19216"/>
    <n v="19216"/>
    <n v="19216"/>
    <n v="19216"/>
    <n v="19216"/>
    <n v="19216"/>
    <n v="19216"/>
    <n v="19216"/>
    <n v="19216"/>
    <n v="19216"/>
    <n v="19216"/>
    <n v="19216"/>
    <n v="19216"/>
    <n v="19216"/>
    <n v="19216"/>
    <n v="19216"/>
    <n v="19216"/>
    <n v="19216"/>
    <n v="20331"/>
    <n v="20331"/>
    <n v="20331"/>
    <n v="21205"/>
    <n v="21205"/>
    <n v="21205"/>
    <m/>
    <m/>
    <m/>
    <x v="163"/>
    <x v="2"/>
    <x v="161"/>
    <n v="21.204999999999998"/>
    <n v="21.204999999999998"/>
    <n v="0"/>
    <n v="0"/>
    <n v="0"/>
    <n v="0.2"/>
    <x v="191"/>
    <x v="259"/>
    <n v="45"/>
    <n v="0"/>
    <x v="2"/>
    <n v="0.48341405696651307"/>
    <x v="221"/>
    <x v="270"/>
  </r>
  <r>
    <m/>
    <x v="56"/>
    <x v="14"/>
    <x v="15"/>
    <s v="IP"/>
    <x v="6"/>
    <s v="DEKORPEL WHITE 986"/>
    <s v="white"/>
    <n v="986"/>
    <m/>
    <m/>
    <s v="BR"/>
    <x v="3"/>
    <x v="0"/>
    <m/>
    <n v="3"/>
    <s v="monthly"/>
    <x v="0"/>
    <n v="0.12"/>
    <s v="Sim"/>
    <n v="9.2499999999999999E-2"/>
    <s v="ton"/>
    <x v="2"/>
    <x v="0"/>
    <n v="18500"/>
    <n v="18500"/>
    <n v="18500"/>
    <n v="18500"/>
    <n v="18500"/>
    <n v="18500"/>
    <n v="17575"/>
    <n v="17575"/>
    <n v="17575"/>
    <n v="17000"/>
    <n v="17000"/>
    <n v="17000"/>
    <n v="16490"/>
    <n v="16490"/>
    <n v="16490"/>
    <n v="16490"/>
    <n v="16490"/>
    <n v="16490"/>
    <n v="17875"/>
    <n v="17875"/>
    <n v="17875"/>
    <n v="19216"/>
    <n v="19216"/>
    <n v="19216"/>
    <n v="19216"/>
    <n v="19216"/>
    <n v="19216"/>
    <n v="19216"/>
    <n v="19216"/>
    <n v="19216"/>
    <n v="19216"/>
    <n v="19216"/>
    <n v="19216"/>
    <n v="19216"/>
    <n v="19216"/>
    <n v="19216"/>
    <n v="19216"/>
    <n v="19216"/>
    <n v="19216"/>
    <n v="20331"/>
    <n v="20331"/>
    <n v="20331"/>
    <n v="21205"/>
    <n v="21205"/>
    <n v="21205"/>
    <m/>
    <m/>
    <m/>
    <x v="163"/>
    <x v="2"/>
    <x v="161"/>
    <n v="21.204999999999998"/>
    <n v="21.204999999999998"/>
    <n v="0"/>
    <n v="0"/>
    <n v="0"/>
    <n v="0.2"/>
    <x v="191"/>
    <x v="259"/>
    <n v="45"/>
    <n v="0"/>
    <x v="2"/>
    <n v="0.48341405696651307"/>
    <x v="221"/>
    <x v="270"/>
  </r>
  <r>
    <m/>
    <x v="12"/>
    <x v="3"/>
    <x v="17"/>
    <s v="IP"/>
    <x v="6"/>
    <s v="DEKORPEL BLACK 390"/>
    <s v="black"/>
    <n v="390"/>
    <m/>
    <m/>
    <s v="BR"/>
    <x v="3"/>
    <x v="0"/>
    <m/>
    <n v="3"/>
    <s v="monthly"/>
    <x v="0"/>
    <n v="0.12"/>
    <s v="Sim"/>
    <n v="9.2499999999999999E-2"/>
    <s v="ton"/>
    <x v="1"/>
    <x v="0"/>
    <m/>
    <m/>
    <m/>
    <m/>
    <m/>
    <m/>
    <m/>
    <m/>
    <m/>
    <m/>
    <m/>
    <m/>
    <m/>
    <m/>
    <m/>
    <m/>
    <m/>
    <m/>
    <n v="18200"/>
    <n v="18200"/>
    <n v="18200"/>
    <n v="18200"/>
    <n v="18200"/>
    <n v="18200"/>
    <n v="19120"/>
    <n v="19120"/>
    <n v="19120"/>
    <n v="19120"/>
    <n v="19120"/>
    <n v="19120"/>
    <m/>
    <m/>
    <m/>
    <m/>
    <n v="19500"/>
    <m/>
    <m/>
    <m/>
    <m/>
    <m/>
    <m/>
    <m/>
    <m/>
    <m/>
    <m/>
    <m/>
    <m/>
    <m/>
    <x v="121"/>
    <x v="19"/>
    <x v="0"/>
    <n v="19.5"/>
    <n v="19.5"/>
    <n v="0"/>
    <n v="0"/>
    <n v="0"/>
    <n v="0.2"/>
    <x v="192"/>
    <x v="260"/>
    <n v="45"/>
    <n v="0"/>
    <x v="2"/>
    <n v="0.44490805523196997"/>
    <x v="222"/>
    <x v="271"/>
  </r>
  <r>
    <m/>
    <x v="27"/>
    <x v="6"/>
    <x v="6"/>
    <s v="DP"/>
    <x v="10"/>
    <s v="SUNSHINE 2638"/>
    <s v="beige"/>
    <n v="752"/>
    <m/>
    <m/>
    <s v="CN"/>
    <x v="1"/>
    <x v="2"/>
    <m/>
    <m/>
    <m/>
    <x v="0"/>
    <m/>
    <m/>
    <m/>
    <s v="ton"/>
    <x v="3"/>
    <x v="3"/>
    <m/>
    <m/>
    <m/>
    <m/>
    <m/>
    <m/>
    <m/>
    <m/>
    <m/>
    <m/>
    <m/>
    <m/>
    <m/>
    <m/>
    <m/>
    <m/>
    <m/>
    <m/>
    <m/>
    <m/>
    <m/>
    <m/>
    <m/>
    <n v="13900"/>
    <n v="13900"/>
    <n v="13900"/>
    <n v="13900"/>
    <n v="13900"/>
    <n v="13900"/>
    <n v="13900"/>
    <n v="13900"/>
    <n v="13900"/>
    <n v="13900"/>
    <n v="13900"/>
    <n v="13900"/>
    <n v="13900"/>
    <n v="13900"/>
    <m/>
    <m/>
    <m/>
    <m/>
    <m/>
    <m/>
    <m/>
    <m/>
    <m/>
    <m/>
    <m/>
    <x v="161"/>
    <x v="11"/>
    <x v="12"/>
    <n v="13.9"/>
    <n v="10.425000000000001"/>
    <n v="1.11958"/>
    <n v="1.4595000000000002"/>
    <n v="0"/>
    <n v="9.1999999999999998E-2"/>
    <x v="188"/>
    <x v="253"/>
    <n v="120"/>
    <n v="90"/>
    <x v="1"/>
    <n v="0.19644119999999887"/>
    <x v="218"/>
    <x v="264"/>
  </r>
  <r>
    <m/>
    <x v="27"/>
    <x v="6"/>
    <x v="6"/>
    <s v="DP"/>
    <x v="10"/>
    <s v="SUNSHINE 2638"/>
    <s v="beige"/>
    <n v="752"/>
    <m/>
    <m/>
    <s v="CN"/>
    <x v="1"/>
    <x v="3"/>
    <m/>
    <m/>
    <m/>
    <x v="0"/>
    <m/>
    <m/>
    <m/>
    <s v="ton"/>
    <x v="3"/>
    <x v="2"/>
    <m/>
    <m/>
    <m/>
    <m/>
    <m/>
    <m/>
    <m/>
    <m/>
    <m/>
    <m/>
    <m/>
    <m/>
    <m/>
    <m/>
    <m/>
    <m/>
    <m/>
    <m/>
    <m/>
    <m/>
    <m/>
    <m/>
    <m/>
    <m/>
    <n v="1797"/>
    <n v="1797"/>
    <n v="1797"/>
    <m/>
    <m/>
    <m/>
    <m/>
    <m/>
    <m/>
    <m/>
    <m/>
    <m/>
    <m/>
    <m/>
    <m/>
    <m/>
    <m/>
    <m/>
    <m/>
    <m/>
    <m/>
    <m/>
    <m/>
    <m/>
    <x v="164"/>
    <x v="16"/>
    <x v="0"/>
    <n v="1.7969999999999999"/>
    <n v="10.6023"/>
    <n v="1.11958"/>
    <n v="1.4843220000000001"/>
    <n v="0"/>
    <n v="9.1999999999999998E-2"/>
    <x v="193"/>
    <x v="261"/>
    <n v="120"/>
    <n v="90"/>
    <x v="1"/>
    <n v="0.19947302999999827"/>
    <x v="223"/>
    <x v="272"/>
  </r>
  <r>
    <m/>
    <x v="15"/>
    <x v="6"/>
    <x v="6"/>
    <s v="DP"/>
    <x v="10"/>
    <s v="SUNSHINE 0689"/>
    <s v="gray"/>
    <m/>
    <m/>
    <m/>
    <s v="CN"/>
    <x v="1"/>
    <x v="2"/>
    <m/>
    <m/>
    <m/>
    <x v="0"/>
    <m/>
    <m/>
    <m/>
    <s v="ton"/>
    <x v="3"/>
    <x v="3"/>
    <m/>
    <m/>
    <m/>
    <m/>
    <m/>
    <m/>
    <m/>
    <m/>
    <m/>
    <m/>
    <m/>
    <m/>
    <m/>
    <m/>
    <m/>
    <m/>
    <m/>
    <m/>
    <m/>
    <m/>
    <m/>
    <m/>
    <m/>
    <m/>
    <m/>
    <m/>
    <m/>
    <m/>
    <m/>
    <m/>
    <m/>
    <m/>
    <m/>
    <m/>
    <n v="11900"/>
    <n v="11900"/>
    <n v="11900"/>
    <m/>
    <m/>
    <m/>
    <m/>
    <m/>
    <m/>
    <m/>
    <m/>
    <m/>
    <m/>
    <m/>
    <x v="115"/>
    <x v="11"/>
    <x v="12"/>
    <n v="11.9"/>
    <n v="8.9250000000000007"/>
    <n v="1.11958"/>
    <n v="1.2495000000000003"/>
    <n v="0"/>
    <n v="9.1999999999999998E-2"/>
    <x v="130"/>
    <x v="159"/>
    <n v="120"/>
    <n v="90"/>
    <x v="1"/>
    <n v="0.17079119999999826"/>
    <x v="140"/>
    <x v="164"/>
  </r>
  <r>
    <m/>
    <x v="57"/>
    <x v="15"/>
    <x v="17"/>
    <m/>
    <x v="5"/>
    <s v="TECHNOCELL 6424"/>
    <s v="white"/>
    <n v="6424"/>
    <m/>
    <m/>
    <s v="EU"/>
    <x v="4"/>
    <x v="1"/>
    <m/>
    <m/>
    <m/>
    <x v="0"/>
    <m/>
    <m/>
    <m/>
    <s v="ton"/>
    <x v="2"/>
    <x v="2"/>
    <n v="3040"/>
    <n v="3040"/>
    <n v="3040"/>
    <n v="3040"/>
    <n v="3040"/>
    <n v="3040"/>
    <n v="2700"/>
    <n v="2700"/>
    <n v="2700"/>
    <n v="2550"/>
    <n v="2550"/>
    <n v="2550"/>
    <n v="2610"/>
    <n v="2610"/>
    <n v="2610"/>
    <n v="2740"/>
    <n v="2740"/>
    <n v="2740"/>
    <n v="2890"/>
    <n v="2890"/>
    <n v="2890"/>
    <n v="2890"/>
    <n v="2890"/>
    <n v="2890"/>
    <n v="2810"/>
    <n v="2810"/>
    <n v="2810"/>
    <n v="2590"/>
    <n v="2590"/>
    <n v="2890"/>
    <n v="2890"/>
    <n v="2890"/>
    <n v="2890"/>
    <n v="2810"/>
    <n v="2810"/>
    <n v="2810"/>
    <n v="2840"/>
    <n v="2840"/>
    <n v="2840"/>
    <n v="2940"/>
    <n v="2940"/>
    <n v="2940"/>
    <n v="3020"/>
    <n v="3020"/>
    <n v="3020"/>
    <m/>
    <m/>
    <m/>
    <x v="165"/>
    <x v="2"/>
    <x v="162"/>
    <n v="3.02"/>
    <n v="17.818000000000001"/>
    <n v="0.14176320000000001"/>
    <n v="2.3163400000000003"/>
    <n v="0"/>
    <n v="9.1999999999999998E-2"/>
    <x v="194"/>
    <x v="262"/>
    <n v="105"/>
    <n v="120"/>
    <x v="3"/>
    <n v="-0.15106341908002818"/>
    <x v="224"/>
    <x v="273"/>
  </r>
  <r>
    <m/>
    <x v="57"/>
    <x v="15"/>
    <x v="17"/>
    <m/>
    <x v="5"/>
    <s v="TECHNOCELL 6424"/>
    <s v="white"/>
    <n v="6424"/>
    <m/>
    <m/>
    <s v="EU"/>
    <x v="4"/>
    <x v="1"/>
    <m/>
    <m/>
    <m/>
    <x v="0"/>
    <m/>
    <m/>
    <m/>
    <s v="ton"/>
    <x v="11"/>
    <x v="2"/>
    <n v="3090"/>
    <n v="3090"/>
    <n v="3090"/>
    <n v="3090"/>
    <n v="3090"/>
    <n v="3090"/>
    <n v="2750"/>
    <n v="2750"/>
    <n v="2750"/>
    <n v="2600"/>
    <n v="2600"/>
    <n v="2600"/>
    <n v="2660"/>
    <n v="2660"/>
    <n v="2660"/>
    <n v="2790"/>
    <n v="2790"/>
    <n v="2790"/>
    <n v="2940"/>
    <n v="2940"/>
    <n v="2940"/>
    <n v="2940"/>
    <n v="2940"/>
    <n v="2940"/>
    <n v="2860"/>
    <n v="2860"/>
    <n v="2860"/>
    <n v="2640"/>
    <n v="2640"/>
    <n v="2940"/>
    <n v="2940"/>
    <n v="2940"/>
    <n v="2940"/>
    <n v="2860"/>
    <n v="2860"/>
    <n v="2860"/>
    <n v="2890"/>
    <n v="2890"/>
    <n v="2890"/>
    <n v="2990"/>
    <n v="2990"/>
    <n v="2990"/>
    <n v="3070"/>
    <n v="3070"/>
    <n v="3070"/>
    <m/>
    <m/>
    <m/>
    <x v="166"/>
    <x v="2"/>
    <x v="163"/>
    <n v="3.07"/>
    <n v="18.113"/>
    <n v="0.14176320000000001"/>
    <n v="2.3546900000000002"/>
    <n v="0"/>
    <n v="9.1999999999999998E-2"/>
    <x v="195"/>
    <x v="263"/>
    <n v="105"/>
    <n v="120"/>
    <x v="3"/>
    <n v="-0.1535357647008162"/>
    <x v="225"/>
    <x v="274"/>
  </r>
  <r>
    <m/>
    <x v="57"/>
    <x v="15"/>
    <x v="17"/>
    <m/>
    <x v="5"/>
    <s v="TECHNOCELL 6424"/>
    <s v="white"/>
    <n v="6424"/>
    <m/>
    <m/>
    <s v="EU"/>
    <x v="4"/>
    <x v="1"/>
    <m/>
    <m/>
    <m/>
    <x v="0"/>
    <m/>
    <m/>
    <m/>
    <s v="ton"/>
    <x v="1"/>
    <x v="2"/>
    <n v="3140"/>
    <n v="3140"/>
    <n v="3140"/>
    <n v="3140"/>
    <n v="3140"/>
    <n v="3140"/>
    <n v="2800"/>
    <n v="2800"/>
    <n v="2800"/>
    <n v="2650"/>
    <n v="2650"/>
    <n v="2650"/>
    <n v="2710"/>
    <n v="2710"/>
    <n v="2710"/>
    <n v="2840"/>
    <n v="2840"/>
    <n v="2840"/>
    <n v="2990"/>
    <n v="2990"/>
    <n v="2990"/>
    <n v="2990"/>
    <n v="2990"/>
    <n v="2990"/>
    <n v="2910"/>
    <n v="2910"/>
    <n v="2910"/>
    <n v="2690"/>
    <n v="2690"/>
    <n v="2990"/>
    <n v="2990"/>
    <n v="2990"/>
    <n v="2990"/>
    <n v="2910"/>
    <n v="2910"/>
    <n v="2910"/>
    <n v="2940"/>
    <n v="2940"/>
    <n v="2940"/>
    <n v="3040"/>
    <n v="3040"/>
    <n v="3040"/>
    <n v="3120"/>
    <n v="3120"/>
    <n v="3120"/>
    <m/>
    <m/>
    <m/>
    <x v="167"/>
    <x v="2"/>
    <x v="164"/>
    <n v="3.12"/>
    <n v="18.408000000000001"/>
    <n v="0.14176320000000001"/>
    <n v="2.3930400000000001"/>
    <n v="0"/>
    <n v="9.1999999999999998E-2"/>
    <x v="196"/>
    <x v="264"/>
    <n v="105"/>
    <n v="120"/>
    <x v="3"/>
    <n v="-0.15600811032160777"/>
    <x v="226"/>
    <x v="275"/>
  </r>
  <r>
    <m/>
    <x v="57"/>
    <x v="15"/>
    <x v="17"/>
    <m/>
    <x v="5"/>
    <s v="TECHNOCELL 6424"/>
    <s v="white"/>
    <n v="6424"/>
    <m/>
    <m/>
    <s v="EU"/>
    <x v="4"/>
    <x v="1"/>
    <m/>
    <m/>
    <m/>
    <x v="0"/>
    <m/>
    <m/>
    <m/>
    <s v="ton"/>
    <x v="12"/>
    <x v="2"/>
    <n v="3220"/>
    <n v="3220"/>
    <n v="3220"/>
    <n v="3220"/>
    <n v="3220"/>
    <n v="3220"/>
    <n v="2880"/>
    <n v="2880"/>
    <n v="2880"/>
    <n v="2730"/>
    <n v="2730"/>
    <n v="2730"/>
    <n v="2790"/>
    <n v="2790"/>
    <n v="2790"/>
    <n v="2920"/>
    <n v="2920"/>
    <n v="2920"/>
    <n v="3070"/>
    <n v="3070"/>
    <n v="3070"/>
    <n v="3070"/>
    <n v="3070"/>
    <n v="3070"/>
    <n v="2990"/>
    <n v="2990"/>
    <n v="2990"/>
    <n v="2770"/>
    <n v="2770"/>
    <n v="3070"/>
    <n v="3070"/>
    <n v="3070"/>
    <n v="3070"/>
    <n v="2990"/>
    <n v="2990"/>
    <n v="2990"/>
    <n v="3020"/>
    <n v="3020"/>
    <n v="3020"/>
    <n v="3120"/>
    <n v="3120"/>
    <n v="3120"/>
    <n v="3200"/>
    <n v="3200"/>
    <n v="3200"/>
    <m/>
    <m/>
    <m/>
    <x v="168"/>
    <x v="2"/>
    <x v="165"/>
    <n v="3.2"/>
    <n v="18.880000000000003"/>
    <n v="0.14176320000000001"/>
    <n v="2.4544000000000006"/>
    <n v="0"/>
    <n v="9.1999999999999998E-2"/>
    <x v="197"/>
    <x v="265"/>
    <n v="105"/>
    <n v="120"/>
    <x v="3"/>
    <n v="-0.15996386331487145"/>
    <x v="227"/>
    <x v="276"/>
  </r>
  <r>
    <m/>
    <x v="1"/>
    <x v="1"/>
    <x v="0"/>
    <s v="FF"/>
    <x v="1"/>
    <s v="TENTOK OPAC"/>
    <s v="white"/>
    <m/>
    <m/>
    <m/>
    <s v="JP"/>
    <x v="1"/>
    <x v="0"/>
    <m/>
    <m/>
    <m/>
    <x v="0"/>
    <m/>
    <m/>
    <m/>
    <s v="ton"/>
    <x v="0"/>
    <x v="1"/>
    <m/>
    <m/>
    <m/>
    <m/>
    <m/>
    <m/>
    <m/>
    <m/>
    <m/>
    <m/>
    <m/>
    <m/>
    <m/>
    <m/>
    <m/>
    <m/>
    <m/>
    <m/>
    <m/>
    <m/>
    <m/>
    <m/>
    <m/>
    <m/>
    <m/>
    <m/>
    <m/>
    <m/>
    <n v="1990"/>
    <m/>
    <m/>
    <m/>
    <m/>
    <m/>
    <m/>
    <m/>
    <m/>
    <m/>
    <m/>
    <m/>
    <m/>
    <m/>
    <m/>
    <m/>
    <m/>
    <m/>
    <m/>
    <m/>
    <x v="169"/>
    <x v="15"/>
    <x v="0"/>
    <n v="1.99"/>
    <n v="9.9499999999999993"/>
    <n v="1.8659666666666668"/>
    <n v="1.4924999999999999"/>
    <n v="0"/>
    <n v="9.1999999999999998E-2"/>
    <x v="198"/>
    <x v="266"/>
    <n v="120"/>
    <n v="90"/>
    <x v="1"/>
    <n v="0.20100699999999883"/>
    <x v="228"/>
    <x v="277"/>
  </r>
  <r>
    <m/>
    <x v="2"/>
    <x v="1"/>
    <x v="0"/>
    <s v="FF"/>
    <x v="1"/>
    <s v="TENTOK CHPS"/>
    <s v="light brown"/>
    <m/>
    <m/>
    <m/>
    <s v="JP"/>
    <x v="1"/>
    <x v="0"/>
    <m/>
    <m/>
    <m/>
    <x v="0"/>
    <m/>
    <m/>
    <m/>
    <s v="ton"/>
    <x v="0"/>
    <x v="1"/>
    <m/>
    <m/>
    <m/>
    <m/>
    <m/>
    <m/>
    <m/>
    <m/>
    <m/>
    <m/>
    <m/>
    <m/>
    <m/>
    <m/>
    <m/>
    <m/>
    <m/>
    <m/>
    <m/>
    <m/>
    <m/>
    <m/>
    <m/>
    <m/>
    <m/>
    <m/>
    <m/>
    <m/>
    <n v="1990"/>
    <m/>
    <m/>
    <m/>
    <m/>
    <m/>
    <m/>
    <m/>
    <m/>
    <m/>
    <m/>
    <m/>
    <m/>
    <m/>
    <m/>
    <m/>
    <m/>
    <m/>
    <m/>
    <m/>
    <x v="169"/>
    <x v="15"/>
    <x v="0"/>
    <n v="1.99"/>
    <n v="9.9499999999999993"/>
    <n v="1.8659666666666668"/>
    <n v="1.4924999999999999"/>
    <n v="0"/>
    <n v="9.1999999999999998E-2"/>
    <x v="198"/>
    <x v="266"/>
    <n v="120"/>
    <n v="90"/>
    <x v="1"/>
    <n v="0.20100699999999883"/>
    <x v="228"/>
    <x v="277"/>
  </r>
  <r>
    <m/>
    <x v="1"/>
    <x v="0"/>
    <x v="0"/>
    <s v="FF"/>
    <x v="17"/>
    <s v="FF PARDO"/>
    <s v="white"/>
    <m/>
    <m/>
    <m/>
    <s v="CN"/>
    <x v="3"/>
    <x v="0"/>
    <m/>
    <m/>
    <m/>
    <x v="0"/>
    <m/>
    <m/>
    <m/>
    <s v="ton"/>
    <x v="1"/>
    <x v="2"/>
    <m/>
    <m/>
    <m/>
    <m/>
    <m/>
    <m/>
    <m/>
    <m/>
    <m/>
    <m/>
    <m/>
    <m/>
    <m/>
    <m/>
    <m/>
    <m/>
    <m/>
    <m/>
    <m/>
    <m/>
    <m/>
    <m/>
    <m/>
    <m/>
    <m/>
    <m/>
    <m/>
    <m/>
    <m/>
    <m/>
    <m/>
    <m/>
    <m/>
    <m/>
    <m/>
    <m/>
    <m/>
    <m/>
    <m/>
    <m/>
    <n v="1750"/>
    <m/>
    <m/>
    <m/>
    <m/>
    <m/>
    <m/>
    <m/>
    <x v="33"/>
    <x v="22"/>
    <x v="12"/>
    <n v="1.75"/>
    <n v="10.325000000000001"/>
    <n v="1.11958"/>
    <n v="1.4455000000000002"/>
    <n v="0"/>
    <n v="9.1999999999999998E-2"/>
    <x v="199"/>
    <x v="267"/>
    <n v="120"/>
    <n v="0"/>
    <x v="6"/>
    <n v="0.79662652329779249"/>
    <x v="229"/>
    <x v="278"/>
  </r>
  <r>
    <m/>
    <x v="2"/>
    <x v="0"/>
    <x v="0"/>
    <s v="FF"/>
    <x v="17"/>
    <s v="FF PARDO"/>
    <s v="light brown"/>
    <m/>
    <m/>
    <m/>
    <s v="CN"/>
    <x v="3"/>
    <x v="0"/>
    <m/>
    <m/>
    <m/>
    <x v="0"/>
    <m/>
    <m/>
    <m/>
    <s v="ton"/>
    <x v="1"/>
    <x v="2"/>
    <m/>
    <m/>
    <m/>
    <m/>
    <m/>
    <m/>
    <m/>
    <m/>
    <m/>
    <m/>
    <m/>
    <m/>
    <m/>
    <m/>
    <m/>
    <m/>
    <m/>
    <m/>
    <m/>
    <m/>
    <m/>
    <m/>
    <m/>
    <m/>
    <m/>
    <m/>
    <m/>
    <m/>
    <m/>
    <m/>
    <m/>
    <m/>
    <m/>
    <m/>
    <m/>
    <m/>
    <m/>
    <m/>
    <m/>
    <m/>
    <n v="1750"/>
    <m/>
    <m/>
    <m/>
    <m/>
    <m/>
    <m/>
    <m/>
    <x v="33"/>
    <x v="22"/>
    <x v="12"/>
    <n v="1.75"/>
    <n v="10.325000000000001"/>
    <n v="1.11958"/>
    <n v="1.4455000000000002"/>
    <n v="0"/>
    <n v="9.1999999999999998E-2"/>
    <x v="199"/>
    <x v="267"/>
    <n v="120"/>
    <n v="0"/>
    <x v="6"/>
    <n v="0.79662652329779249"/>
    <x v="229"/>
    <x v="278"/>
  </r>
  <r>
    <m/>
    <x v="51"/>
    <x v="16"/>
    <x v="17"/>
    <m/>
    <x v="18"/>
    <m/>
    <m/>
    <m/>
    <m/>
    <m/>
    <m/>
    <x v="7"/>
    <x v="0"/>
    <m/>
    <m/>
    <m/>
    <x v="3"/>
    <m/>
    <m/>
    <m/>
    <m/>
    <x v="0"/>
    <x v="5"/>
    <m/>
    <m/>
    <m/>
    <m/>
    <m/>
    <m/>
    <m/>
    <m/>
    <m/>
    <m/>
    <m/>
    <m/>
    <m/>
    <m/>
    <m/>
    <m/>
    <m/>
    <m/>
    <m/>
    <m/>
    <m/>
    <m/>
    <m/>
    <m/>
    <m/>
    <m/>
    <m/>
    <m/>
    <m/>
    <m/>
    <m/>
    <m/>
    <m/>
    <m/>
    <m/>
    <m/>
    <m/>
    <m/>
    <m/>
    <m/>
    <m/>
    <m/>
    <m/>
    <m/>
    <m/>
    <m/>
    <m/>
    <m/>
    <x v="152"/>
    <x v="21"/>
    <x v="0"/>
    <e v="#N/A"/>
    <s v="CRRY#"/>
    <s v="ERRO"/>
    <e v="#N/A"/>
    <s v="ERRO"/>
    <n v="9.1999999999999998E-2"/>
    <x v="173"/>
    <x v="268"/>
    <e v="#N/A"/>
    <n v="0"/>
    <x v="7"/>
    <e v="#N/A"/>
    <x v="197"/>
    <x v="279"/>
  </r>
  <r>
    <m/>
    <x v="51"/>
    <x v="16"/>
    <x v="17"/>
    <m/>
    <x v="18"/>
    <m/>
    <m/>
    <m/>
    <m/>
    <m/>
    <m/>
    <x v="7"/>
    <x v="0"/>
    <m/>
    <m/>
    <m/>
    <x v="3"/>
    <m/>
    <m/>
    <m/>
    <m/>
    <x v="0"/>
    <x v="5"/>
    <m/>
    <m/>
    <m/>
    <m/>
    <m/>
    <m/>
    <m/>
    <m/>
    <m/>
    <m/>
    <m/>
    <m/>
    <m/>
    <m/>
    <m/>
    <m/>
    <m/>
    <m/>
    <m/>
    <m/>
    <m/>
    <m/>
    <m/>
    <m/>
    <m/>
    <m/>
    <m/>
    <m/>
    <m/>
    <m/>
    <m/>
    <m/>
    <m/>
    <m/>
    <m/>
    <m/>
    <m/>
    <m/>
    <m/>
    <m/>
    <m/>
    <m/>
    <m/>
    <m/>
    <m/>
    <m/>
    <m/>
    <m/>
    <x v="152"/>
    <x v="21"/>
    <x v="0"/>
    <e v="#N/A"/>
    <s v="CRRY#"/>
    <s v="ERRO"/>
    <e v="#N/A"/>
    <s v="ERRO"/>
    <n v="9.1999999999999998E-2"/>
    <x v="173"/>
    <x v="268"/>
    <e v="#N/A"/>
    <n v="0"/>
    <x v="7"/>
    <e v="#N/A"/>
    <x v="197"/>
    <x v="279"/>
  </r>
  <r>
    <m/>
    <x v="51"/>
    <x v="16"/>
    <x v="17"/>
    <m/>
    <x v="18"/>
    <m/>
    <m/>
    <m/>
    <m/>
    <m/>
    <m/>
    <x v="7"/>
    <x v="0"/>
    <m/>
    <m/>
    <m/>
    <x v="3"/>
    <m/>
    <m/>
    <m/>
    <m/>
    <x v="0"/>
    <x v="5"/>
    <m/>
    <m/>
    <m/>
    <m/>
    <m/>
    <m/>
    <m/>
    <m/>
    <m/>
    <m/>
    <m/>
    <m/>
    <m/>
    <m/>
    <m/>
    <m/>
    <m/>
    <m/>
    <m/>
    <m/>
    <m/>
    <m/>
    <m/>
    <m/>
    <m/>
    <m/>
    <m/>
    <m/>
    <m/>
    <m/>
    <m/>
    <m/>
    <m/>
    <m/>
    <m/>
    <m/>
    <m/>
    <m/>
    <m/>
    <m/>
    <m/>
    <m/>
    <m/>
    <m/>
    <m/>
    <m/>
    <m/>
    <m/>
    <x v="152"/>
    <x v="21"/>
    <x v="0"/>
    <e v="#N/A"/>
    <s v="CRRY#"/>
    <s v="ERRO"/>
    <e v="#N/A"/>
    <s v="ERRO"/>
    <n v="9.1999999999999998E-2"/>
    <x v="173"/>
    <x v="268"/>
    <e v="#N/A"/>
    <n v="0"/>
    <x v="7"/>
    <e v="#N/A"/>
    <x v="197"/>
    <x v="279"/>
  </r>
  <r>
    <m/>
    <x v="51"/>
    <x v="16"/>
    <x v="17"/>
    <m/>
    <x v="18"/>
    <m/>
    <m/>
    <m/>
    <m/>
    <m/>
    <m/>
    <x v="7"/>
    <x v="0"/>
    <m/>
    <m/>
    <m/>
    <x v="3"/>
    <m/>
    <m/>
    <m/>
    <m/>
    <x v="0"/>
    <x v="5"/>
    <m/>
    <m/>
    <m/>
    <m/>
    <m/>
    <m/>
    <m/>
    <m/>
    <m/>
    <m/>
    <m/>
    <m/>
    <m/>
    <m/>
    <m/>
    <m/>
    <m/>
    <m/>
    <m/>
    <m/>
    <m/>
    <m/>
    <m/>
    <m/>
    <m/>
    <m/>
    <m/>
    <m/>
    <m/>
    <m/>
    <m/>
    <m/>
    <m/>
    <m/>
    <m/>
    <m/>
    <m/>
    <m/>
    <m/>
    <m/>
    <m/>
    <m/>
    <m/>
    <m/>
    <m/>
    <m/>
    <m/>
    <m/>
    <x v="152"/>
    <x v="21"/>
    <x v="0"/>
    <e v="#N/A"/>
    <s v="CRRY#"/>
    <s v="ERRO"/>
    <e v="#N/A"/>
    <s v="ERRO"/>
    <n v="9.1999999999999998E-2"/>
    <x v="173"/>
    <x v="268"/>
    <e v="#N/A"/>
    <n v="0"/>
    <x v="7"/>
    <e v="#N/A"/>
    <x v="197"/>
    <x v="279"/>
  </r>
  <r>
    <m/>
    <x v="51"/>
    <x v="16"/>
    <x v="17"/>
    <m/>
    <x v="18"/>
    <m/>
    <m/>
    <m/>
    <m/>
    <m/>
    <m/>
    <x v="7"/>
    <x v="0"/>
    <m/>
    <m/>
    <m/>
    <x v="3"/>
    <m/>
    <m/>
    <m/>
    <m/>
    <x v="0"/>
    <x v="5"/>
    <m/>
    <m/>
    <m/>
    <m/>
    <m/>
    <m/>
    <m/>
    <m/>
    <m/>
    <m/>
    <m/>
    <m/>
    <m/>
    <m/>
    <m/>
    <m/>
    <m/>
    <m/>
    <m/>
    <m/>
    <m/>
    <m/>
    <m/>
    <m/>
    <m/>
    <m/>
    <m/>
    <m/>
    <m/>
    <m/>
    <m/>
    <m/>
    <m/>
    <m/>
    <m/>
    <m/>
    <m/>
    <m/>
    <m/>
    <m/>
    <m/>
    <m/>
    <m/>
    <m/>
    <m/>
    <m/>
    <m/>
    <m/>
    <x v="152"/>
    <x v="21"/>
    <x v="0"/>
    <e v="#N/A"/>
    <s v="CRRY#"/>
    <s v="ERRO"/>
    <e v="#N/A"/>
    <s v="ERRO"/>
    <n v="9.1999999999999998E-2"/>
    <x v="173"/>
    <x v="268"/>
    <e v="#N/A"/>
    <n v="0"/>
    <x v="7"/>
    <e v="#N/A"/>
    <x v="197"/>
    <x v="279"/>
  </r>
  <r>
    <m/>
    <x v="51"/>
    <x v="16"/>
    <x v="17"/>
    <m/>
    <x v="18"/>
    <m/>
    <m/>
    <m/>
    <m/>
    <m/>
    <m/>
    <x v="7"/>
    <x v="0"/>
    <m/>
    <m/>
    <m/>
    <x v="3"/>
    <m/>
    <m/>
    <m/>
    <m/>
    <x v="0"/>
    <x v="5"/>
    <m/>
    <m/>
    <m/>
    <m/>
    <m/>
    <m/>
    <m/>
    <m/>
    <m/>
    <m/>
    <m/>
    <m/>
    <m/>
    <m/>
    <m/>
    <m/>
    <m/>
    <m/>
    <m/>
    <m/>
    <m/>
    <m/>
    <m/>
    <m/>
    <m/>
    <m/>
    <m/>
    <m/>
    <m/>
    <m/>
    <m/>
    <m/>
    <m/>
    <m/>
    <m/>
    <m/>
    <m/>
    <m/>
    <m/>
    <m/>
    <m/>
    <m/>
    <m/>
    <m/>
    <m/>
    <m/>
    <m/>
    <m/>
    <x v="152"/>
    <x v="21"/>
    <x v="0"/>
    <e v="#N/A"/>
    <s v="CRRY#"/>
    <s v="ERRO"/>
    <e v="#N/A"/>
    <s v="ERRO"/>
    <n v="9.1999999999999998E-2"/>
    <x v="173"/>
    <x v="268"/>
    <e v="#N/A"/>
    <n v="0"/>
    <x v="7"/>
    <e v="#N/A"/>
    <x v="197"/>
    <x v="279"/>
  </r>
  <r>
    <m/>
    <x v="51"/>
    <x v="16"/>
    <x v="17"/>
    <m/>
    <x v="18"/>
    <m/>
    <m/>
    <m/>
    <m/>
    <m/>
    <m/>
    <x v="7"/>
    <x v="0"/>
    <m/>
    <m/>
    <m/>
    <x v="3"/>
    <m/>
    <m/>
    <m/>
    <m/>
    <x v="0"/>
    <x v="5"/>
    <m/>
    <m/>
    <m/>
    <m/>
    <m/>
    <m/>
    <m/>
    <m/>
    <m/>
    <m/>
    <m/>
    <m/>
    <m/>
    <m/>
    <m/>
    <m/>
    <m/>
    <m/>
    <m/>
    <m/>
    <m/>
    <m/>
    <m/>
    <m/>
    <m/>
    <m/>
    <m/>
    <m/>
    <m/>
    <m/>
    <m/>
    <m/>
    <m/>
    <m/>
    <m/>
    <m/>
    <m/>
    <m/>
    <m/>
    <m/>
    <m/>
    <m/>
    <m/>
    <m/>
    <m/>
    <m/>
    <m/>
    <m/>
    <x v="152"/>
    <x v="21"/>
    <x v="0"/>
    <e v="#N/A"/>
    <s v="CRRY#"/>
    <s v="ERRO"/>
    <e v="#N/A"/>
    <s v="ERRO"/>
    <n v="9.1999999999999998E-2"/>
    <x v="173"/>
    <x v="268"/>
    <e v="#N/A"/>
    <n v="0"/>
    <x v="7"/>
    <e v="#N/A"/>
    <x v="197"/>
    <x v="279"/>
  </r>
  <r>
    <m/>
    <x v="51"/>
    <x v="16"/>
    <x v="17"/>
    <m/>
    <x v="18"/>
    <s v=" "/>
    <m/>
    <m/>
    <m/>
    <m/>
    <m/>
    <x v="7"/>
    <x v="0"/>
    <m/>
    <m/>
    <m/>
    <x v="3"/>
    <m/>
    <m/>
    <m/>
    <m/>
    <x v="0"/>
    <x v="5"/>
    <m/>
    <m/>
    <m/>
    <m/>
    <m/>
    <m/>
    <m/>
    <m/>
    <m/>
    <m/>
    <m/>
    <m/>
    <m/>
    <m/>
    <m/>
    <m/>
    <m/>
    <m/>
    <m/>
    <m/>
    <m/>
    <m/>
    <m/>
    <m/>
    <m/>
    <m/>
    <m/>
    <m/>
    <m/>
    <m/>
    <m/>
    <m/>
    <m/>
    <m/>
    <m/>
    <m/>
    <m/>
    <m/>
    <m/>
    <m/>
    <m/>
    <m/>
    <m/>
    <m/>
    <m/>
    <m/>
    <m/>
    <m/>
    <x v="152"/>
    <x v="21"/>
    <x v="0"/>
    <e v="#N/A"/>
    <s v="CRRY#"/>
    <s v="ERRO"/>
    <e v="#N/A"/>
    <s v="ERRO"/>
    <n v="9.1999999999999998E-2"/>
    <x v="173"/>
    <x v="268"/>
    <e v="#N/A"/>
    <n v="0"/>
    <x v="7"/>
    <e v="#N/A"/>
    <x v="197"/>
    <x v="279"/>
  </r>
  <r>
    <m/>
    <x v="51"/>
    <x v="16"/>
    <x v="17"/>
    <m/>
    <x v="18"/>
    <m/>
    <m/>
    <m/>
    <m/>
    <m/>
    <m/>
    <x v="7"/>
    <x v="0"/>
    <m/>
    <m/>
    <m/>
    <x v="3"/>
    <m/>
    <m/>
    <m/>
    <m/>
    <x v="0"/>
    <x v="5"/>
    <m/>
    <m/>
    <m/>
    <m/>
    <m/>
    <m/>
    <m/>
    <m/>
    <m/>
    <m/>
    <m/>
    <m/>
    <m/>
    <m/>
    <m/>
    <m/>
    <m/>
    <m/>
    <m/>
    <m/>
    <m/>
    <m/>
    <m/>
    <m/>
    <m/>
    <m/>
    <m/>
    <m/>
    <m/>
    <m/>
    <m/>
    <m/>
    <m/>
    <m/>
    <m/>
    <m/>
    <m/>
    <m/>
    <m/>
    <m/>
    <m/>
    <m/>
    <m/>
    <m/>
    <m/>
    <m/>
    <m/>
    <m/>
    <x v="170"/>
    <x v="23"/>
    <x v="166"/>
    <m/>
    <m/>
    <m/>
    <m/>
    <m/>
    <m/>
    <x v="200"/>
    <x v="269"/>
    <m/>
    <m/>
    <x v="8"/>
    <m/>
    <x v="230"/>
    <x v="280"/>
  </r>
  <r>
    <m/>
    <x v="51"/>
    <x v="16"/>
    <x v="17"/>
    <m/>
    <x v="18"/>
    <m/>
    <m/>
    <m/>
    <m/>
    <m/>
    <m/>
    <x v="7"/>
    <x v="0"/>
    <m/>
    <m/>
    <m/>
    <x v="3"/>
    <m/>
    <m/>
    <m/>
    <m/>
    <x v="0"/>
    <x v="5"/>
    <m/>
    <m/>
    <m/>
    <m/>
    <m/>
    <m/>
    <m/>
    <m/>
    <m/>
    <m/>
    <m/>
    <m/>
    <m/>
    <m/>
    <m/>
    <m/>
    <m/>
    <m/>
    <m/>
    <m/>
    <m/>
    <m/>
    <m/>
    <m/>
    <m/>
    <m/>
    <m/>
    <m/>
    <m/>
    <m/>
    <m/>
    <m/>
    <m/>
    <m/>
    <m/>
    <m/>
    <m/>
    <m/>
    <m/>
    <m/>
    <m/>
    <m/>
    <m/>
    <m/>
    <m/>
    <m/>
    <m/>
    <m/>
    <x v="170"/>
    <x v="23"/>
    <x v="166"/>
    <m/>
    <m/>
    <m/>
    <m/>
    <m/>
    <m/>
    <x v="200"/>
    <x v="269"/>
    <m/>
    <m/>
    <x v="8"/>
    <m/>
    <x v="230"/>
    <x v="280"/>
  </r>
  <r>
    <m/>
    <x v="51"/>
    <x v="16"/>
    <x v="17"/>
    <m/>
    <x v="18"/>
    <m/>
    <m/>
    <m/>
    <m/>
    <m/>
    <m/>
    <x v="7"/>
    <x v="0"/>
    <m/>
    <m/>
    <m/>
    <x v="3"/>
    <m/>
    <m/>
    <m/>
    <m/>
    <x v="0"/>
    <x v="5"/>
    <m/>
    <m/>
    <m/>
    <m/>
    <m/>
    <m/>
    <m/>
    <m/>
    <m/>
    <m/>
    <m/>
    <m/>
    <m/>
    <m/>
    <m/>
    <m/>
    <m/>
    <m/>
    <m/>
    <m/>
    <m/>
    <m/>
    <m/>
    <m/>
    <m/>
    <m/>
    <m/>
    <m/>
    <m/>
    <m/>
    <m/>
    <m/>
    <m/>
    <m/>
    <m/>
    <m/>
    <m/>
    <m/>
    <m/>
    <m/>
    <m/>
    <m/>
    <m/>
    <m/>
    <m/>
    <m/>
    <m/>
    <m/>
    <x v="170"/>
    <x v="23"/>
    <x v="166"/>
    <m/>
    <m/>
    <m/>
    <m/>
    <m/>
    <m/>
    <x v="200"/>
    <x v="269"/>
    <m/>
    <m/>
    <x v="8"/>
    <m/>
    <x v="230"/>
    <x v="280"/>
  </r>
  <r>
    <m/>
    <x v="51"/>
    <x v="16"/>
    <x v="17"/>
    <m/>
    <x v="18"/>
    <m/>
    <m/>
    <m/>
    <m/>
    <m/>
    <m/>
    <x v="7"/>
    <x v="0"/>
    <m/>
    <m/>
    <m/>
    <x v="3"/>
    <m/>
    <m/>
    <m/>
    <m/>
    <x v="0"/>
    <x v="5"/>
    <m/>
    <m/>
    <m/>
    <m/>
    <m/>
    <m/>
    <m/>
    <m/>
    <m/>
    <m/>
    <m/>
    <m/>
    <m/>
    <m/>
    <m/>
    <m/>
    <m/>
    <m/>
    <m/>
    <m/>
    <m/>
    <m/>
    <m/>
    <m/>
    <m/>
    <m/>
    <m/>
    <m/>
    <m/>
    <m/>
    <m/>
    <m/>
    <m/>
    <m/>
    <m/>
    <m/>
    <m/>
    <m/>
    <m/>
    <m/>
    <m/>
    <m/>
    <m/>
    <m/>
    <m/>
    <m/>
    <m/>
    <m/>
    <x v="170"/>
    <x v="23"/>
    <x v="166"/>
    <m/>
    <m/>
    <m/>
    <m/>
    <m/>
    <m/>
    <x v="200"/>
    <x v="269"/>
    <m/>
    <m/>
    <x v="8"/>
    <m/>
    <x v="230"/>
    <x v="280"/>
  </r>
  <r>
    <m/>
    <x v="51"/>
    <x v="16"/>
    <x v="17"/>
    <m/>
    <x v="18"/>
    <m/>
    <m/>
    <m/>
    <m/>
    <m/>
    <m/>
    <x v="7"/>
    <x v="0"/>
    <m/>
    <m/>
    <m/>
    <x v="3"/>
    <m/>
    <m/>
    <m/>
    <m/>
    <x v="0"/>
    <x v="5"/>
    <m/>
    <m/>
    <m/>
    <m/>
    <m/>
    <m/>
    <m/>
    <m/>
    <m/>
    <m/>
    <m/>
    <m/>
    <m/>
    <m/>
    <m/>
    <m/>
    <m/>
    <m/>
    <m/>
    <m/>
    <m/>
    <m/>
    <m/>
    <m/>
    <m/>
    <m/>
    <m/>
    <m/>
    <m/>
    <m/>
    <m/>
    <m/>
    <m/>
    <m/>
    <m/>
    <m/>
    <m/>
    <m/>
    <m/>
    <m/>
    <m/>
    <m/>
    <m/>
    <m/>
    <m/>
    <m/>
    <m/>
    <m/>
    <x v="170"/>
    <x v="23"/>
    <x v="166"/>
    <m/>
    <m/>
    <m/>
    <m/>
    <m/>
    <m/>
    <x v="200"/>
    <x v="269"/>
    <m/>
    <m/>
    <x v="8"/>
    <m/>
    <x v="230"/>
    <x v="280"/>
  </r>
  <r>
    <m/>
    <x v="51"/>
    <x v="16"/>
    <x v="17"/>
    <m/>
    <x v="18"/>
    <m/>
    <m/>
    <m/>
    <m/>
    <m/>
    <m/>
    <x v="7"/>
    <x v="0"/>
    <m/>
    <m/>
    <m/>
    <x v="3"/>
    <m/>
    <m/>
    <m/>
    <m/>
    <x v="0"/>
    <x v="5"/>
    <m/>
    <m/>
    <m/>
    <m/>
    <m/>
    <m/>
    <m/>
    <m/>
    <m/>
    <m/>
    <m/>
    <m/>
    <m/>
    <m/>
    <m/>
    <m/>
    <m/>
    <m/>
    <m/>
    <m/>
    <m/>
    <m/>
    <m/>
    <m/>
    <m/>
    <m/>
    <m/>
    <m/>
    <m/>
    <m/>
    <m/>
    <m/>
    <m/>
    <m/>
    <m/>
    <m/>
    <m/>
    <m/>
    <m/>
    <m/>
    <m/>
    <m/>
    <m/>
    <m/>
    <m/>
    <m/>
    <m/>
    <m/>
    <x v="170"/>
    <x v="23"/>
    <x v="166"/>
    <m/>
    <m/>
    <m/>
    <m/>
    <m/>
    <m/>
    <x v="200"/>
    <x v="269"/>
    <m/>
    <m/>
    <x v="8"/>
    <m/>
    <x v="230"/>
    <x v="280"/>
  </r>
  <r>
    <m/>
    <x v="51"/>
    <x v="16"/>
    <x v="17"/>
    <m/>
    <x v="18"/>
    <m/>
    <m/>
    <m/>
    <m/>
    <m/>
    <m/>
    <x v="7"/>
    <x v="0"/>
    <m/>
    <m/>
    <m/>
    <x v="3"/>
    <m/>
    <m/>
    <m/>
    <m/>
    <x v="0"/>
    <x v="5"/>
    <m/>
    <m/>
    <m/>
    <m/>
    <m/>
    <m/>
    <m/>
    <m/>
    <m/>
    <m/>
    <m/>
    <m/>
    <m/>
    <m/>
    <m/>
    <m/>
    <m/>
    <m/>
    <m/>
    <m/>
    <m/>
    <m/>
    <m/>
    <m/>
    <m/>
    <m/>
    <m/>
    <m/>
    <m/>
    <m/>
    <m/>
    <m/>
    <m/>
    <m/>
    <m/>
    <m/>
    <m/>
    <m/>
    <m/>
    <m/>
    <m/>
    <m/>
    <m/>
    <m/>
    <m/>
    <m/>
    <m/>
    <m/>
    <x v="170"/>
    <x v="23"/>
    <x v="166"/>
    <m/>
    <m/>
    <m/>
    <m/>
    <m/>
    <m/>
    <x v="200"/>
    <x v="269"/>
    <m/>
    <m/>
    <x v="8"/>
    <m/>
    <x v="230"/>
    <x v="28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4" applyNumberFormats="0" applyBorderFormats="0" applyFontFormats="0" applyPatternFormats="0" applyAlignmentFormats="0" applyWidthHeightFormats="1" dataCaption="Values" showMissing="0" updatedVersion="8" minRefreshableVersion="3" showDrill="0" rowGrandTotals="0" colGrandTotals="0" itemPrintTitles="1" createdVersion="8" indent="0" compact="0" compactData="0">
  <location ref="B5:P423" firstHeaderRow="1" firstDataRow="1" firstDataCol="15"/>
  <pivotFields count="89">
    <pivotField compact="0" outline="0" showAll="0">
      <extLst>
        <ext xmlns:x14="http://schemas.microsoft.com/office/spreadsheetml/2009/9/main" uri="{2946ED86-A175-432a-8AC1-64E0C546D7DE}">
          <x14:pivotField fillDownLabels="1"/>
        </ext>
      </extLst>
    </pivotField>
    <pivotField axis="axisRow" compact="0" outline="0" showAll="0" defaultSubtotal="0">
      <items count="62">
        <item x="19"/>
        <item x="40"/>
        <item x="26"/>
        <item x="25"/>
        <item x="39"/>
        <item x="41"/>
        <item x="17"/>
        <item x="10"/>
        <item x="46"/>
        <item x="14"/>
        <item x="31"/>
        <item x="32"/>
        <item x="15"/>
        <item x="11"/>
        <item x="30"/>
        <item x="21"/>
        <item x="22"/>
        <item x="27"/>
        <item x="36"/>
        <item m="1" x="59"/>
        <item x="16"/>
        <item x="18"/>
        <item x="33"/>
        <item x="34"/>
        <item x="57"/>
        <item x="29"/>
        <item x="28"/>
        <item x="3"/>
        <item x="24"/>
        <item x="8"/>
        <item x="1"/>
        <item x="7"/>
        <item x="2"/>
        <item x="6"/>
        <item x="5"/>
        <item x="51"/>
        <item x="0"/>
        <item m="1" x="58"/>
        <item x="4"/>
        <item x="37"/>
        <item x="38"/>
        <item x="9"/>
        <item x="13"/>
        <item x="42"/>
        <item m="1" x="60"/>
        <item m="1" x="61"/>
        <item x="45"/>
        <item x="55"/>
        <item x="56"/>
        <item x="35"/>
        <item x="44"/>
        <item x="43"/>
        <item x="47"/>
        <item x="48"/>
        <item x="49"/>
        <item x="50"/>
        <item x="52"/>
        <item x="54"/>
        <item x="53"/>
        <item x="20"/>
        <item x="23"/>
        <item x="12"/>
      </items>
      <extLst>
        <ext xmlns:x14="http://schemas.microsoft.com/office/spreadsheetml/2009/9/main" uri="{2946ED86-A175-432a-8AC1-64E0C546D7DE}">
          <x14:pivotField fillDownLabels="1"/>
        </ext>
      </extLst>
    </pivotField>
    <pivotField axis="axisRow" compact="0" outline="0" showAll="0" defaultSubtotal="0">
      <items count="17">
        <item x="0"/>
        <item x="4"/>
        <item x="5"/>
        <item x="9"/>
        <item x="10"/>
        <item x="6"/>
        <item x="3"/>
        <item x="11"/>
        <item x="8"/>
        <item x="12"/>
        <item x="2"/>
        <item x="14"/>
        <item x="15"/>
        <item x="16"/>
        <item x="1"/>
        <item x="13"/>
        <item x="7"/>
      </items>
      <extLst>
        <ext xmlns:x14="http://schemas.microsoft.com/office/spreadsheetml/2009/9/main" uri="{2946ED86-A175-432a-8AC1-64E0C546D7DE}">
          <x14:pivotField fillDownLabels="1"/>
        </ext>
      </extLst>
    </pivotField>
    <pivotField name="Width_x000a_ (mm)" axis="axisRow" compact="0" outline="0" showAll="0" defaultSubtotal="0">
      <items count="25">
        <item x="5"/>
        <item x="10"/>
        <item x="8"/>
        <item x="19"/>
        <item x="7"/>
        <item x="12"/>
        <item x="9"/>
        <item x="6"/>
        <item x="0"/>
        <item x="20"/>
        <item x="18"/>
        <item x="21"/>
        <item x="13"/>
        <item x="22"/>
        <item x="15"/>
        <item sd="0" x="17"/>
        <item x="1"/>
        <item x="14"/>
        <item x="4"/>
        <item x="11"/>
        <item x="16"/>
        <item x="23"/>
        <item x="2"/>
        <item x="3"/>
        <item m="1" x="2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0">
        <item x="4"/>
        <item x="12"/>
        <item x="7"/>
        <item x="13"/>
        <item m="1" x="19"/>
        <item x="6"/>
        <item x="10"/>
        <item x="5"/>
        <item x="3"/>
        <item x="18"/>
        <item x="0"/>
        <item x="1"/>
        <item x="11"/>
        <item x="17"/>
        <item x="14"/>
        <item x="15"/>
        <item x="16"/>
        <item x="8"/>
        <item x="9"/>
        <item x="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
        <item x="3"/>
        <item x="0"/>
        <item x="2"/>
        <item x="5"/>
        <item x="1"/>
        <item x="4"/>
        <item x="7"/>
        <item x="6"/>
      </items>
      <extLst>
        <ext xmlns:x14="http://schemas.microsoft.com/office/spreadsheetml/2009/9/main" uri="{2946ED86-A175-432a-8AC1-64E0C546D7DE}">
          <x14:pivotField fillDownLabels="1"/>
        </ext>
      </extLst>
    </pivotField>
    <pivotField axis="axisRow" compact="0" outline="0" showAll="0" defaultSubtotal="0">
      <items count="6">
        <item x="1"/>
        <item x="4"/>
        <item x="0"/>
        <item m="1" x="5"/>
        <item x="2"/>
        <item x="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items count="4">
        <item x="2"/>
        <item x="0"/>
        <item x="3"/>
        <item x="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name="Lot _x000a_(ton)" axis="axisRow" compact="0" outline="0" showAll="0" defaultSubtotal="0">
      <items count="23">
        <item x="18"/>
        <item x="12"/>
        <item x="9"/>
        <item x="1"/>
        <item x="8"/>
        <item x="11"/>
        <item x="17"/>
        <item x="2"/>
        <item x="16"/>
        <item x="20"/>
        <item x="3"/>
        <item x="4"/>
        <item x="15"/>
        <item x="5"/>
        <item x="14"/>
        <item x="13"/>
        <item x="6"/>
        <item x="0"/>
        <item x="10"/>
        <item m="1" x="22"/>
        <item x="7"/>
        <item x="19"/>
        <item x="21"/>
      </items>
      <extLst>
        <ext xmlns:x14="http://schemas.microsoft.com/office/spreadsheetml/2009/9/main" uri="{2946ED86-A175-432a-8AC1-64E0C546D7DE}">
          <x14:pivotField fillDownLabels="1"/>
        </ext>
      </extLst>
    </pivotField>
    <pivotField axis="axisRow" compact="0" outline="0" showAll="0" defaultSubtotal="0">
      <items count="6">
        <item x="0"/>
        <item x="3"/>
        <item x="2"/>
        <item x="1"/>
        <item x="5"/>
        <item x="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63">
        <item m="1" x="261"/>
        <item x="129"/>
        <item x="114"/>
        <item x="42"/>
        <item x="131"/>
        <item x="127"/>
        <item m="1" x="259"/>
        <item x="111"/>
        <item x="110"/>
        <item x="124"/>
        <item x="58"/>
        <item x="33"/>
        <item x="106"/>
        <item m="1" x="196"/>
        <item x="164"/>
        <item x="116"/>
        <item m="1" x="231"/>
        <item m="1" x="195"/>
        <item x="67"/>
        <item m="1" x="211"/>
        <item x="137"/>
        <item m="1" x="232"/>
        <item m="1" x="206"/>
        <item x="60"/>
        <item x="38"/>
        <item x="35"/>
        <item m="1" x="204"/>
        <item x="156"/>
        <item x="61"/>
        <item m="1" x="193"/>
        <item x="108"/>
        <item m="1" x="200"/>
        <item x="62"/>
        <item x="169"/>
        <item x="55"/>
        <item m="1" x="201"/>
        <item x="56"/>
        <item m="1" x="235"/>
        <item x="36"/>
        <item m="1" x="213"/>
        <item x="57"/>
        <item x="65"/>
        <item m="1" x="229"/>
        <item x="2"/>
        <item x="104"/>
        <item m="1" x="258"/>
        <item x="52"/>
        <item m="1" x="192"/>
        <item x="11"/>
        <item x="53"/>
        <item x="40"/>
        <item x="101"/>
        <item x="54"/>
        <item x="132"/>
        <item x="138"/>
        <item m="1" x="230"/>
        <item x="47"/>
        <item m="1" x="191"/>
        <item x="49"/>
        <item x="39"/>
        <item x="37"/>
        <item m="1" x="203"/>
        <item x="23"/>
        <item x="31"/>
        <item x="68"/>
        <item x="59"/>
        <item x="88"/>
        <item x="22"/>
        <item x="79"/>
        <item x="43"/>
        <item x="89"/>
        <item x="41"/>
        <item x="80"/>
        <item m="1" x="190"/>
        <item x="87"/>
        <item m="1" x="205"/>
        <item x="27"/>
        <item x="81"/>
        <item m="1" x="175"/>
        <item x="92"/>
        <item x="85"/>
        <item x="90"/>
        <item x="94"/>
        <item x="28"/>
        <item x="13"/>
        <item x="12"/>
        <item m="1" x="198"/>
        <item x="82"/>
        <item x="98"/>
        <item x="83"/>
        <item x="100"/>
        <item m="1" x="215"/>
        <item x="32"/>
        <item x="25"/>
        <item x="14"/>
        <item x="145"/>
        <item m="1" x="172"/>
        <item m="1" x="188"/>
        <item x="5"/>
        <item x="166"/>
        <item x="10"/>
        <item m="1" x="257"/>
        <item x="8"/>
        <item x="7"/>
        <item m="1" x="256"/>
        <item x="6"/>
        <item x="26"/>
        <item x="21"/>
        <item x="0"/>
        <item m="1" x="262"/>
        <item x="1"/>
        <item x="113"/>
        <item m="1" x="226"/>
        <item x="119"/>
        <item x="125"/>
        <item m="1" x="242"/>
        <item m="1" x="250"/>
        <item m="1" x="253"/>
        <item m="1" x="251"/>
        <item m="1" x="249"/>
        <item x="123"/>
        <item m="1" x="227"/>
        <item x="126"/>
        <item m="1" x="247"/>
        <item x="161"/>
        <item m="1" x="241"/>
        <item m="1" x="248"/>
        <item m="1" x="245"/>
        <item m="1" x="219"/>
        <item m="1" x="243"/>
        <item m="1" x="220"/>
        <item m="1" x="222"/>
        <item m="1" x="218"/>
        <item m="1" x="244"/>
        <item m="1" x="254"/>
        <item m="1" x="217"/>
        <item x="121"/>
        <item m="1" x="224"/>
        <item m="1" x="221"/>
        <item m="1" x="223"/>
        <item m="1" x="225"/>
        <item x="76"/>
        <item m="1" x="216"/>
        <item x="170"/>
        <item x="29"/>
        <item x="122"/>
        <item x="134"/>
        <item x="147"/>
        <item x="103"/>
        <item x="51"/>
        <item m="1" x="202"/>
        <item m="1" x="228"/>
        <item x="146"/>
        <item x="45"/>
        <item x="50"/>
        <item x="63"/>
        <item m="1" x="234"/>
        <item m="1" x="194"/>
        <item m="1" x="255"/>
        <item x="30"/>
        <item x="20"/>
        <item x="160"/>
        <item m="1" x="260"/>
        <item x="91"/>
        <item x="128"/>
        <item m="1" x="252"/>
        <item x="24"/>
        <item x="107"/>
        <item m="1" x="199"/>
        <item x="112"/>
        <item x="117"/>
        <item x="115"/>
        <item x="86"/>
        <item x="96"/>
        <item x="64"/>
        <item m="1" x="207"/>
        <item x="46"/>
        <item x="48"/>
        <item m="1" x="233"/>
        <item m="1" x="174"/>
        <item x="155"/>
        <item x="34"/>
        <item m="1" x="212"/>
        <item x="95"/>
        <item m="1" x="214"/>
        <item x="93"/>
        <item x="105"/>
        <item x="109"/>
        <item x="130"/>
        <item x="118"/>
        <item x="120"/>
        <item x="136"/>
        <item x="157"/>
        <item m="1" x="246"/>
        <item x="99"/>
        <item x="165"/>
        <item m="1" x="236"/>
        <item m="1" x="237"/>
        <item m="1" x="238"/>
        <item m="1" x="239"/>
        <item m="1" x="240"/>
        <item x="15"/>
        <item x="16"/>
        <item x="17"/>
        <item x="19"/>
        <item x="18"/>
        <item m="1" x="208"/>
        <item x="133"/>
        <item x="84"/>
        <item m="1" x="189"/>
        <item x="167"/>
        <item m="1" x="197"/>
        <item x="148"/>
        <item m="1" x="176"/>
        <item m="1" x="177"/>
        <item m="1" x="178"/>
        <item m="1" x="179"/>
        <item m="1" x="180"/>
        <item m="1" x="181"/>
        <item m="1" x="182"/>
        <item m="1" x="183"/>
        <item m="1" x="184"/>
        <item m="1" x="185"/>
        <item m="1" x="186"/>
        <item m="1" x="187"/>
        <item x="152"/>
        <item x="143"/>
        <item m="1" x="173"/>
        <item x="140"/>
        <item x="9"/>
        <item m="1" x="171"/>
        <item x="153"/>
        <item x="158"/>
        <item m="1" x="210"/>
        <item m="1" x="209"/>
        <item x="154"/>
        <item x="66"/>
        <item x="141"/>
        <item x="142"/>
        <item x="139"/>
        <item x="135"/>
        <item x="144"/>
        <item x="149"/>
        <item x="150"/>
        <item x="151"/>
        <item x="159"/>
        <item x="44"/>
        <item x="69"/>
        <item x="70"/>
        <item x="71"/>
        <item x="72"/>
        <item x="73"/>
        <item x="74"/>
        <item x="75"/>
        <item x="77"/>
        <item x="78"/>
        <item x="97"/>
        <item x="162"/>
        <item x="163"/>
        <item x="168"/>
        <item x="3"/>
        <item x="4"/>
        <item x="102"/>
      </items>
      <extLst>
        <ext xmlns:x14="http://schemas.microsoft.com/office/spreadsheetml/2009/9/main" uri="{2946ED86-A175-432a-8AC1-64E0C546D7DE}">
          <x14:pivotField fillDownLabels="1"/>
        </ext>
      </extLst>
    </pivotField>
    <pivotField axis="axisRow" compact="0" outline="0" showAll="0">
      <items count="95">
        <item x="3"/>
        <item x="13"/>
        <item x="12"/>
        <item x="20"/>
        <item x="1"/>
        <item x="8"/>
        <item x="5"/>
        <item x="16"/>
        <item x="15"/>
        <item x="9"/>
        <item x="17"/>
        <item x="10"/>
        <item x="0"/>
        <item x="23"/>
        <item m="1" x="93"/>
        <item m="1" x="92"/>
        <item m="1" x="91"/>
        <item m="1" x="90"/>
        <item m="1" x="89"/>
        <item m="1" x="88"/>
        <item m="1" x="87"/>
        <item m="1" x="86"/>
        <item m="1" x="85"/>
        <item m="1" x="84"/>
        <item m="1" x="83"/>
        <item m="1" x="82"/>
        <item m="1" x="81"/>
        <item m="1" x="80"/>
        <item m="1" x="79"/>
        <item m="1" x="78"/>
        <item m="1" x="77"/>
        <item m="1" x="76"/>
        <item m="1" x="75"/>
        <item m="1" x="74"/>
        <item m="1" x="73"/>
        <item m="1" x="72"/>
        <item m="1" x="71"/>
        <item m="1" x="70"/>
        <item x="18"/>
        <item m="1" x="69"/>
        <item m="1" x="68"/>
        <item m="1" x="67"/>
        <item m="1" x="66"/>
        <item m="1" x="65"/>
        <item m="1" x="64"/>
        <item m="1" x="63"/>
        <item x="19"/>
        <item m="1" x="62"/>
        <item m="1" x="61"/>
        <item m="1" x="60"/>
        <item x="7"/>
        <item m="1" x="59"/>
        <item m="1" x="58"/>
        <item m="1" x="57"/>
        <item m="1" x="56"/>
        <item m="1" x="55"/>
        <item x="11"/>
        <item m="1" x="54"/>
        <item m="1" x="53"/>
        <item m="1" x="52"/>
        <item m="1" x="51"/>
        <item m="1" x="50"/>
        <item m="1" x="49"/>
        <item m="1" x="48"/>
        <item m="1" x="47"/>
        <item m="1" x="46"/>
        <item x="14"/>
        <item m="1" x="45"/>
        <item m="1" x="44"/>
        <item m="1" x="43"/>
        <item m="1" x="42"/>
        <item m="1" x="41"/>
        <item m="1" x="40"/>
        <item m="1" x="39"/>
        <item m="1" x="38"/>
        <item m="1" x="37"/>
        <item x="6"/>
        <item m="1" x="36"/>
        <item m="1" x="35"/>
        <item m="1" x="34"/>
        <item m="1" x="33"/>
        <item x="21"/>
        <item m="1" x="32"/>
        <item m="1" x="31"/>
        <item m="1" x="30"/>
        <item x="22"/>
        <item m="1" x="29"/>
        <item m="1" x="28"/>
        <item m="1" x="27"/>
        <item x="4"/>
        <item m="1" x="26"/>
        <item m="1" x="25"/>
        <item m="1" x="24"/>
        <item x="2"/>
        <item t="default"/>
      </items>
      <extLst>
        <ext xmlns:x14="http://schemas.microsoft.com/office/spreadsheetml/2009/9/main" uri="{2946ED86-A175-432a-8AC1-64E0C546D7DE}">
          <x14:pivotField fillDownLabels="1"/>
        </ext>
      </extLst>
    </pivotField>
    <pivotField compact="0" outline="0" showAll="0" defaultSubtotal="0">
      <items count="1314">
        <item m="1" x="692"/>
        <item m="1" x="989"/>
        <item m="1" x="1064"/>
        <item m="1" x="969"/>
        <item m="1" x="915"/>
        <item m="1" x="1194"/>
        <item m="1" x="1221"/>
        <item m="1" x="717"/>
        <item m="1" x="776"/>
        <item m="1" x="786"/>
        <item m="1" x="1120"/>
        <item m="1" x="1122"/>
        <item m="1" x="1295"/>
        <item m="1" x="781"/>
        <item m="1" x="590"/>
        <item m="1" x="1118"/>
        <item m="1" x="745"/>
        <item m="1" x="926"/>
        <item m="1" x="606"/>
        <item m="1" x="818"/>
        <item m="1" x="1140"/>
        <item m="1" x="1171"/>
        <item m="1" x="976"/>
        <item m="1" x="807"/>
        <item m="1" x="635"/>
        <item m="1" x="927"/>
        <item m="1" x="1068"/>
        <item m="1" x="1306"/>
        <item m="1" x="1082"/>
        <item m="1" x="1026"/>
        <item m="1" x="1279"/>
        <item m="1" x="610"/>
        <item m="1" x="882"/>
        <item m="1" x="819"/>
        <item m="1" x="1239"/>
        <item m="1" x="646"/>
        <item m="1" x="941"/>
        <item m="1" x="1110"/>
        <item m="1" x="666"/>
        <item m="1" x="1242"/>
        <item m="1" x="980"/>
        <item m="1" x="1215"/>
        <item m="1" x="839"/>
        <item m="1" x="1127"/>
        <item m="1" x="1130"/>
        <item m="1" x="979"/>
        <item m="1" x="474"/>
        <item m="1" x="987"/>
        <item m="1" x="988"/>
        <item m="1" x="586"/>
        <item m="1" x="1264"/>
        <item m="1" x="942"/>
        <item m="1" x="1092"/>
        <item m="1" x="853"/>
        <item m="1" x="1088"/>
        <item m="1" x="1165"/>
        <item m="1" x="827"/>
        <item m="1" x="1174"/>
        <item m="1" x="664"/>
        <item m="1" x="1045"/>
        <item m="1" x="1046"/>
        <item m="1" x="1297"/>
        <item m="1" x="1003"/>
        <item m="1" x="1065"/>
        <item m="1" x="713"/>
        <item m="1" x="1060"/>
        <item m="1" x="1311"/>
        <item m="1" x="604"/>
        <item m="1" x="875"/>
        <item m="1" x="591"/>
        <item m="1" x="752"/>
        <item m="1" x="1179"/>
        <item m="1" x="1142"/>
        <item m="1" x="871"/>
        <item m="1" x="1241"/>
        <item m="1" x="1225"/>
        <item m="1" x="1041"/>
        <item m="1" x="732"/>
        <item m="1" x="1280"/>
        <item m="1" x="811"/>
        <item m="1" x="783"/>
        <item m="1" x="735"/>
        <item m="1" x="669"/>
        <item m="1" x="1111"/>
        <item m="1" x="899"/>
        <item m="1" x="605"/>
        <item m="1" x="650"/>
        <item m="1" x="1031"/>
        <item m="1" x="1260"/>
        <item m="1" x="778"/>
        <item m="1" x="772"/>
        <item m="1" x="1296"/>
        <item m="1" x="1121"/>
        <item m="1" x="546"/>
        <item m="1" x="1304"/>
        <item m="1" x="984"/>
        <item m="1" x="671"/>
        <item m="1" x="877"/>
        <item m="1" x="1077"/>
        <item m="1" x="1037"/>
        <item m="1" x="1076"/>
        <item m="1" x="933"/>
        <item m="1" x="629"/>
        <item m="1" x="891"/>
        <item m="1" x="1198"/>
        <item m="1" x="691"/>
        <item m="1" x="558"/>
        <item m="1" x="1015"/>
        <item m="1" x="429"/>
        <item m="1" x="1094"/>
        <item m="1" x="632"/>
        <item m="1" x="788"/>
        <item m="1" x="720"/>
        <item m="1" x="798"/>
        <item m="1" x="883"/>
        <item m="1" x="649"/>
        <item m="1" x="837"/>
        <item m="1" x="741"/>
        <item m="1" x="947"/>
        <item m="1" x="1154"/>
        <item m="1" x="1162"/>
        <item m="1" x="594"/>
        <item m="1" x="742"/>
        <item m="1" x="392"/>
        <item m="1" x="779"/>
        <item m="1" x="991"/>
        <item m="1" x="1013"/>
        <item m="1" x="1139"/>
        <item m="1" x="963"/>
        <item x="12"/>
        <item m="1" x="1158"/>
        <item m="1" x="945"/>
        <item m="1" x="813"/>
        <item m="1" x="814"/>
        <item m="1" x="1053"/>
        <item x="166"/>
        <item m="1" x="601"/>
        <item m="1" x="928"/>
        <item m="1" x="1038"/>
        <item m="1" x="1080"/>
        <item m="1" x="808"/>
        <item m="1" x="1132"/>
        <item m="1" x="743"/>
        <item m="1" x="797"/>
        <item m="1" x="707"/>
        <item m="1" x="1229"/>
        <item m="1" x="896"/>
        <item m="1" x="1205"/>
        <item m="1" x="585"/>
        <item m="1" x="703"/>
        <item m="1" x="754"/>
        <item m="1" x="1156"/>
        <item m="1" x="1236"/>
        <item m="1" x="812"/>
        <item m="1" x="1075"/>
        <item m="1" x="1089"/>
        <item m="1" x="1187"/>
        <item m="1" x="1257"/>
        <item m="1" x="1119"/>
        <item m="1" x="1186"/>
        <item m="1" x="1066"/>
        <item m="1" x="697"/>
        <item m="1" x="833"/>
        <item m="1" x="1250"/>
        <item m="1" x="768"/>
        <item m="1" x="968"/>
        <item m="1" x="890"/>
        <item m="1" x="951"/>
        <item m="1" x="461"/>
        <item m="1" x="777"/>
        <item m="1" x="597"/>
        <item m="1" x="1166"/>
        <item m="1" x="612"/>
        <item m="1" x="757"/>
        <item m="1" x="825"/>
        <item m="1" x="1159"/>
        <item m="1" x="887"/>
        <item m="1" x="736"/>
        <item m="1" x="908"/>
        <item m="1" x="1310"/>
        <item m="1" x="1168"/>
        <item m="1" x="665"/>
        <item m="1" x="998"/>
        <item m="1" x="676"/>
        <item m="1" x="956"/>
        <item m="1" x="801"/>
        <item m="1" x="1112"/>
        <item m="1" x="1117"/>
        <item m="1" x="644"/>
        <item m="1" x="628"/>
        <item m="1" x="1052"/>
        <item m="1" x="609"/>
        <item m="1" x="1011"/>
        <item m="1" x="633"/>
        <item m="1" x="1253"/>
        <item m="1" x="923"/>
        <item m="1" x="670"/>
        <item m="1" x="1207"/>
        <item m="1" x="924"/>
        <item m="1" x="1259"/>
        <item m="1" x="1255"/>
        <item m="1" x="668"/>
        <item m="1" x="611"/>
        <item m="1" x="653"/>
        <item m="1" x="1054"/>
        <item m="1" x="1244"/>
        <item m="1" x="687"/>
        <item m="1" x="760"/>
        <item m="1" x="1149"/>
        <item m="1" x="799"/>
        <item m="1" x="905"/>
        <item m="1" x="1069"/>
        <item m="1" x="721"/>
        <item m="1" x="1029"/>
        <item m="1" x="785"/>
        <item m="1" x="990"/>
        <item m="1" x="726"/>
        <item m="1" x="1155"/>
        <item m="1" x="1266"/>
        <item m="1" x="1084"/>
        <item m="1" x="737"/>
        <item m="1" x="834"/>
        <item m="1" x="861"/>
        <item m="1" x="843"/>
        <item m="1" x="1289"/>
        <item m="1" x="1033"/>
        <item m="1" x="1271"/>
        <item m="1" x="589"/>
        <item m="1" x="964"/>
        <item m="1" x="1206"/>
        <item m="1" x="1124"/>
        <item m="1" x="859"/>
        <item m="1" x="795"/>
        <item m="1" x="1237"/>
        <item m="1" x="719"/>
        <item m="1" x="1167"/>
        <item m="1" x="1218"/>
        <item m="1" x="802"/>
        <item m="1" x="1300"/>
        <item m="1" x="1005"/>
        <item m="1" x="639"/>
        <item m="1" x="1131"/>
        <item m="1" x="733"/>
        <item x="123"/>
        <item m="1" x="1234"/>
        <item m="1" x="1148"/>
        <item m="1" x="939"/>
        <item m="1" x="992"/>
        <item m="1" x="1093"/>
        <item m="1" x="1175"/>
        <item m="1" x="1021"/>
        <item m="1" x="724"/>
        <item m="1" x="1108"/>
        <item m="1" x="826"/>
        <item m="1" x="1235"/>
        <item m="1" x="1231"/>
        <item m="1" x="940"/>
        <item m="1" x="930"/>
        <item m="1" x="1085"/>
        <item m="1" x="1071"/>
        <item m="1" x="965"/>
        <item m="1" x="690"/>
        <item m="1" x="1150"/>
        <item m="1" x="1176"/>
        <item m="1" x="727"/>
        <item m="1" x="1197"/>
        <item m="1" x="553"/>
        <item m="1" x="1214"/>
        <item m="1" x="869"/>
        <item m="1" x="607"/>
        <item m="1" x="588"/>
        <item m="1" x="972"/>
        <item m="1" x="793"/>
        <item x="0"/>
        <item m="1" x="680"/>
        <item m="1" x="1004"/>
        <item m="1" x="809"/>
        <item m="1" x="771"/>
        <item m="1" x="194"/>
        <item m="1" x="1099"/>
        <item m="1" x="725"/>
        <item m="1" x="1213"/>
        <item m="1" x="734"/>
        <item m="1" x="675"/>
        <item m="1" x="620"/>
        <item m="1" x="1128"/>
        <item m="1" x="1233"/>
        <item m="1" x="200"/>
        <item m="1" x="222"/>
        <item m="1" x="1090"/>
        <item m="1" x="1200"/>
        <item m="1" x="917"/>
        <item m="1" x="700"/>
        <item m="1" x="851"/>
        <item m="1" x="831"/>
        <item m="1" x="1263"/>
        <item m="1" x="903"/>
        <item m="1" x="907"/>
        <item m="1" x="892"/>
        <item m="1" x="938"/>
        <item m="1" x="906"/>
        <item m="1" x="1184"/>
        <item m="1" x="673"/>
        <item m="1" x="1181"/>
        <item m="1" x="967"/>
        <item m="1" x="767"/>
        <item m="1" x="759"/>
        <item m="1" x="170"/>
        <item m="1" x="171"/>
        <item x="4"/>
        <item m="1" x="1265"/>
        <item m="1" x="728"/>
        <item m="1" x="255"/>
        <item x="121"/>
        <item m="1" x="1228"/>
        <item m="1" x="1274"/>
        <item m="1" x="918"/>
        <item m="1" x="1258"/>
        <item m="1" x="693"/>
        <item m="1" x="957"/>
        <item m="1" x="643"/>
        <item m="1" x="820"/>
        <item m="1" x="1079"/>
        <item m="1" x="1249"/>
        <item m="1" x="1309"/>
        <item m="1" x="864"/>
        <item m="1" x="955"/>
        <item m="1" x="1039"/>
        <item m="1" x="1058"/>
        <item m="1" x="712"/>
        <item m="1" x="1267"/>
        <item m="1" x="1098"/>
        <item m="1" x="1243"/>
        <item m="1" x="723"/>
        <item m="1" x="637"/>
        <item m="1" x="1028"/>
        <item m="1" x="1109"/>
        <item m="1" x="936"/>
        <item m="1" x="1151"/>
        <item m="1" x="626"/>
        <item m="1" x="775"/>
        <item m="1" x="946"/>
        <item m="1" x="842"/>
        <item m="1" x="943"/>
        <item m="1" x="1246"/>
        <item m="1" x="846"/>
        <item m="1" x="1034"/>
        <item m="1" x="1273"/>
        <item m="1" x="1190"/>
        <item m="1" x="893"/>
        <item m="1" x="950"/>
        <item m="1" x="1160"/>
        <item m="1" x="1291"/>
        <item m="1" x="599"/>
        <item m="1" x="711"/>
        <item m="1" x="934"/>
        <item m="1" x="879"/>
        <item m="1" x="627"/>
        <item m="1" x="1269"/>
        <item m="1" x="1290"/>
        <item m="1" x="672"/>
        <item m="1" x="832"/>
        <item m="1" x="897"/>
        <item m="1" x="1312"/>
        <item m="1" x="1096"/>
        <item m="1" x="1145"/>
        <item m="1" x="679"/>
        <item m="1" x="1195"/>
        <item m="1" x="1042"/>
        <item m="1" x="1030"/>
        <item m="1" x="948"/>
        <item m="1" x="874"/>
        <item m="1" x="1208"/>
        <item m="1" x="973"/>
        <item m="1" x="953"/>
        <item m="1" x="921"/>
        <item m="1" x="889"/>
        <item m="1" x="873"/>
        <item m="1" x="865"/>
        <item m="1" x="1032"/>
        <item m="1" x="983"/>
        <item m="1" x="913"/>
        <item m="1" x="872"/>
        <item m="1" x="730"/>
        <item m="1" x="1027"/>
        <item m="1" x="995"/>
        <item m="1" x="848"/>
        <item m="1" x="971"/>
        <item m="1" x="863"/>
        <item m="1" x="975"/>
        <item m="1" x="1009"/>
        <item m="1" x="794"/>
        <item m="1" x="1182"/>
        <item m="1" x="1163"/>
        <item m="1" x="880"/>
        <item m="1" x="652"/>
        <item m="1" x="1107"/>
        <item m="1" x="641"/>
        <item m="1" x="1275"/>
        <item m="1" x="937"/>
        <item m="1" x="1012"/>
        <item m="1" x="199"/>
        <item m="1" x="241"/>
        <item m="1" x="1223"/>
        <item m="1" x="593"/>
        <item m="1" x="800"/>
        <item m="1" x="678"/>
        <item m="1" x="929"/>
        <item m="1" x="1180"/>
        <item m="1" x="634"/>
        <item m="1" x="1002"/>
        <item m="1" x="566"/>
        <item m="1" x="231"/>
        <item m="1" x="836"/>
        <item x="69"/>
        <item x="14"/>
        <item m="1" x="1137"/>
        <item m="1" x="616"/>
        <item m="1" x="852"/>
        <item m="1" x="993"/>
        <item m="1" x="806"/>
        <item m="1" x="1141"/>
        <item m="1" x="1136"/>
        <item m="1" x="954"/>
        <item m="1" x="169"/>
        <item m="1" x="981"/>
        <item m="1" x="1183"/>
        <item m="1" x="1091"/>
        <item m="1" x="1019"/>
        <item m="1" x="1292"/>
        <item m="1" x="904"/>
        <item m="1" x="805"/>
        <item m="1" x="1063"/>
        <item m="1" x="1177"/>
        <item m="1" x="1193"/>
        <item m="1" x="856"/>
        <item m="1" x="1172"/>
        <item m="1" x="762"/>
        <item m="1" x="878"/>
        <item m="1" x="774"/>
        <item m="1" x="1152"/>
        <item m="1" x="636"/>
        <item x="146"/>
        <item m="1" x="1129"/>
        <item m="1" x="731"/>
        <item m="1" x="845"/>
        <item m="1" x="1047"/>
        <item m="1" x="1170"/>
        <item m="1" x="894"/>
        <item m="1" x="986"/>
        <item m="1" x="824"/>
        <item m="1" x="1040"/>
        <item m="1" x="638"/>
        <item m="1" x="696"/>
        <item m="1" x="1245"/>
        <item m="1" x="677"/>
        <item m="1" x="623"/>
        <item m="1" x="1146"/>
        <item m="1" x="753"/>
        <item x="13"/>
        <item m="1" x="655"/>
        <item m="1" x="622"/>
        <item m="1" x="1010"/>
        <item m="1" x="596"/>
        <item m="1" x="870"/>
        <item m="1" x="437"/>
        <item m="1" x="914"/>
        <item m="1" x="1254"/>
        <item m="1" x="265"/>
        <item m="1" x="804"/>
        <item m="1" x="763"/>
        <item m="1" x="888"/>
        <item m="1" x="661"/>
        <item m="1" x="617"/>
        <item m="1" x="347"/>
        <item m="1" x="1281"/>
        <item m="1" x="994"/>
        <item m="1" x="346"/>
        <item m="1" x="1161"/>
        <item m="1" x="345"/>
        <item m="1" x="600"/>
        <item m="1" x="1074"/>
        <item m="1" x="740"/>
        <item m="1" x="747"/>
        <item m="1" x="1191"/>
        <item m="1" x="755"/>
        <item m="1" x="1103"/>
        <item m="1" x="1178"/>
        <item m="1" x="766"/>
        <item m="1" x="959"/>
        <item m="1" x="867"/>
        <item m="1" x="1270"/>
        <item m="1" x="844"/>
        <item m="1" x="1283"/>
        <item m="1" x="876"/>
        <item m="1" x="660"/>
        <item m="1" x="1049"/>
        <item m="1" x="1057"/>
        <item m="1" x="1299"/>
        <item m="1" x="648"/>
        <item m="1" x="919"/>
        <item m="1" x="1106"/>
        <item m="1" x="1087"/>
        <item m="1" x="1288"/>
        <item m="1" x="1055"/>
        <item m="1" x="885"/>
        <item m="1" x="829"/>
        <item m="1" x="1230"/>
        <item m="1" x="790"/>
        <item m="1" x="770"/>
        <item m="1" x="662"/>
        <item m="1" x="686"/>
        <item m="1" x="1227"/>
        <item m="1" x="985"/>
        <item m="1" x="1061"/>
        <item m="1" x="1133"/>
        <item m="1" x="1272"/>
        <item m="1" x="857"/>
        <item m="1" x="840"/>
        <item m="1" x="932"/>
        <item m="1" x="854"/>
        <item m="1" x="685"/>
        <item m="1" x="1220"/>
        <item m="1" x="1284"/>
        <item m="1" x="1095"/>
        <item m="1" x="689"/>
        <item m="1" x="1204"/>
        <item m="1" x="860"/>
        <item m="1" x="1044"/>
        <item m="1" x="1252"/>
        <item m="1" x="868"/>
        <item m="1" x="710"/>
        <item m="1" x="1248"/>
        <item m="1" x="739"/>
        <item x="109"/>
        <item m="1" x="658"/>
        <item m="1" x="1025"/>
        <item m="1" x="744"/>
        <item m="1" x="784"/>
        <item m="1" x="1251"/>
        <item m="1" x="1211"/>
        <item m="1" x="1043"/>
        <item m="1" x="895"/>
        <item m="1" x="1105"/>
        <item m="1" x="1070"/>
        <item m="1" x="1217"/>
        <item m="1" x="1261"/>
        <item m="1" x="1116"/>
        <item m="1" x="1185"/>
        <item m="1" x="847"/>
        <item m="1" x="1313"/>
        <item m="1" x="1113"/>
        <item m="1" x="1035"/>
        <item m="1" x="595"/>
        <item m="1" x="886"/>
        <item m="1" x="1247"/>
        <item m="1" x="909"/>
        <item m="1" x="977"/>
        <item m="1" x="714"/>
        <item m="1" x="608"/>
        <item m="1" x="642"/>
        <item m="1" x="674"/>
        <item m="1" x="715"/>
        <item m="1" x="803"/>
        <item m="1" x="613"/>
        <item m="1" x="1226"/>
        <item m="1" x="966"/>
        <item m="1" x="850"/>
        <item m="1" x="592"/>
        <item m="1" x="838"/>
        <item m="1" x="631"/>
        <item m="1" x="1114"/>
        <item m="1" x="815"/>
        <item m="1" x="598"/>
        <item m="1" x="751"/>
        <item m="1" x="849"/>
        <item m="1" x="1072"/>
        <item m="1" x="602"/>
        <item x="85"/>
        <item m="1" x="1023"/>
        <item m="1" x="1022"/>
        <item m="1" x="1059"/>
        <item m="1" x="748"/>
        <item m="1" x="1164"/>
        <item m="1" x="1078"/>
        <item m="1" x="1123"/>
        <item m="1" x="912"/>
        <item m="1" x="962"/>
        <item m="1" x="619"/>
        <item m="1" x="931"/>
        <item m="1" x="1036"/>
        <item m="1" x="1301"/>
        <item m="1" x="960"/>
        <item m="1" x="615"/>
        <item x="74"/>
        <item m="1" x="640"/>
        <item x="73"/>
        <item m="1" x="1134"/>
        <item m="1" x="1024"/>
        <item m="1" x="1210"/>
        <item m="1" x="312"/>
        <item m="1" x="841"/>
        <item m="1" x="253"/>
        <item m="1" x="248"/>
        <item m="1" x="1203"/>
        <item m="1" x="1169"/>
        <item m="1" x="1050"/>
        <item m="1" x="618"/>
        <item m="1" x="1256"/>
        <item m="1" x="1287"/>
        <item m="1" x="911"/>
        <item m="1" x="978"/>
        <item m="1" x="810"/>
        <item m="1" x="1126"/>
        <item m="1" x="756"/>
        <item m="1" x="706"/>
        <item m="1" x="835"/>
        <item m="1" x="1086"/>
        <item m="1" x="866"/>
        <item m="1" x="822"/>
        <item m="1" x="830"/>
        <item m="1" x="1285"/>
        <item m="1" x="761"/>
        <item m="1" x="789"/>
        <item m="1" x="817"/>
        <item m="1" x="974"/>
        <item m="1" x="787"/>
        <item m="1" x="1192"/>
        <item m="1" x="659"/>
        <item m="1" x="1073"/>
        <item m="1" x="705"/>
        <item m="1" x="694"/>
        <item m="1" x="765"/>
        <item m="1" x="816"/>
        <item m="1" x="1101"/>
        <item m="1" x="656"/>
        <item m="1" x="1125"/>
        <item m="1" x="1014"/>
        <item m="1" x="667"/>
        <item m="1" x="780"/>
        <item m="1" x="240"/>
        <item m="1" x="1209"/>
        <item m="1" x="684"/>
        <item x="31"/>
        <item m="1" x="1008"/>
        <item m="1" x="1048"/>
        <item m="1" x="764"/>
        <item m="1" x="1115"/>
        <item m="1" x="718"/>
        <item m="1" x="304"/>
        <item m="1" x="315"/>
        <item m="1" x="305"/>
        <item m="1" x="238"/>
        <item m="1" x="1305"/>
        <item m="1" x="682"/>
        <item m="1" x="1147"/>
        <item m="1" x="749"/>
        <item m="1" x="343"/>
        <item m="1" x="344"/>
        <item m="1" x="884"/>
        <item m="1" x="716"/>
        <item m="1" x="910"/>
        <item m="1" x="704"/>
        <item m="1" x="1238"/>
        <item m="1" x="645"/>
        <item m="1" x="1135"/>
        <item m="1" x="758"/>
        <item m="1" x="1102"/>
        <item m="1" x="944"/>
        <item m="1" x="750"/>
        <item m="1" x="1293"/>
        <item m="1" x="1232"/>
        <item m="1" x="654"/>
        <item m="1" x="1000"/>
        <item m="1" x="1062"/>
        <item m="1" x="920"/>
        <item m="1" x="1196"/>
        <item m="1" x="922"/>
        <item m="1" x="306"/>
        <item m="1" x="307"/>
        <item m="1" x="823"/>
        <item m="1" x="310"/>
        <item m="1" x="1018"/>
        <item m="1" x="1286"/>
        <item m="1" x="1294"/>
        <item m="1" x="630"/>
        <item m="1" x="587"/>
        <item m="1" x="982"/>
        <item m="1" x="862"/>
        <item m="1" x="243"/>
        <item m="1" x="722"/>
        <item m="1" x="497"/>
        <item m="1" x="498"/>
        <item m="1" x="499"/>
        <item m="1" x="500"/>
        <item m="1" x="501"/>
        <item m="1" x="502"/>
        <item m="1" x="503"/>
        <item m="1" x="504"/>
        <item m="1" x="709"/>
        <item m="1" x="1282"/>
        <item m="1" x="688"/>
        <item m="1" x="1278"/>
        <item m="1" x="232"/>
        <item m="1" x="1188"/>
        <item m="1" x="510"/>
        <item m="1" x="511"/>
        <item m="1" x="512"/>
        <item m="1" x="225"/>
        <item m="1" x="513"/>
        <item m="1" x="224"/>
        <item m="1" x="514"/>
        <item m="1" x="515"/>
        <item m="1" x="516"/>
        <item m="1" x="1216"/>
        <item m="1" x="517"/>
        <item m="1" x="518"/>
        <item m="1" x="519"/>
        <item m="1" x="520"/>
        <item m="1" x="521"/>
        <item m="1" x="522"/>
        <item m="1" x="523"/>
        <item m="1" x="958"/>
        <item m="1" x="524"/>
        <item m="1" x="525"/>
        <item m="1" x="526"/>
        <item m="1" x="246"/>
        <item m="1" x="564"/>
        <item m="1" x="565"/>
        <item m="1" x="301"/>
        <item m="1" x="567"/>
        <item m="1" x="568"/>
        <item m="1" x="197"/>
        <item m="1" x="569"/>
        <item m="1" x="254"/>
        <item m="1" x="303"/>
        <item x="33"/>
        <item m="1" x="258"/>
        <item m="1" x="571"/>
        <item m="1" x="572"/>
        <item m="1" x="573"/>
        <item x="44"/>
        <item m="1" x="574"/>
        <item m="1" x="575"/>
        <item m="1" x="576"/>
        <item m="1" x="259"/>
        <item m="1" x="577"/>
        <item m="1" x="578"/>
        <item m="1" x="970"/>
        <item m="1" x="1001"/>
        <item m="1" x="651"/>
        <item m="1" x="1143"/>
        <item m="1" x="1157"/>
        <item m="1" x="1222"/>
        <item m="1" x="614"/>
        <item m="1" x="621"/>
        <item m="1" x="1276"/>
        <item m="1" x="1006"/>
        <item m="1" x="699"/>
        <item m="1" x="769"/>
        <item x="27"/>
        <item m="1" x="192"/>
        <item m="1" x="215"/>
        <item m="1" x="544"/>
        <item m="1" x="214"/>
        <item m="1" x="647"/>
        <item m="1" x="1056"/>
        <item m="1" x="952"/>
        <item m="1" x="216"/>
        <item m="1" x="217"/>
        <item m="1" x="1081"/>
        <item m="1" x="1202"/>
        <item m="1" x="1240"/>
        <item m="1" x="695"/>
        <item m="1" x="916"/>
        <item m="1" x="701"/>
        <item x="76"/>
        <item x="16"/>
        <item m="1" x="792"/>
        <item m="1" x="1016"/>
        <item m="1" x="1201"/>
        <item m="1" x="1083"/>
        <item m="1" x="997"/>
        <item m="1" x="450"/>
        <item m="1" x="539"/>
        <item m="1" x="540"/>
        <item m="1" x="541"/>
        <item m="1" x="657"/>
        <item m="1" x="858"/>
        <item m="1" x="773"/>
        <item m="1" x="898"/>
        <item m="1" x="1173"/>
        <item m="1" x="1051"/>
        <item m="1" x="681"/>
        <item m="1" x="1020"/>
        <item m="1" x="738"/>
        <item m="1" x="1097"/>
        <item m="1" x="1298"/>
        <item m="1" x="1224"/>
        <item m="1" x="1268"/>
        <item m="1" x="1308"/>
        <item m="1" x="782"/>
        <item m="1" x="1017"/>
        <item m="1" x="698"/>
        <item m="1" x="961"/>
        <item m="1" x="1007"/>
        <item m="1" x="1067"/>
        <item m="1" x="935"/>
        <item m="1" x="796"/>
        <item m="1" x="999"/>
        <item m="1" x="1302"/>
        <item m="1" x="367"/>
        <item m="1" x="1219"/>
        <item m="1" x="1138"/>
        <item m="1" x="1189"/>
        <item m="1" x="1144"/>
        <item m="1" x="855"/>
        <item m="1" x="1262"/>
        <item m="1" x="1199"/>
        <item m="1" x="821"/>
        <item m="1" x="902"/>
        <item m="1" x="925"/>
        <item m="1" x="1104"/>
        <item m="1" x="663"/>
        <item m="1" x="1277"/>
        <item m="1" x="901"/>
        <item m="1" x="624"/>
        <item m="1" x="1303"/>
        <item m="1" x="383"/>
        <item m="1" x="1153"/>
        <item m="1" x="702"/>
        <item m="1" x="828"/>
        <item m="1" x="900"/>
        <item m="1" x="625"/>
        <item m="1" x="746"/>
        <item m="1" x="505"/>
        <item m="1" x="506"/>
        <item m="1" x="507"/>
        <item m="1" x="508"/>
        <item m="1" x="509"/>
        <item m="1" x="490"/>
        <item m="1" x="494"/>
        <item m="1" x="495"/>
        <item m="1" x="493"/>
        <item m="1" x="949"/>
        <item m="1" x="708"/>
        <item m="1" x="729"/>
        <item m="1" x="1307"/>
        <item m="1" x="1100"/>
        <item m="1" x="603"/>
        <item m="1" x="1212"/>
        <item m="1" x="881"/>
        <item m="1" x="996"/>
        <item m="1" x="791"/>
        <item m="1" x="683"/>
        <item m="1" x="486"/>
        <item m="1" x="487"/>
        <item m="1" x="527"/>
        <item m="1" x="528"/>
        <item m="1" x="529"/>
        <item m="1" x="530"/>
        <item m="1" x="531"/>
        <item m="1" x="532"/>
        <item m="1" x="533"/>
        <item m="1" x="534"/>
        <item m="1" x="535"/>
        <item m="1" x="536"/>
        <item m="1" x="537"/>
        <item m="1" x="538"/>
        <item m="1" x="579"/>
        <item m="1" x="580"/>
        <item m="1" x="581"/>
        <item m="1" x="582"/>
        <item m="1" x="583"/>
        <item m="1" x="584"/>
        <item m="1" x="547"/>
        <item m="1" x="548"/>
        <item m="1" x="549"/>
        <item m="1" x="550"/>
        <item m="1" x="551"/>
        <item m="1" x="552"/>
        <item m="1" x="207"/>
        <item m="1" x="223"/>
        <item m="1" x="554"/>
        <item m="1" x="484"/>
        <item m="1" x="555"/>
        <item m="1" x="556"/>
        <item m="1" x="557"/>
        <item m="1" x="559"/>
        <item m="1" x="560"/>
        <item m="1" x="561"/>
        <item m="1" x="562"/>
        <item m="1" x="563"/>
        <item m="1" x="570"/>
        <item m="1" x="431"/>
        <item m="1" x="432"/>
        <item m="1" x="433"/>
        <item m="1" x="434"/>
        <item m="1" x="496"/>
        <item m="1" x="542"/>
        <item m="1" x="543"/>
        <item m="1" x="545"/>
        <item x="145"/>
        <item m="1" x="402"/>
        <item m="1" x="403"/>
        <item m="1" x="404"/>
        <item m="1" x="405"/>
        <item x="42"/>
        <item x="106"/>
        <item m="1" x="406"/>
        <item m="1" x="407"/>
        <item m="1" x="408"/>
        <item m="1" x="409"/>
        <item m="1" x="410"/>
        <item m="1" x="411"/>
        <item x="40"/>
        <item m="1" x="412"/>
        <item m="1" x="413"/>
        <item m="1" x="414"/>
        <item m="1" x="415"/>
        <item m="1" x="416"/>
        <item m="1" x="417"/>
        <item m="1" x="418"/>
        <item m="1" x="419"/>
        <item m="1" x="420"/>
        <item m="1" x="421"/>
        <item m="1" x="422"/>
        <item m="1" x="423"/>
        <item m="1" x="424"/>
        <item m="1" x="425"/>
        <item m="1" x="426"/>
        <item m="1" x="427"/>
        <item m="1" x="438"/>
        <item m="1" x="439"/>
        <item m="1" x="440"/>
        <item m="1" x="441"/>
        <item m="1" x="442"/>
        <item m="1" x="443"/>
        <item m="1" x="444"/>
        <item m="1" x="445"/>
        <item m="1" x="446"/>
        <item m="1" x="447"/>
        <item m="1" x="448"/>
        <item m="1" x="449"/>
        <item m="1" x="451"/>
        <item m="1" x="452"/>
        <item m="1" x="453"/>
        <item m="1" x="455"/>
        <item m="1" x="456"/>
        <item m="1" x="457"/>
        <item m="1" x="458"/>
        <item m="1" x="459"/>
        <item m="1" x="460"/>
        <item m="1" x="462"/>
        <item m="1" x="463"/>
        <item m="1" x="464"/>
        <item m="1" x="465"/>
        <item m="1" x="466"/>
        <item m="1" x="467"/>
        <item m="1" x="468"/>
        <item m="1" x="469"/>
        <item m="1" x="470"/>
        <item m="1" x="471"/>
        <item m="1" x="472"/>
        <item m="1" x="473"/>
        <item m="1" x="475"/>
        <item m="1" x="476"/>
        <item m="1" x="477"/>
        <item m="1" x="478"/>
        <item m="1" x="479"/>
        <item m="1" x="480"/>
        <item m="1" x="481"/>
        <item m="1" x="482"/>
        <item m="1" x="483"/>
        <item m="1" x="485"/>
        <item x="125"/>
        <item m="1" x="388"/>
        <item m="1" x="389"/>
        <item m="1" x="390"/>
        <item m="1" x="391"/>
        <item m="1" x="393"/>
        <item m="1" x="394"/>
        <item m="1" x="395"/>
        <item m="1" x="396"/>
        <item m="1" x="397"/>
        <item m="1" x="398"/>
        <item m="1" x="399"/>
        <item m="1" x="400"/>
        <item m="1" x="401"/>
        <item m="1" x="363"/>
        <item m="1" x="364"/>
        <item m="1" x="365"/>
        <item m="1" x="366"/>
        <item m="1" x="333"/>
        <item m="1" x="338"/>
        <item m="1" x="339"/>
        <item m="1" x="340"/>
        <item m="1" x="368"/>
        <item m="1" x="369"/>
        <item m="1" x="370"/>
        <item m="1" x="371"/>
        <item m="1" x="372"/>
        <item m="1" x="373"/>
        <item m="1" x="374"/>
        <item m="1" x="375"/>
        <item m="1" x="376"/>
        <item m="1" x="377"/>
        <item m="1" x="378"/>
        <item m="1" x="379"/>
        <item m="1" x="380"/>
        <item m="1" x="381"/>
        <item m="1" x="382"/>
        <item m="1" x="384"/>
        <item m="1" x="385"/>
        <item m="1" x="386"/>
        <item m="1" x="387"/>
        <item m="1" x="428"/>
        <item m="1" x="430"/>
        <item m="1" x="435"/>
        <item m="1" x="436"/>
        <item m="1" x="488"/>
        <item m="1" x="489"/>
        <item m="1" x="491"/>
        <item m="1" x="492"/>
        <item m="1" x="454"/>
        <item m="1" x="362"/>
        <item m="1" x="320"/>
        <item m="1" x="321"/>
        <item x="6"/>
        <item m="1" x="322"/>
        <item m="1" x="323"/>
        <item m="1" x="324"/>
        <item m="1" x="325"/>
        <item m="1" x="326"/>
        <item m="1" x="327"/>
        <item m="1" x="328"/>
        <item m="1" x="329"/>
        <item m="1" x="330"/>
        <item m="1" x="331"/>
        <item m="1" x="332"/>
        <item m="1" x="334"/>
        <item m="1" x="335"/>
        <item m="1" x="336"/>
        <item m="1" x="337"/>
        <item m="1" x="341"/>
        <item m="1" x="342"/>
        <item x="111"/>
        <item m="1" x="348"/>
        <item m="1" x="349"/>
        <item m="1" x="357"/>
        <item m="1" x="358"/>
        <item m="1" x="359"/>
        <item m="1" x="360"/>
        <item m="1" x="361"/>
        <item x="7"/>
        <item x="8"/>
        <item x="9"/>
        <item x="11"/>
        <item m="1" x="351"/>
        <item m="1" x="353"/>
        <item m="1" x="354"/>
        <item m="1" x="355"/>
        <item m="1" x="356"/>
        <item x="149"/>
        <item x="150"/>
        <item x="151"/>
        <item m="1" x="352"/>
        <item x="10"/>
        <item m="1" x="350"/>
        <item x="152"/>
        <item m="1" x="193"/>
        <item m="1" x="195"/>
        <item m="1" x="196"/>
        <item m="1" x="198"/>
        <item m="1" x="201"/>
        <item m="1" x="202"/>
        <item m="1" x="203"/>
        <item m="1" x="204"/>
        <item m="1" x="205"/>
        <item m="1" x="206"/>
        <item m="1" x="208"/>
        <item m="1" x="209"/>
        <item m="1" x="210"/>
        <item m="1" x="211"/>
        <item m="1" x="212"/>
        <item m="1" x="213"/>
        <item m="1" x="218"/>
        <item m="1" x="219"/>
        <item m="1" x="220"/>
        <item m="1" x="221"/>
        <item m="1" x="226"/>
        <item m="1" x="227"/>
        <item m="1" x="228"/>
        <item m="1" x="229"/>
        <item m="1" x="230"/>
        <item m="1" x="233"/>
        <item m="1" x="234"/>
        <item m="1" x="235"/>
        <item m="1" x="236"/>
        <item m="1" x="237"/>
        <item m="1" x="239"/>
        <item m="1" x="242"/>
        <item m="1" x="244"/>
        <item m="1" x="245"/>
        <item m="1" x="247"/>
        <item m="1" x="249"/>
        <item m="1" x="250"/>
        <item m="1" x="251"/>
        <item m="1" x="252"/>
        <item m="1" x="318"/>
        <item m="1" x="319"/>
        <item m="1" x="257"/>
        <item m="1" x="260"/>
        <item x="43"/>
        <item x="45"/>
        <item x="46"/>
        <item m="1" x="261"/>
        <item m="1" x="262"/>
        <item m="1" x="263"/>
        <item m="1" x="264"/>
        <item x="41"/>
        <item m="1" x="266"/>
        <item m="1" x="267"/>
        <item m="1" x="268"/>
        <item m="1" x="269"/>
        <item m="1" x="270"/>
        <item m="1" x="271"/>
        <item x="105"/>
        <item m="1" x="272"/>
        <item m="1" x="273"/>
        <item m="1" x="274"/>
        <item m="1" x="275"/>
        <item m="1" x="276"/>
        <item m="1" x="277"/>
        <item m="1" x="278"/>
        <item m="1" x="279"/>
        <item m="1" x="280"/>
        <item m="1" x="281"/>
        <item m="1" x="282"/>
        <item m="1" x="283"/>
        <item m="1" x="284"/>
        <item m="1" x="285"/>
        <item m="1" x="286"/>
        <item m="1" x="287"/>
        <item m="1" x="288"/>
        <item m="1" x="289"/>
        <item m="1" x="290"/>
        <item m="1" x="291"/>
        <item m="1" x="308"/>
        <item m="1" x="309"/>
        <item m="1" x="311"/>
        <item m="1" x="292"/>
        <item m="1" x="293"/>
        <item m="1" x="294"/>
        <item m="1" x="295"/>
        <item m="1" x="296"/>
        <item m="1" x="297"/>
        <item m="1" x="299"/>
        <item m="1" x="300"/>
        <item m="1" x="180"/>
        <item m="1" x="181"/>
        <item m="1" x="182"/>
        <item m="1" x="183"/>
        <item m="1" x="184"/>
        <item m="1" x="185"/>
        <item m="1" x="186"/>
        <item m="1" x="187"/>
        <item m="1" x="188"/>
        <item m="1" x="189"/>
        <item m="1" x="190"/>
        <item m="1" x="191"/>
        <item m="1" x="172"/>
        <item m="1" x="173"/>
        <item m="1" x="174"/>
        <item m="1" x="175"/>
        <item x="24"/>
        <item m="1" x="177"/>
        <item m="1" x="178"/>
        <item m="1" x="167"/>
        <item m="1" x="168"/>
        <item m="1" x="176"/>
        <item m="1" x="179"/>
        <item m="1" x="316"/>
        <item m="1" x="317"/>
        <item m="1" x="302"/>
        <item x="153"/>
        <item x="157"/>
        <item m="1" x="313"/>
        <item x="158"/>
        <item m="1" x="314"/>
        <item m="1" x="256"/>
        <item x="126"/>
        <item m="1" x="298"/>
        <item x="18"/>
        <item x="19"/>
        <item x="20"/>
        <item x="21"/>
        <item x="22"/>
        <item x="23"/>
        <item x="25"/>
        <item x="26"/>
        <item x="28"/>
        <item x="29"/>
        <item x="30"/>
        <item x="32"/>
        <item x="35"/>
        <item x="36"/>
        <item x="37"/>
        <item x="38"/>
        <item x="39"/>
        <item x="34"/>
        <item x="47"/>
        <item x="48"/>
        <item x="49"/>
        <item x="50"/>
        <item x="112"/>
        <item x="113"/>
        <item x="114"/>
        <item x="115"/>
        <item x="116"/>
        <item x="99"/>
        <item x="100"/>
        <item x="101"/>
        <item x="108"/>
        <item x="110"/>
        <item x="107"/>
        <item x="102"/>
        <item x="120"/>
        <item x="93"/>
        <item x="94"/>
        <item x="95"/>
        <item x="122"/>
        <item x="124"/>
        <item x="96"/>
        <item x="97"/>
        <item x="98"/>
        <item x="117"/>
        <item x="118"/>
        <item x="119"/>
        <item x="103"/>
        <item x="104"/>
        <item x="127"/>
        <item x="128"/>
        <item x="129"/>
        <item x="130"/>
        <item x="131"/>
        <item x="132"/>
        <item x="143"/>
        <item x="142"/>
        <item x="159"/>
        <item x="15"/>
        <item x="17"/>
        <item x="51"/>
        <item x="52"/>
        <item x="53"/>
        <item x="54"/>
        <item x="55"/>
        <item x="56"/>
        <item x="57"/>
        <item x="58"/>
        <item x="59"/>
        <item x="60"/>
        <item x="61"/>
        <item x="62"/>
        <item x="63"/>
        <item x="64"/>
        <item x="65"/>
        <item x="66"/>
        <item x="67"/>
        <item x="68"/>
        <item x="70"/>
        <item x="71"/>
        <item x="72"/>
        <item x="75"/>
        <item x="77"/>
        <item x="78"/>
        <item x="79"/>
        <item x="80"/>
        <item x="81"/>
        <item x="82"/>
        <item x="83"/>
        <item x="133"/>
        <item x="134"/>
        <item x="135"/>
        <item x="136"/>
        <item x="137"/>
        <item x="138"/>
        <item x="139"/>
        <item x="140"/>
        <item x="141"/>
        <item x="144"/>
        <item x="147"/>
        <item x="154"/>
        <item x="155"/>
        <item x="156"/>
        <item x="160"/>
        <item x="161"/>
        <item x="162"/>
        <item x="163"/>
        <item x="164"/>
        <item x="165"/>
        <item x="1"/>
        <item x="2"/>
        <item x="3"/>
        <item x="5"/>
        <item x="84"/>
        <item x="86"/>
        <item x="87"/>
        <item x="88"/>
        <item x="89"/>
        <item x="90"/>
        <item x="91"/>
        <item x="92"/>
        <item x="148"/>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x="200"/>
        <item m="1" x="3198"/>
        <item m="1" x="3199"/>
        <item m="1" x="3200"/>
        <item m="1" x="3201"/>
        <item m="1" x="3202"/>
        <item m="1" x="3203"/>
        <item m="1" x="3204"/>
        <item m="1" x="3205"/>
        <item m="1" x="3206"/>
        <item m="1" x="3207"/>
        <item m="1" x="1009"/>
        <item m="1" x="3208"/>
        <item m="1" x="3209"/>
        <item m="1" x="5353"/>
        <item m="1" x="5354"/>
        <item m="1" x="5355"/>
        <item m="1" x="5356"/>
        <item m="1" x="5357"/>
        <item m="1" x="1013"/>
        <item m="1" x="1014"/>
        <item m="1" x="7277"/>
        <item m="1" x="1065"/>
        <item m="1" x="1064"/>
        <item m="1" x="1015"/>
        <item m="1" x="7880"/>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30"/>
        <item m="1" x="7954"/>
        <item m="1" x="7934"/>
        <item m="1" x="7938"/>
        <item m="1" x="7932"/>
        <item m="1" x="7943"/>
        <item m="1" x="7947"/>
        <item m="1" x="7956"/>
        <item m="1" x="7951"/>
        <item m="1" x="7952"/>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9"/>
        <item m="1" x="7997"/>
        <item m="1" x="7998"/>
        <item m="1" x="7927"/>
        <item m="1" x="7928"/>
        <item m="1" x="7929"/>
        <item m="1" x="7931"/>
        <item m="1" x="7933"/>
        <item m="1" x="7935"/>
        <item m="1" x="7936"/>
        <item m="1" x="7937"/>
        <item m="1" x="7939"/>
        <item m="1" x="7940"/>
        <item m="1" x="7941"/>
        <item m="1" x="7942"/>
        <item m="1" x="7944"/>
        <item m="1" x="7945"/>
        <item m="1" x="7946"/>
        <item m="1" x="7948"/>
        <item m="1" x="7949"/>
        <item m="1" x="7950"/>
        <item m="1" x="7953"/>
        <item m="1" x="7955"/>
        <item m="1" x="7867"/>
        <item m="1" x="7868"/>
        <item m="1" x="7724"/>
        <item m="1" x="7869"/>
        <item m="1" x="7870"/>
        <item m="1" x="7871"/>
        <item m="1" x="7728"/>
        <item m="1" x="7872"/>
        <item m="1" x="7731"/>
        <item m="1" x="7738"/>
        <item m="1" x="7740"/>
        <item m="1" x="7741"/>
        <item m="1" x="7733"/>
        <item m="1" x="7829"/>
        <item m="1" x="7737"/>
        <item m="1" x="7873"/>
        <item m="1" x="7742"/>
        <item m="1" x="7721"/>
        <item m="1" x="7722"/>
        <item m="1" x="7723"/>
        <item m="1" x="7746"/>
        <item m="1" x="7743"/>
        <item m="1" x="7874"/>
        <item m="1" x="7755"/>
        <item m="1" x="7875"/>
        <item m="1" x="7747"/>
        <item m="1" x="7748"/>
        <item m="1" x="7749"/>
        <item m="1" x="7750"/>
        <item m="1" x="7751"/>
        <item m="1" x="7849"/>
        <item m="1" x="7754"/>
        <item m="1" x="7876"/>
        <item m="1" x="7877"/>
        <item m="1" x="7759"/>
        <item m="1" x="7757"/>
        <item m="1" x="7732"/>
        <item m="1" x="7725"/>
        <item m="1" x="7766"/>
        <item m="1" x="7727"/>
        <item m="1" x="7761"/>
        <item m="1" x="7762"/>
        <item m="1" x="7763"/>
        <item m="1" x="7764"/>
        <item m="1" x="7765"/>
        <item m="1" x="7878"/>
        <item m="1" x="7879"/>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30"/>
        <item m="1" x="7831"/>
        <item m="1" x="7832"/>
        <item m="1" x="7744"/>
        <item m="1" x="7833"/>
        <item m="1" x="7834"/>
        <item m="1" x="7835"/>
        <item m="1" x="7729"/>
        <item m="1" x="7836"/>
        <item m="1" x="7837"/>
        <item m="1" x="7838"/>
        <item m="1" x="7839"/>
        <item m="1" x="7840"/>
        <item m="1" x="7841"/>
        <item m="1" x="7842"/>
        <item m="1" x="7843"/>
        <item m="1" x="7844"/>
        <item m="1" x="7845"/>
        <item m="1" x="7846"/>
        <item m="1" x="7745"/>
        <item m="1" x="7847"/>
        <item m="1" x="7848"/>
        <item m="1" x="7758"/>
        <item m="1" x="7850"/>
        <item m="1" x="7851"/>
        <item m="1" x="7852"/>
        <item m="1" x="7853"/>
        <item m="1" x="7854"/>
        <item m="1" x="7855"/>
        <item m="1" x="7856"/>
        <item m="1" x="7857"/>
        <item m="1" x="7858"/>
        <item m="1" x="7859"/>
        <item m="1" x="7860"/>
        <item m="1" x="7861"/>
        <item m="1" x="7862"/>
        <item m="1" x="7863"/>
        <item m="1" x="7864"/>
        <item m="1" x="7865"/>
        <item m="1" x="7866"/>
        <item m="1" x="7752"/>
        <item m="1" x="7753"/>
        <item m="1" x="7756"/>
        <item m="1" x="7760"/>
        <item m="1" x="7726"/>
        <item m="1" x="7767"/>
        <item m="1" x="7730"/>
        <item m="1" x="7734"/>
        <item m="1" x="7735"/>
        <item m="1" x="7736"/>
        <item m="1" x="7739"/>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8"/>
        <item m="1" x="7279"/>
        <item m="1" x="7280"/>
        <item m="1" x="7281"/>
        <item m="1" x="7282"/>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1012"/>
        <item m="1" x="7132"/>
        <item m="1" x="7133"/>
        <item m="1" x="7134"/>
        <item m="1" x="7135"/>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89"/>
        <item m="1" x="6930"/>
        <item m="1" x="6931"/>
        <item m="1" x="6932"/>
        <item m="1" x="6933"/>
        <item m="1" x="6934"/>
        <item m="1" x="6935"/>
        <item m="1" x="6936"/>
        <item m="1" x="6937"/>
        <item m="1" x="6938"/>
        <item m="1" x="6939"/>
        <item m="1" x="6940"/>
        <item m="1" x="6941"/>
        <item m="1" x="6942"/>
        <item m="1" x="6988"/>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842"/>
        <item m="1" x="6796"/>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795"/>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94"/>
        <item m="1" x="6695"/>
        <item m="1" x="6653"/>
        <item m="1" x="6654"/>
        <item m="1" x="6655"/>
        <item m="1" x="6652"/>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3"/>
        <item m="1" x="6692"/>
        <item m="1" x="6409"/>
        <item m="1" x="6410"/>
        <item m="1" x="6411"/>
        <item m="1" x="6412"/>
        <item m="1" x="6413"/>
        <item m="1" x="6414"/>
        <item m="1" x="6415"/>
        <item m="1" x="6416"/>
        <item m="1" x="6209"/>
        <item m="1" x="6417"/>
        <item m="1" x="6201"/>
        <item m="1" x="6418"/>
        <item m="1" x="6419"/>
        <item m="1" x="6420"/>
        <item m="1" x="6421"/>
        <item m="1" x="6422"/>
        <item m="1" x="6423"/>
        <item m="1" x="6424"/>
        <item m="1" x="6425"/>
        <item m="1" x="6426"/>
        <item m="1" x="6376"/>
        <item m="1" x="6427"/>
        <item m="1" x="6428"/>
        <item m="1" x="6429"/>
        <item m="1" x="6430"/>
        <item m="1" x="6431"/>
        <item m="1" x="6432"/>
        <item m="1" x="6433"/>
        <item m="1" x="6434"/>
        <item m="1" x="6435"/>
        <item m="1" x="6436"/>
        <item m="1" x="6437"/>
        <item m="1" x="6438"/>
        <item m="1" x="614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155"/>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9"/>
        <item m="1" x="6150"/>
        <item m="1" x="6151"/>
        <item m="1" x="6152"/>
        <item m="1" x="6153"/>
        <item m="1" x="6154"/>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2"/>
        <item m="1" x="6203"/>
        <item m="1" x="6204"/>
        <item m="1" x="6205"/>
        <item m="1" x="6206"/>
        <item m="1" x="6207"/>
        <item m="1" x="6208"/>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1"/>
        <item m="1" x="6372"/>
        <item m="1" x="6373"/>
        <item m="1" x="6374"/>
        <item m="1" x="6375"/>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5761"/>
        <item m="1" x="5762"/>
        <item m="1" x="5763"/>
        <item m="1" x="5764"/>
        <item m="1" x="5765"/>
        <item m="1" x="5766"/>
        <item m="1" x="5767"/>
        <item m="1" x="5768"/>
        <item m="1" x="5769"/>
        <item m="1" x="6092"/>
        <item m="1" x="5774"/>
        <item m="1" x="6093"/>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5772"/>
        <item m="1" x="5771"/>
        <item m="1" x="5770"/>
        <item m="1" x="5777"/>
        <item m="1" x="5776"/>
        <item m="1" x="5775"/>
        <item m="1" x="5773"/>
        <item m="1" x="5780"/>
        <item m="1" x="5779"/>
        <item m="1" x="5778"/>
        <item m="1" x="5815"/>
        <item m="1" x="5816"/>
        <item m="1" x="5817"/>
        <item m="1" x="5818"/>
        <item m="1" x="5819"/>
        <item m="1" x="5820"/>
        <item m="1" x="5821"/>
        <item m="1" x="5822"/>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4992"/>
        <item m="1" x="4993"/>
        <item m="1" x="4994"/>
        <item m="1" x="4995"/>
        <item m="1" x="4996"/>
        <item m="1" x="4997"/>
        <item m="1" x="4998"/>
        <item m="1" x="4999"/>
        <item m="1" x="5340"/>
        <item m="1" x="5341"/>
        <item m="1" x="5342"/>
        <item m="1" x="5343"/>
        <item m="1" x="5344"/>
        <item m="1" x="5345"/>
        <item m="1" x="5346"/>
        <item m="1" x="5347"/>
        <item m="1" x="5348"/>
        <item m="1" x="5009"/>
        <item m="1" x="5349"/>
        <item m="1" x="5350"/>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427"/>
        <item m="1" x="5428"/>
        <item m="1" x="5429"/>
        <item m="1" x="5430"/>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351"/>
        <item m="1" x="5352"/>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000"/>
        <item m="1" x="5001"/>
        <item m="1" x="5002"/>
        <item m="1" x="5003"/>
        <item m="1" x="5004"/>
        <item m="1" x="5005"/>
        <item m="1" x="5006"/>
        <item m="1" x="5007"/>
        <item m="1" x="5008"/>
        <item m="1" x="5010"/>
        <item m="1" x="5011"/>
        <item m="1" x="5044"/>
        <item m="1" x="5045"/>
        <item m="1" x="1059"/>
        <item m="1" x="1060"/>
        <item m="1" x="1061"/>
        <item m="1" x="1062"/>
        <item m="1" x="1063"/>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3727"/>
        <item m="1" x="3728"/>
        <item m="1" x="3729"/>
        <item m="1" x="3730"/>
        <item m="1" x="3731"/>
        <item m="1" x="3732"/>
        <item m="1" x="3733"/>
        <item m="1" x="3734"/>
        <item m="1" x="3735"/>
        <item m="1" x="3736"/>
        <item m="1" x="3737"/>
        <item m="1" x="3738"/>
        <item m="1" x="3739"/>
        <item m="1" x="3740"/>
        <item m="1" x="3741"/>
        <item m="1" x="3742"/>
        <item m="1" x="3587"/>
        <item m="1" x="3743"/>
        <item m="1" x="3589"/>
        <item m="1" x="3744"/>
        <item m="1" x="3591"/>
        <item m="1" x="3745"/>
        <item m="1" x="3593"/>
        <item m="1" x="3746"/>
        <item m="1" x="3595"/>
        <item m="1" x="3747"/>
        <item m="1" x="3748"/>
        <item m="1" x="3598"/>
        <item m="1" x="3599"/>
        <item m="1" x="3749"/>
        <item m="1" x="3601"/>
        <item m="1" x="3602"/>
        <item m="1" x="3750"/>
        <item m="1" x="3604"/>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687"/>
        <item m="1" x="3833"/>
        <item m="1" x="3834"/>
        <item m="1" x="3690"/>
        <item m="1" x="3835"/>
        <item m="1" x="3692"/>
        <item m="1" x="3836"/>
        <item m="1" x="3694"/>
        <item m="1" x="3837"/>
        <item m="1" x="3696"/>
        <item m="1" x="3838"/>
        <item m="1" x="3698"/>
        <item m="1" x="3839"/>
        <item m="1" x="3700"/>
        <item m="1" x="3701"/>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571"/>
        <item m="1" x="3572"/>
        <item m="1" x="3573"/>
        <item m="1" x="3574"/>
        <item m="1" x="3575"/>
        <item m="1" x="3576"/>
        <item m="1" x="3577"/>
        <item m="1" x="3578"/>
        <item m="1" x="3579"/>
        <item m="1" x="3580"/>
        <item m="1" x="3581"/>
        <item m="1" x="3582"/>
        <item m="1" x="3583"/>
        <item m="1" x="3584"/>
        <item m="1" x="3585"/>
        <item m="1" x="3586"/>
        <item m="1" x="3588"/>
        <item m="1" x="3590"/>
        <item m="1" x="3592"/>
        <item m="1" x="3594"/>
        <item m="1" x="3596"/>
        <item m="1" x="3597"/>
        <item m="1" x="3600"/>
        <item m="1" x="3603"/>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8"/>
        <item m="1" x="3689"/>
        <item m="1" x="3691"/>
        <item m="1" x="3693"/>
        <item m="1" x="3695"/>
        <item m="1" x="3697"/>
        <item m="1" x="3699"/>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379"/>
        <item m="1" x="3380"/>
        <item m="1" x="3381"/>
        <item m="1" x="3382"/>
        <item m="1" x="3383"/>
        <item m="1" x="3384"/>
        <item m="1" x="3385"/>
        <item m="1" x="3386"/>
        <item m="1" x="3387"/>
        <item m="1" x="3388"/>
        <item m="1" x="3389"/>
        <item m="1" x="3390"/>
        <item m="1" x="3391"/>
        <item m="1" x="3392"/>
        <item m="1" x="3393"/>
        <item m="1" x="3394"/>
        <item m="1" x="3537"/>
        <item m="1" x="3538"/>
        <item m="1" x="3539"/>
        <item m="1" x="3540"/>
        <item m="1" x="3541"/>
        <item m="1" x="3542"/>
        <item m="1" x="3543"/>
        <item m="1" x="3544"/>
        <item m="1" x="3545"/>
        <item m="1" x="3546"/>
        <item m="1" x="3547"/>
        <item m="1" x="3548"/>
        <item m="1" x="3549"/>
        <item m="1" x="3550"/>
        <item m="1" x="3551"/>
        <item m="1" x="3552"/>
        <item m="1" x="3553"/>
        <item m="1" x="3554"/>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61"/>
        <item m="1" x="3462"/>
        <item m="1" x="3463"/>
        <item m="1" x="3464"/>
        <item m="1" x="3465"/>
        <item m="1" x="3466"/>
        <item m="1" x="3467"/>
        <item m="1" x="3468"/>
        <item m="1" x="3469"/>
        <item m="1" x="3470"/>
        <item m="1" x="3471"/>
        <item m="1" x="3472"/>
        <item m="1" x="3458"/>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555"/>
        <item m="1" x="3556"/>
        <item m="1" x="3557"/>
        <item m="1" x="3558"/>
        <item m="1" x="3559"/>
        <item m="1" x="3560"/>
        <item m="1" x="3561"/>
        <item m="1" x="3562"/>
        <item m="1" x="3563"/>
        <item m="1" x="3564"/>
        <item m="1" x="3565"/>
        <item m="1" x="3566"/>
        <item m="1" x="3567"/>
        <item m="1" x="3568"/>
        <item m="1" x="3569"/>
        <item m="1" x="3512"/>
        <item m="1" x="3513"/>
        <item m="1" x="3514"/>
        <item m="1" x="3515"/>
        <item m="1" x="3516"/>
        <item m="1" x="3517"/>
        <item m="1" x="3518"/>
        <item m="1" x="3519"/>
        <item m="1" x="3520"/>
        <item m="1" x="3521"/>
        <item m="1" x="3522"/>
        <item m="1" x="3523"/>
        <item m="1" x="3524"/>
        <item m="1" x="3525"/>
        <item m="1" x="3526"/>
        <item m="1" x="3459"/>
        <item m="1" x="3527"/>
        <item m="1" x="3528"/>
        <item m="1" x="3529"/>
        <item m="1" x="3530"/>
        <item m="1" x="3531"/>
        <item m="1" x="3532"/>
        <item m="1" x="3533"/>
        <item m="1" x="3534"/>
        <item m="1" x="3570"/>
        <item m="1" x="3395"/>
        <item m="1" x="3396"/>
        <item m="1" x="3397"/>
        <item m="1" x="3398"/>
        <item m="1" x="3399"/>
        <item m="1" x="3400"/>
        <item m="1" x="3401"/>
        <item m="1" x="3402"/>
        <item m="1" x="3403"/>
        <item m="1" x="3404"/>
        <item m="1" x="3405"/>
        <item m="1" x="3406"/>
        <item m="1" x="3407"/>
        <item m="1" x="3408"/>
        <item m="1" x="3409"/>
        <item m="1" x="3410"/>
        <item m="1" x="3411"/>
        <item m="1" x="3412"/>
        <item m="1" x="3460"/>
        <item m="1" x="3497"/>
        <item m="1" x="3498"/>
        <item m="1" x="3499"/>
        <item m="1" x="3500"/>
        <item m="1" x="3501"/>
        <item m="1" x="3502"/>
        <item m="1" x="3503"/>
        <item m="1" x="3504"/>
        <item m="1" x="3505"/>
        <item m="1" x="3506"/>
        <item m="1" x="3507"/>
        <item m="1" x="3508"/>
        <item m="1" x="3509"/>
        <item m="1" x="3510"/>
        <item m="1" x="3511"/>
        <item m="1" x="3535"/>
        <item m="1" x="3536"/>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78"/>
        <item m="1" x="3335"/>
        <item m="1" x="3336"/>
        <item m="1" x="3337"/>
        <item m="1" x="3338"/>
        <item m="1" x="3339"/>
        <item m="1" x="3340"/>
        <item m="1" x="3341"/>
        <item m="1" x="3342"/>
        <item m="1" x="3371"/>
        <item m="1" x="3372"/>
        <item m="1" x="3343"/>
        <item m="1" x="3373"/>
        <item m="1" x="3374"/>
        <item m="1" x="3346"/>
        <item m="1" x="3375"/>
        <item m="1" x="3376"/>
        <item m="1" x="3353"/>
        <item m="1" x="3354"/>
        <item m="1" x="3350"/>
        <item m="1" x="3361"/>
        <item m="1" x="3352"/>
        <item m="1" x="3355"/>
        <item m="1" x="3351"/>
        <item m="1" x="3359"/>
        <item m="1" x="3377"/>
        <item m="1" x="3362"/>
        <item m="1" x="3363"/>
        <item m="1" x="3364"/>
        <item m="1" x="3365"/>
        <item m="1" x="3366"/>
        <item m="1" x="3367"/>
        <item m="1" x="3368"/>
        <item m="1" x="3369"/>
        <item m="1" x="3334"/>
        <item m="1" x="3344"/>
        <item m="1" x="3345"/>
        <item m="1" x="3347"/>
        <item m="1" x="3348"/>
        <item m="1" x="3349"/>
        <item m="1" x="3356"/>
        <item m="1" x="3357"/>
        <item m="1" x="3358"/>
        <item m="1" x="3360"/>
        <item m="1" x="3370"/>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999"/>
        <item m="1" x="1000"/>
        <item m="1" x="1001"/>
        <item m="1" x="1002"/>
        <item m="1" x="1003"/>
        <item m="1" x="1004"/>
        <item m="1" x="1005"/>
        <item m="1" x="1006"/>
        <item m="1" x="1007"/>
        <item m="1" x="1008"/>
        <item m="1" x="1010"/>
        <item m="1" x="1011"/>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4"/>
        <item m="1" x="2735"/>
        <item m="1" x="2736"/>
        <item m="1" x="2737"/>
        <item m="1" x="2738"/>
        <item m="1" x="2739"/>
        <item m="1" x="2740"/>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733"/>
        <item m="1" x="2835"/>
        <item m="1" x="2836"/>
        <item m="1" x="2837"/>
        <item m="1" x="2838"/>
        <item m="1" x="2839"/>
        <item m="1" x="2840"/>
        <item m="1" x="2741"/>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694"/>
        <item m="1" x="2695"/>
        <item m="1" x="2696"/>
        <item m="1" x="2865"/>
        <item m="1" x="2866"/>
        <item m="1" x="2867"/>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99"/>
        <item m="1" x="2690"/>
        <item m="1" x="2700"/>
        <item m="1" x="2701"/>
        <item m="1" x="2702"/>
        <item m="1" x="2686"/>
        <item m="1" x="2685"/>
        <item m="1" x="2647"/>
        <item m="1" x="2648"/>
        <item m="1" x="2649"/>
        <item m="1" x="2703"/>
        <item m="1" x="2651"/>
        <item m="1" x="2704"/>
        <item m="1" x="2668"/>
        <item m="1" x="2654"/>
        <item m="1" x="2655"/>
        <item m="1" x="2656"/>
        <item m="1" x="2657"/>
        <item m="1" x="2658"/>
        <item m="1" x="2659"/>
        <item m="1" x="2660"/>
        <item m="1" x="2661"/>
        <item m="1" x="2662"/>
        <item m="1" x="2663"/>
        <item m="1" x="2664"/>
        <item m="1" x="2665"/>
        <item m="1" x="2666"/>
        <item m="1" x="2667"/>
        <item m="1" x="2669"/>
        <item m="1" x="2670"/>
        <item m="1" x="2671"/>
        <item m="1" x="2672"/>
        <item m="1" x="2673"/>
        <item m="1" x="2674"/>
        <item m="1" x="2675"/>
        <item m="1" x="2676"/>
        <item m="1" x="2677"/>
        <item m="1" x="2678"/>
        <item m="1" x="2679"/>
        <item m="1" x="2680"/>
        <item m="1" x="2681"/>
        <item m="1" x="2682"/>
        <item m="1" x="2683"/>
        <item m="1" x="2684"/>
        <item m="1" x="2687"/>
        <item m="1" x="2688"/>
        <item m="1" x="2689"/>
        <item m="1" x="2691"/>
        <item m="1" x="2653"/>
        <item m="1" x="2692"/>
        <item m="1" x="2693"/>
        <item m="1" x="2697"/>
        <item m="1" x="2705"/>
        <item m="1" x="2698"/>
        <item x="173"/>
        <item m="1" x="2641"/>
        <item m="1" x="2642"/>
        <item m="1" x="2643"/>
        <item m="1" x="2644"/>
        <item m="1" x="2645"/>
        <item m="1" x="2646"/>
        <item m="1" x="2650"/>
        <item m="1" x="2652"/>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196"/>
        <item m="1" x="2197"/>
        <item m="1" x="2198"/>
        <item m="1" x="2199"/>
        <item m="1" x="2200"/>
        <item m="1" x="2201"/>
        <item m="1" x="2363"/>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1448"/>
        <item m="1" x="2364"/>
        <item m="1" x="2202"/>
        <item m="1" x="1990"/>
        <item m="1" x="1991"/>
        <item m="1" x="1992"/>
        <item m="1" x="1993"/>
        <item m="1" x="1994"/>
        <item m="1" x="1995"/>
        <item m="1" x="2195"/>
        <item m="1" x="1997"/>
        <item m="1" x="1998"/>
        <item m="1" x="1999"/>
        <item m="1" x="2000"/>
        <item m="1" x="2001"/>
        <item m="1" x="2002"/>
        <item m="1" x="2003"/>
        <item m="1" x="2004"/>
        <item m="1" x="2005"/>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77"/>
        <item m="1" x="2178"/>
        <item m="1" x="2179"/>
        <item m="1" x="2180"/>
        <item m="1" x="2181"/>
        <item m="1" x="2182"/>
        <item m="1" x="2183"/>
        <item m="1" x="2184"/>
        <item m="1" x="2185"/>
        <item m="1" x="2186"/>
        <item m="1" x="2187"/>
        <item m="1" x="2188"/>
        <item m="1" x="2189"/>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90"/>
        <item m="1" x="2191"/>
        <item m="1" x="2192"/>
        <item m="1" x="2193"/>
        <item m="1" x="2155"/>
        <item m="1" x="2194"/>
        <item m="1" x="1996"/>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111"/>
        <item m="1" x="2112"/>
        <item m="1" x="2113"/>
        <item m="1" x="2114"/>
        <item m="1" x="2115"/>
        <item m="1" x="2116"/>
        <item m="1" x="2117"/>
        <item m="1" x="2118"/>
        <item m="1" x="2119"/>
        <item m="1" x="2120"/>
        <item m="1" x="2121"/>
        <item m="1" x="2122"/>
        <item m="1" x="2123"/>
        <item m="1" x="2151"/>
        <item m="1" x="2152"/>
        <item m="1" x="2153"/>
        <item m="1" x="2154"/>
        <item m="1" x="2156"/>
        <item m="1" x="1785"/>
        <item m="1" x="1786"/>
        <item m="1" x="1787"/>
        <item m="1" x="1788"/>
        <item m="1" x="1789"/>
        <item m="1" x="1790"/>
        <item m="1" x="1791"/>
        <item m="1" x="1792"/>
        <item m="1" x="1793"/>
        <item m="1" x="1794"/>
        <item m="1" x="1795"/>
        <item m="1" x="1796"/>
        <item m="1" x="1797"/>
        <item m="1" x="1798"/>
        <item m="1" x="1799"/>
        <item m="1" x="1800"/>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72"/>
        <item m="1" x="1973"/>
        <item m="1" x="1974"/>
        <item m="1" x="1975"/>
        <item m="1" x="1976"/>
        <item m="1" x="1977"/>
        <item m="1" x="1978"/>
        <item m="1" x="1979"/>
        <item m="1" x="1980"/>
        <item m="1" x="1981"/>
        <item m="1" x="1982"/>
        <item m="1" x="1983"/>
        <item m="1" x="1984"/>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85"/>
        <item m="1" x="1986"/>
        <item m="1" x="1987"/>
        <item m="1" x="1988"/>
        <item m="1" x="1950"/>
        <item m="1" x="1989"/>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906"/>
        <item m="1" x="1907"/>
        <item m="1" x="1908"/>
        <item m="1" x="1909"/>
        <item m="1" x="1910"/>
        <item m="1" x="1911"/>
        <item m="1" x="1912"/>
        <item m="1" x="1913"/>
        <item m="1" x="1914"/>
        <item m="1" x="1915"/>
        <item m="1" x="1916"/>
        <item m="1" x="1917"/>
        <item m="1" x="1918"/>
        <item m="1" x="1946"/>
        <item m="1" x="1947"/>
        <item m="1" x="1948"/>
        <item m="1" x="1949"/>
        <item m="1" x="1951"/>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3"/>
        <item m="1" x="1784"/>
        <item m="1" x="1782"/>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073"/>
        <item m="1" x="879"/>
        <item m="1" x="880"/>
        <item m="1" x="881"/>
        <item m="1" x="882"/>
        <item m="1" x="883"/>
        <item m="1" x="884"/>
        <item m="1" x="1072"/>
        <item m="1" x="886"/>
        <item m="1" x="887"/>
        <item m="1" x="888"/>
        <item m="1" x="889"/>
        <item m="1" x="890"/>
        <item m="1" x="891"/>
        <item m="1" x="892"/>
        <item m="1" x="893"/>
        <item m="1" x="89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1111"/>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1095"/>
        <item m="1" x="1096"/>
        <item m="1" x="1097"/>
        <item m="1" x="1098"/>
        <item m="1" x="1099"/>
        <item m="1" x="1100"/>
        <item m="1" x="1101"/>
        <item m="1" x="1102"/>
        <item m="1" x="1103"/>
        <item m="1" x="1104"/>
        <item m="1" x="1105"/>
        <item m="1" x="1106"/>
        <item m="1" x="1107"/>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108"/>
        <item m="1" x="1109"/>
        <item m="1" x="1070"/>
        <item m="1" x="1110"/>
        <item m="1" x="936"/>
        <item m="1" x="1074"/>
        <item m="1" x="1068"/>
        <item m="1" x="895"/>
        <item m="1" x="896"/>
        <item m="1" x="897"/>
        <item m="1" x="898"/>
        <item m="1" x="899"/>
        <item m="1" x="900"/>
        <item m="1" x="901"/>
        <item m="1" x="902"/>
        <item m="1" x="903"/>
        <item m="1" x="904"/>
        <item m="1" x="905"/>
        <item m="1" x="906"/>
        <item m="1" x="907"/>
        <item m="1" x="908"/>
        <item m="1" x="909"/>
        <item m="1" x="910"/>
        <item m="1" x="911"/>
        <item m="1" x="912"/>
        <item m="1" x="913"/>
        <item m="1" x="914"/>
        <item m="1" x="1016"/>
        <item m="1" x="1017"/>
        <item m="1" x="1018"/>
        <item m="1" x="1019"/>
        <item m="1" x="1020"/>
        <item m="1" x="1021"/>
        <item m="1" x="1022"/>
        <item m="1" x="1023"/>
        <item m="1" x="1024"/>
        <item m="1" x="1025"/>
        <item m="1" x="1026"/>
        <item m="1" x="1027"/>
        <item m="1" x="1028"/>
        <item m="1" x="1066"/>
        <item m="1" x="1067"/>
        <item m="1" x="1069"/>
        <item m="1" x="1071"/>
        <item m="1" x="885"/>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666"/>
        <item m="1" x="667"/>
        <item m="1" x="668"/>
        <item m="1" x="669"/>
        <item m="1" x="670"/>
        <item m="1" x="671"/>
        <item m="1" x="672"/>
        <item m="1" x="673"/>
        <item m="1" x="674"/>
        <item m="1" x="675"/>
        <item x="83"/>
        <item m="1" x="676"/>
        <item m="1" x="677"/>
        <item x="192"/>
        <item x="0"/>
        <item x="1"/>
        <item x="24"/>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x="15"/>
        <item x="16"/>
        <item x="17"/>
        <item x="19"/>
        <item x="18"/>
        <item x="21"/>
        <item x="20"/>
        <item m="1" x="872"/>
        <item m="1" x="873"/>
        <item m="1" x="874"/>
        <item m="1" x="875"/>
        <item m="1" x="876"/>
        <item m="1" x="877"/>
        <item m="1" x="878"/>
        <item x="181"/>
        <item x="22"/>
        <item x="23"/>
        <item x="25"/>
        <item x="26"/>
        <item x="27"/>
        <item x="28"/>
        <item x="29"/>
        <item x="30"/>
        <item x="31"/>
        <item x="32"/>
        <item x="33"/>
        <item x="34"/>
        <item x="35"/>
        <item x="36"/>
        <item x="37"/>
        <item x="38"/>
        <item x="139"/>
        <item x="131"/>
        <item x="134"/>
        <item x="140"/>
        <item x="141"/>
        <item x="126"/>
        <item x="142"/>
        <item x="143"/>
        <item x="180"/>
        <item x="147"/>
        <item x="145"/>
        <item x="127"/>
        <item x="146"/>
        <item x="144"/>
        <item x="189"/>
        <item x="135"/>
        <item x="136"/>
        <item x="137"/>
        <item x="138"/>
        <item x="133"/>
        <item m="1" x="682"/>
        <item m="1" x="683"/>
        <item x="54"/>
        <item m="1" x="684"/>
        <item x="55"/>
        <item x="46"/>
        <item m="1" x="685"/>
        <item x="50"/>
        <item x="59"/>
        <item x="68"/>
        <item m="1" x="686"/>
        <item x="57"/>
        <item x="66"/>
        <item x="67"/>
        <item m="1" x="687"/>
        <item m="1" x="688"/>
        <item m="1" x="689"/>
        <item m="1" x="690"/>
        <item m="1" x="691"/>
        <item m="1" x="692"/>
        <item x="63"/>
        <item x="69"/>
        <item m="1" x="693"/>
        <item m="1" x="694"/>
        <item x="48"/>
        <item x="72"/>
        <item x="73"/>
        <item x="74"/>
        <item x="61"/>
        <item x="43"/>
        <item x="41"/>
        <item x="152"/>
        <item m="1" x="695"/>
        <item m="1" x="696"/>
        <item x="157"/>
        <item x="150"/>
        <item m="1" x="681"/>
        <item x="118"/>
        <item x="12"/>
        <item x="107"/>
        <item x="109"/>
        <item x="154"/>
        <item x="155"/>
        <item x="167"/>
        <item m="1" x="697"/>
        <item x="14"/>
        <item m="1" x="665"/>
        <item x="156"/>
        <item m="1" x="698"/>
        <item m="1" x="699"/>
        <item m="1" x="700"/>
        <item m="1" x="701"/>
        <item x="40"/>
        <item m="1" x="702"/>
        <item x="148"/>
        <item m="1" x="703"/>
        <item x="149"/>
        <item m="1" x="704"/>
        <item m="1" x="705"/>
        <item m="1" x="706"/>
        <item m="1" x="707"/>
        <item x="112"/>
        <item x="113"/>
        <item m="1" x="659"/>
        <item m="1" x="660"/>
        <item m="1" x="661"/>
        <item m="1" x="662"/>
        <item x="162"/>
        <item x="178"/>
        <item m="1" x="663"/>
        <item x="159"/>
        <item x="6"/>
        <item x="7"/>
        <item x="8"/>
        <item x="9"/>
        <item x="10"/>
        <item m="1" x="664"/>
        <item x="5"/>
        <item x="119"/>
        <item x="120"/>
        <item x="121"/>
        <item x="124"/>
        <item x="125"/>
        <item x="122"/>
        <item x="123"/>
        <item x="132"/>
        <item x="128"/>
        <item x="129"/>
        <item x="188"/>
        <item x="193"/>
        <item x="130"/>
        <item x="13"/>
        <item x="104"/>
        <item x="91"/>
        <item x="164"/>
        <item m="1" x="678"/>
        <item m="1" x="679"/>
        <item x="196"/>
        <item x="95"/>
        <item x="96"/>
        <item x="176"/>
        <item x="87"/>
        <item x="39"/>
        <item x="98"/>
        <item x="99"/>
        <item x="88"/>
        <item x="102"/>
        <item m="1" x="680"/>
        <item x="100"/>
        <item x="105"/>
        <item x="106"/>
        <item x="97"/>
        <item x="103"/>
        <item x="101"/>
        <item x="92"/>
        <item x="86"/>
        <item x="42"/>
        <item x="111"/>
        <item x="11"/>
        <item x="2"/>
        <item x="198"/>
        <item x="199"/>
        <item x="179"/>
        <item x="114"/>
        <item x="93"/>
        <item x="183"/>
        <item m="1" x="708"/>
        <item x="175"/>
        <item x="177"/>
        <item x="45"/>
        <item x="47"/>
        <item x="49"/>
        <item x="51"/>
        <item x="52"/>
        <item x="53"/>
        <item x="56"/>
        <item x="58"/>
        <item x="62"/>
        <item x="64"/>
        <item x="65"/>
        <item x="60"/>
        <item x="70"/>
        <item x="71"/>
        <item x="75"/>
        <item x="160"/>
        <item x="161"/>
        <item x="151"/>
        <item x="158"/>
        <item x="153"/>
        <item x="163"/>
        <item x="90"/>
        <item x="89"/>
        <item x="165"/>
        <item x="166"/>
        <item x="168"/>
        <item x="169"/>
        <item x="170"/>
        <item x="171"/>
        <item x="172"/>
        <item x="182"/>
        <item x="174"/>
        <item x="184"/>
        <item x="185"/>
        <item x="186"/>
        <item x="187"/>
        <item m="1" x="201"/>
        <item m="1" x="617"/>
        <item m="1" x="618"/>
        <item m="1" x="619"/>
        <item m="1" x="205"/>
        <item m="1" x="206"/>
        <item m="1" x="207"/>
        <item m="1" x="208"/>
        <item m="1" x="209"/>
        <item m="1" x="210"/>
        <item m="1" x="620"/>
        <item m="1" x="621"/>
        <item m="1" x="213"/>
        <item m="1" x="622"/>
        <item m="1" x="623"/>
        <item m="1" x="216"/>
        <item m="1" x="624"/>
        <item m="1" x="625"/>
        <item m="1" x="626"/>
        <item m="1" x="220"/>
        <item m="1" x="221"/>
        <item m="1" x="222"/>
        <item m="1" x="223"/>
        <item m="1" x="627"/>
        <item m="1" x="628"/>
        <item m="1" x="629"/>
        <item m="1" x="227"/>
        <item m="1" x="228"/>
        <item m="1" x="229"/>
        <item m="1" x="230"/>
        <item m="1" x="231"/>
        <item m="1" x="232"/>
        <item m="1" x="630"/>
        <item m="1" x="631"/>
        <item m="1" x="235"/>
        <item m="1" x="632"/>
        <item m="1" x="633"/>
        <item m="1" x="238"/>
        <item m="1" x="239"/>
        <item m="1" x="240"/>
        <item m="1" x="241"/>
        <item m="1" x="242"/>
        <item m="1" x="243"/>
        <item m="1" x="244"/>
        <item m="1" x="245"/>
        <item m="1" x="246"/>
        <item m="1" x="247"/>
        <item x="44"/>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x="76"/>
        <item x="77"/>
        <item x="78"/>
        <item x="79"/>
        <item x="80"/>
        <item x="81"/>
        <item x="82"/>
        <item x="84"/>
        <item x="85"/>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634"/>
        <item m="1" x="635"/>
        <item m="1" x="636"/>
        <item m="1" x="637"/>
        <item m="1" x="638"/>
        <item m="1" x="639"/>
        <item m="1" x="640"/>
        <item m="1" x="641"/>
        <item m="1" x="642"/>
        <item m="1" x="643"/>
        <item m="1" x="644"/>
        <item m="1" x="645"/>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646"/>
        <item m="1" x="647"/>
        <item m="1" x="648"/>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649"/>
        <item m="1" x="650"/>
        <item m="1" x="651"/>
        <item m="1" x="534"/>
        <item m="1" x="535"/>
        <item m="1" x="536"/>
        <item m="1" x="537"/>
        <item m="1" x="538"/>
        <item m="1" x="539"/>
        <item m="1" x="652"/>
        <item m="1" x="541"/>
        <item m="1" x="542"/>
        <item m="1" x="543"/>
        <item m="1" x="544"/>
        <item m="1" x="545"/>
        <item m="1" x="546"/>
        <item m="1" x="547"/>
        <item m="1" x="548"/>
        <item m="1" x="653"/>
        <item m="1" x="654"/>
        <item m="1" x="655"/>
        <item m="1" x="552"/>
        <item m="1" x="553"/>
        <item m="1" x="554"/>
        <item m="1" x="555"/>
        <item m="1" x="656"/>
        <item m="1" x="557"/>
        <item m="1" x="558"/>
        <item m="1" x="559"/>
        <item m="1" x="657"/>
        <item m="1" x="561"/>
        <item m="1" x="562"/>
        <item m="1" x="563"/>
        <item m="1" x="564"/>
        <item m="1" x="565"/>
        <item m="1" x="566"/>
        <item m="1" x="567"/>
        <item m="1" x="568"/>
        <item m="1" x="569"/>
        <item m="1" x="570"/>
        <item m="1" x="571"/>
        <item m="1" x="572"/>
        <item m="1" x="573"/>
        <item m="1" x="574"/>
        <item m="1" x="575"/>
        <item m="1" x="576"/>
        <item m="1" x="577"/>
        <item m="1" x="578"/>
        <item m="1" x="579"/>
        <item m="1" x="658"/>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x="190"/>
        <item x="191"/>
        <item m="1" x="606"/>
        <item m="1" x="607"/>
        <item m="1" x="608"/>
        <item m="1" x="609"/>
        <item m="1" x="610"/>
        <item m="1" x="611"/>
        <item m="1" x="612"/>
        <item m="1" x="613"/>
        <item m="1" x="614"/>
        <item m="1" x="615"/>
        <item m="1" x="616"/>
        <item m="1" x="202"/>
        <item m="1" x="203"/>
        <item m="1" x="204"/>
        <item m="1" x="211"/>
        <item m="1" x="212"/>
        <item m="1" x="214"/>
        <item m="1" x="215"/>
        <item m="1" x="217"/>
        <item m="1" x="218"/>
        <item m="1" x="219"/>
        <item m="1" x="224"/>
        <item m="1" x="225"/>
        <item m="1" x="226"/>
        <item m="1" x="233"/>
        <item m="1" x="234"/>
        <item m="1" x="236"/>
        <item m="1" x="237"/>
        <item m="1" x="377"/>
        <item m="1" x="378"/>
        <item m="1" x="379"/>
        <item m="1" x="380"/>
        <item m="1" x="381"/>
        <item m="1" x="382"/>
        <item m="1" x="383"/>
        <item m="1" x="384"/>
        <item m="1" x="385"/>
        <item m="1" x="386"/>
        <item m="1" x="387"/>
        <item m="1" x="388"/>
        <item m="1" x="428"/>
        <item m="1" x="429"/>
        <item m="1" x="430"/>
        <item m="1" x="531"/>
        <item m="1" x="532"/>
        <item m="1" x="533"/>
        <item m="1" x="540"/>
        <item m="1" x="549"/>
        <item m="1" x="550"/>
        <item m="1" x="551"/>
        <item m="1" x="556"/>
        <item m="1" x="560"/>
        <item m="1" x="580"/>
        <item x="3"/>
        <item x="4"/>
        <item x="94"/>
        <item x="108"/>
        <item x="110"/>
        <item x="115"/>
        <item x="116"/>
        <item x="117"/>
        <item x="194"/>
        <item x="195"/>
        <item x="197"/>
      </items>
      <extLst>
        <ext xmlns:x14="http://schemas.microsoft.com/office/spreadsheetml/2009/9/main" uri="{2946ED86-A175-432a-8AC1-64E0C546D7DE}">
          <x14:pivotField fillDownLabels="1"/>
        </ext>
      </extLst>
    </pivotField>
    <pivotField axis="axisRow" compact="0" outline="0" showAll="0" defaultSubtotal="0">
      <items count="8000">
        <item x="269"/>
        <item m="1" x="4284"/>
        <item m="1" x="4285"/>
        <item m="1" x="4286"/>
        <item m="1" x="4287"/>
        <item m="1" x="4288"/>
        <item m="1" x="4289"/>
        <item m="1" x="4290"/>
        <item m="1" x="4291"/>
        <item m="1" x="4292"/>
        <item m="1" x="4293"/>
        <item m="1" x="1228"/>
        <item m="1" x="4294"/>
        <item m="1" x="4295"/>
        <item m="1" x="4296"/>
        <item m="1" x="6937"/>
        <item m="1" x="6938"/>
        <item m="1" x="6939"/>
        <item m="1" x="6940"/>
        <item m="1" x="6941"/>
        <item m="1" x="1233"/>
        <item m="1" x="1234"/>
        <item m="1" x="1236"/>
        <item m="1" x="1311"/>
        <item m="1" x="1310"/>
        <item m="1" x="1235"/>
        <item m="1" x="1232"/>
        <item m="1" x="7810"/>
        <item m="1" x="7977"/>
        <item m="1" x="7747"/>
        <item m="1" x="7754"/>
        <item m="1" x="7802"/>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745"/>
        <item m="1" x="7746"/>
        <item m="1" x="7748"/>
        <item m="1" x="7749"/>
        <item m="1" x="7750"/>
        <item m="1" x="7751"/>
        <item m="1" x="7752"/>
        <item m="1" x="7753"/>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3"/>
        <item m="1" x="7804"/>
        <item m="1" x="7805"/>
        <item m="1" x="7806"/>
        <item m="1" x="7807"/>
        <item m="1" x="7808"/>
        <item m="1" x="7809"/>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353"/>
        <item m="1" x="7354"/>
        <item m="1" x="7355"/>
        <item m="1" x="7356"/>
        <item m="1" x="7357"/>
        <item m="1" x="7358"/>
        <item m="1" x="7359"/>
        <item m="1" x="7360"/>
        <item m="1" x="7361"/>
        <item m="1" x="7690"/>
        <item m="1" x="7366"/>
        <item m="1" x="7691"/>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83"/>
        <item m="1" x="7484"/>
        <item m="1" x="7485"/>
        <item m="1" x="7486"/>
        <item m="1" x="7487"/>
        <item m="1" x="7488"/>
        <item m="1" x="7489"/>
        <item m="1" x="7490"/>
        <item m="1" x="7491"/>
        <item m="1" x="7492"/>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364"/>
        <item m="1" x="7363"/>
        <item m="1" x="7362"/>
        <item m="1" x="7369"/>
        <item m="1" x="7368"/>
        <item m="1" x="7367"/>
        <item m="1" x="7365"/>
        <item m="1" x="7372"/>
        <item m="1" x="7371"/>
        <item m="1" x="7370"/>
        <item m="1" x="7408"/>
        <item m="1" x="7409"/>
        <item m="1" x="7410"/>
        <item m="1" x="7411"/>
        <item m="1" x="7412"/>
        <item m="1" x="7413"/>
        <item m="1" x="7414"/>
        <item m="1" x="7415"/>
        <item m="1" x="7493"/>
        <item m="1" x="7494"/>
        <item m="1" x="749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6569"/>
        <item m="1" x="6570"/>
        <item m="1" x="6571"/>
        <item m="1" x="6572"/>
        <item m="1" x="6573"/>
        <item m="1" x="6574"/>
        <item m="1" x="6575"/>
        <item m="1" x="6576"/>
        <item m="1" x="6924"/>
        <item m="1" x="6925"/>
        <item m="1" x="6926"/>
        <item m="1" x="6927"/>
        <item m="1" x="6928"/>
        <item m="1" x="6929"/>
        <item m="1" x="6930"/>
        <item m="1" x="6931"/>
        <item m="1" x="6932"/>
        <item m="1" x="6586"/>
        <item m="1" x="6933"/>
        <item m="1" x="6934"/>
        <item m="1" x="6942"/>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7012"/>
        <item m="1" x="7013"/>
        <item m="1" x="7014"/>
        <item m="1" x="7015"/>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935"/>
        <item m="1" x="6936"/>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577"/>
        <item m="1" x="6578"/>
        <item m="1" x="6579"/>
        <item m="1" x="6580"/>
        <item m="1" x="6581"/>
        <item m="1" x="6582"/>
        <item m="1" x="6583"/>
        <item m="1" x="6584"/>
        <item m="1" x="6585"/>
        <item m="1" x="6587"/>
        <item m="1" x="6588"/>
        <item m="1" x="6622"/>
        <item m="1" x="6623"/>
        <item m="1" x="1305"/>
        <item m="1" x="1306"/>
        <item m="1" x="1307"/>
        <item m="1" x="1308"/>
        <item m="1" x="1309"/>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456"/>
        <item m="1" x="5457"/>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041"/>
        <item m="1" x="5042"/>
        <item m="1" x="5043"/>
        <item m="1" x="5044"/>
        <item m="1" x="5045"/>
        <item m="1" x="5046"/>
        <item m="1" x="5047"/>
        <item m="1" x="5048"/>
        <item m="1" x="5049"/>
        <item m="1" x="5050"/>
        <item m="1" x="5051"/>
        <item m="1" x="5052"/>
        <item m="1" x="5053"/>
        <item m="1" x="5054"/>
        <item m="1" x="5055"/>
        <item m="1" x="5056"/>
        <item m="1" x="5057"/>
        <item m="1" x="4838"/>
        <item m="1" x="5058"/>
        <item m="1" x="4840"/>
        <item m="1" x="5059"/>
        <item m="1" x="5060"/>
        <item m="1" x="4843"/>
        <item m="1" x="5061"/>
        <item m="1" x="4845"/>
        <item m="1" x="5062"/>
        <item m="1" x="4847"/>
        <item m="1" x="4848"/>
        <item m="1" x="5063"/>
        <item m="1" x="4850"/>
        <item m="1" x="5064"/>
        <item m="1" x="5065"/>
        <item m="1" x="4853"/>
        <item m="1" x="4854"/>
        <item m="1" x="5066"/>
        <item m="1" x="4856"/>
        <item m="1" x="4857"/>
        <item m="1" x="4858"/>
        <item m="1" x="4859"/>
        <item m="1" x="4860"/>
        <item m="1" x="5067"/>
        <item m="1" x="4862"/>
        <item m="1" x="4863"/>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4973"/>
        <item m="1" x="5177"/>
        <item m="1" x="4975"/>
        <item m="1" x="5178"/>
        <item m="1" x="4977"/>
        <item m="1" x="5179"/>
        <item m="1" x="4979"/>
        <item m="1" x="5180"/>
        <item m="1" x="5181"/>
        <item m="1" x="4982"/>
        <item m="1" x="5182"/>
        <item m="1" x="4984"/>
        <item m="1" x="5183"/>
        <item m="1" x="4986"/>
        <item m="1" x="5184"/>
        <item m="1" x="4988"/>
        <item m="1" x="5185"/>
        <item m="1" x="4990"/>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4821"/>
        <item m="1" x="4822"/>
        <item m="1" x="4823"/>
        <item m="1" x="4824"/>
        <item m="1" x="4825"/>
        <item m="1" x="4826"/>
        <item m="1" x="4827"/>
        <item m="1" x="4828"/>
        <item m="1" x="4829"/>
        <item m="1" x="4830"/>
        <item m="1" x="4831"/>
        <item m="1" x="4832"/>
        <item m="1" x="4833"/>
        <item m="1" x="4834"/>
        <item m="1" x="4835"/>
        <item m="1" x="4836"/>
        <item m="1" x="4837"/>
        <item m="1" x="4839"/>
        <item m="1" x="4841"/>
        <item m="1" x="4842"/>
        <item m="1" x="4844"/>
        <item m="1" x="4846"/>
        <item m="1" x="4849"/>
        <item m="1" x="4851"/>
        <item m="1" x="4852"/>
        <item m="1" x="4855"/>
        <item m="1" x="4861"/>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4"/>
        <item m="1" x="4976"/>
        <item m="1" x="4978"/>
        <item m="1" x="4980"/>
        <item m="1" x="4981"/>
        <item m="1" x="4983"/>
        <item m="1" x="4985"/>
        <item m="1" x="4987"/>
        <item m="1" x="4989"/>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4550"/>
        <item m="1" x="4551"/>
        <item m="1" x="4552"/>
        <item m="1" x="4553"/>
        <item m="1" x="4554"/>
        <item m="1" x="4555"/>
        <item m="1" x="4556"/>
        <item m="1" x="4557"/>
        <item m="1" x="4558"/>
        <item m="1" x="4559"/>
        <item m="1" x="4560"/>
        <item m="1" x="4561"/>
        <item m="1" x="4562"/>
        <item m="1" x="4563"/>
        <item m="1" x="4564"/>
        <item m="1" x="4565"/>
        <item m="1" x="4566"/>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799"/>
        <item m="1" x="4800"/>
        <item m="1" x="4801"/>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802"/>
        <item m="1" x="4803"/>
        <item m="1" x="4804"/>
        <item m="1" x="4805"/>
        <item m="1" x="4806"/>
        <item m="1" x="4807"/>
        <item m="1" x="4808"/>
        <item m="1" x="4809"/>
        <item m="1" x="4810"/>
        <item m="1" x="4811"/>
        <item m="1" x="4812"/>
        <item m="1" x="4813"/>
        <item m="1" x="4814"/>
        <item m="1" x="4815"/>
        <item m="1" x="4816"/>
        <item m="1" x="4817"/>
        <item m="1" x="4818"/>
        <item m="1" x="4819"/>
        <item m="1" x="4720"/>
        <item m="1" x="4721"/>
        <item m="1" x="4722"/>
        <item m="1" x="4723"/>
        <item m="1" x="4724"/>
        <item m="1" x="4725"/>
        <item m="1" x="4726"/>
        <item m="1" x="4727"/>
        <item m="1" x="4728"/>
        <item m="1" x="4729"/>
        <item m="1" x="4654"/>
        <item m="1" x="4730"/>
        <item m="1" x="4731"/>
        <item m="1" x="4732"/>
        <item m="1" x="4733"/>
        <item m="1" x="4734"/>
        <item m="1" x="4735"/>
        <item m="1" x="4736"/>
        <item m="1" x="4737"/>
        <item m="1" x="4738"/>
        <item m="1" x="4739"/>
        <item m="1" x="4740"/>
        <item m="1" x="4741"/>
        <item m="1" x="4742"/>
        <item m="1" x="4743"/>
        <item m="1" x="4744"/>
        <item m="1" x="4745"/>
        <item m="1" x="4746"/>
        <item m="1" x="4747"/>
        <item m="1" x="4655"/>
        <item m="1" x="4748"/>
        <item m="1" x="4749"/>
        <item m="1" x="4750"/>
        <item m="1" x="4751"/>
        <item m="1" x="4752"/>
        <item m="1" x="4753"/>
        <item m="1" x="4754"/>
        <item m="1" x="4755"/>
        <item m="1" x="4756"/>
        <item m="1" x="4757"/>
        <item m="1" x="4758"/>
        <item m="1" x="4759"/>
        <item m="1" x="4760"/>
        <item m="1" x="4761"/>
        <item m="1" x="4762"/>
        <item m="1" x="4763"/>
        <item m="1" x="4764"/>
        <item m="1" x="4765"/>
        <item m="1" x="4766"/>
        <item m="1" x="4820"/>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656"/>
        <item m="1" x="4702"/>
        <item m="1" x="4703"/>
        <item m="1" x="4704"/>
        <item m="1" x="4705"/>
        <item m="1" x="4706"/>
        <item m="1" x="4707"/>
        <item m="1" x="4708"/>
        <item m="1" x="4709"/>
        <item m="1" x="4710"/>
        <item m="1" x="4711"/>
        <item m="1" x="4712"/>
        <item m="1" x="4713"/>
        <item m="1" x="4714"/>
        <item m="1" x="4715"/>
        <item m="1" x="4716"/>
        <item m="1" x="4717"/>
        <item m="1" x="4718"/>
        <item m="1" x="4719"/>
        <item m="1" x="4767"/>
        <item m="1" x="4768"/>
        <item m="1" x="4769"/>
        <item m="1" x="4297"/>
        <item m="1" x="4770"/>
        <item m="1" x="4771"/>
        <item m="1" x="4772"/>
        <item m="1" x="1326"/>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549"/>
        <item m="1" x="4458"/>
        <item m="1" x="4459"/>
        <item m="1" x="4460"/>
        <item m="1" x="4461"/>
        <item m="1" x="4462"/>
        <item m="1" x="4463"/>
        <item m="1" x="4464"/>
        <item m="1" x="4465"/>
        <item m="1" x="4466"/>
        <item m="1" x="4467"/>
        <item m="1" x="4525"/>
        <item m="1" x="4526"/>
        <item m="1" x="4468"/>
        <item m="1" x="4527"/>
        <item m="1" x="4528"/>
        <item m="1" x="4529"/>
        <item m="1" x="4472"/>
        <item m="1" x="4530"/>
        <item m="1" x="4531"/>
        <item m="1" x="4532"/>
        <item m="1" x="4533"/>
        <item m="1" x="4534"/>
        <item m="1" x="4535"/>
        <item m="1" x="4479"/>
        <item m="1" x="4536"/>
        <item m="1" x="4484"/>
        <item m="1" x="4485"/>
        <item m="1" x="4486"/>
        <item m="1" x="4476"/>
        <item m="1" x="4537"/>
        <item m="1" x="4538"/>
        <item m="1" x="4490"/>
        <item m="1" x="4539"/>
        <item m="1" x="4540"/>
        <item m="1" x="4541"/>
        <item m="1" x="4494"/>
        <item m="1" x="4477"/>
        <item m="1" x="4487"/>
        <item m="1" x="4542"/>
        <item m="1" x="4543"/>
        <item m="1" x="4498"/>
        <item m="1" x="4544"/>
        <item m="1" x="4501"/>
        <item m="1" x="4545"/>
        <item m="1" x="4503"/>
        <item m="1" x="4504"/>
        <item m="1" x="4505"/>
        <item m="1" x="4506"/>
        <item m="1" x="4507"/>
        <item m="1" x="4508"/>
        <item m="1" x="4509"/>
        <item m="1" x="4546"/>
        <item m="1" x="4511"/>
        <item m="1" x="4512"/>
        <item m="1" x="4513"/>
        <item m="1" x="4514"/>
        <item m="1" x="4515"/>
        <item m="1" x="4516"/>
        <item m="1" x="4517"/>
        <item m="1" x="4518"/>
        <item m="1" x="4520"/>
        <item m="1" x="4547"/>
        <item m="1" x="4523"/>
        <item m="1" x="4548"/>
        <item m="1" x="4457"/>
        <item m="1" x="4469"/>
        <item m="1" x="4470"/>
        <item m="1" x="4471"/>
        <item m="1" x="4473"/>
        <item m="1" x="4474"/>
        <item m="1" x="4475"/>
        <item m="1" x="4478"/>
        <item m="1" x="4480"/>
        <item m="1" x="4481"/>
        <item m="1" x="4482"/>
        <item m="1" x="4483"/>
        <item m="1" x="4488"/>
        <item m="1" x="4489"/>
        <item m="1" x="4491"/>
        <item m="1" x="4492"/>
        <item m="1" x="4493"/>
        <item m="1" x="4495"/>
        <item m="1" x="4496"/>
        <item m="1" x="4497"/>
        <item m="1" x="4499"/>
        <item m="1" x="4500"/>
        <item m="1" x="4502"/>
        <item m="1" x="4510"/>
        <item m="1" x="4519"/>
        <item m="1" x="4521"/>
        <item m="1" x="4522"/>
        <item m="1" x="4524"/>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1218"/>
        <item m="1" x="1219"/>
        <item m="1" x="1220"/>
        <item m="1" x="1221"/>
        <item m="1" x="1222"/>
        <item m="1" x="1223"/>
        <item m="1" x="1224"/>
        <item m="1" x="1225"/>
        <item m="1" x="1226"/>
        <item m="1" x="1227"/>
        <item m="1" x="1229"/>
        <item m="1" x="1230"/>
        <item m="1" x="1231"/>
        <item m="1" x="1322"/>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20"/>
        <item m="1" x="3621"/>
        <item m="1" x="3622"/>
        <item m="1" x="3623"/>
        <item m="1" x="3624"/>
        <item m="1" x="3625"/>
        <item m="1" x="3626"/>
        <item m="1" x="3627"/>
        <item m="1" x="3628"/>
        <item m="1" x="3629"/>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619"/>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559"/>
        <item m="1" x="3560"/>
        <item m="1" x="3561"/>
        <item m="1" x="3809"/>
        <item m="1" x="3817"/>
        <item m="1" x="3810"/>
        <item m="1" x="3811"/>
        <item m="1" x="3812"/>
        <item m="1" x="3813"/>
        <item m="1" x="3814"/>
        <item m="1" x="3815"/>
        <item m="1" x="3816"/>
        <item m="1" x="363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563"/>
        <item m="1" x="3571"/>
        <item m="1" x="3572"/>
        <item m="1" x="3573"/>
        <item m="1" x="3574"/>
        <item m="1" x="3575"/>
        <item m="1" x="3576"/>
        <item m="1" x="3577"/>
        <item m="1" x="3540"/>
        <item m="1" x="3539"/>
        <item m="1" x="3485"/>
        <item m="1" x="3486"/>
        <item m="1" x="3487"/>
        <item m="1" x="3488"/>
        <item m="1" x="3578"/>
        <item m="1" x="3490"/>
        <item m="1" x="3579"/>
        <item m="1" x="3580"/>
        <item m="1" x="3581"/>
        <item m="1" x="3582"/>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41"/>
        <item m="1" x="3542"/>
        <item m="1" x="3543"/>
        <item m="1" x="3544"/>
        <item m="1" x="3545"/>
        <item m="1" x="3546"/>
        <item m="1" x="3547"/>
        <item m="1" x="3548"/>
        <item m="1" x="3549"/>
        <item m="1" x="3550"/>
        <item m="1" x="3551"/>
        <item m="1" x="3552"/>
        <item m="1" x="3585"/>
        <item m="1" x="3554"/>
        <item m="1" x="3586"/>
        <item m="1" x="3492"/>
        <item m="1" x="3556"/>
        <item m="1" x="3557"/>
        <item m="1" x="3558"/>
        <item m="1" x="3562"/>
        <item m="1" x="3564"/>
        <item m="1" x="3565"/>
        <item m="1" x="3583"/>
        <item m="1" x="3566"/>
        <item m="1" x="3567"/>
        <item m="1" x="3584"/>
        <item m="1" x="3570"/>
        <item m="1" x="3553"/>
        <item m="1" x="3555"/>
        <item x="229"/>
        <item m="1" x="3479"/>
        <item m="1" x="3480"/>
        <item m="1" x="3481"/>
        <item m="1" x="3482"/>
        <item m="1" x="3483"/>
        <item m="1" x="3484"/>
        <item m="1" x="3489"/>
        <item m="1" x="3491"/>
        <item m="1" x="3493"/>
        <item m="1" x="3568"/>
        <item m="1" x="3569"/>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2868"/>
        <item m="1" x="2869"/>
        <item m="1" x="2870"/>
        <item m="1" x="2871"/>
        <item m="1" x="2872"/>
        <item m="1" x="2873"/>
        <item m="1" x="2874"/>
        <item m="1" x="3097"/>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99"/>
        <item m="1" x="3100"/>
        <item m="1" x="3101"/>
        <item m="1" x="3102"/>
        <item m="1" x="3103"/>
        <item m="1" x="3104"/>
        <item m="1" x="3105"/>
        <item m="1" x="310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107"/>
        <item m="1" x="3085"/>
        <item m="1" x="3086"/>
        <item m="1" x="3087"/>
        <item m="1" x="3088"/>
        <item m="1" x="3089"/>
        <item m="1" x="3090"/>
        <item m="1" x="3091"/>
        <item m="1" x="3092"/>
        <item m="1" x="3093"/>
        <item m="1" x="3010"/>
        <item m="1" x="3011"/>
        <item m="1" x="3094"/>
        <item m="1" x="3095"/>
        <item m="1" x="3096"/>
        <item m="1" x="1848"/>
        <item m="1" x="3098"/>
        <item m="1" x="2875"/>
        <item m="1" x="3012"/>
        <item m="1" x="3013"/>
        <item m="1" x="3014"/>
        <item m="1" x="3015"/>
        <item m="1" x="3016"/>
        <item m="1" x="3084"/>
        <item m="1" x="2588"/>
        <item m="1" x="2589"/>
        <item m="1" x="2590"/>
        <item m="1" x="2591"/>
        <item m="1" x="2592"/>
        <item m="1" x="2593"/>
        <item m="1" x="2594"/>
        <item m="1" x="2867"/>
        <item m="1" x="2596"/>
        <item m="1" x="2597"/>
        <item m="1" x="2598"/>
        <item m="1" x="2599"/>
        <item m="1" x="2600"/>
        <item m="1" x="2601"/>
        <item m="1" x="2602"/>
        <item m="1" x="2603"/>
        <item m="1" x="2604"/>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845"/>
        <item m="1" x="2846"/>
        <item m="1" x="2847"/>
        <item m="1" x="2848"/>
        <item m="1" x="2849"/>
        <item m="1" x="2850"/>
        <item m="1" x="2851"/>
        <item m="1" x="2852"/>
        <item m="1" x="2853"/>
        <item m="1" x="2854"/>
        <item m="1" x="2855"/>
        <item m="1" x="2856"/>
        <item m="1" x="2857"/>
        <item m="1" x="2858"/>
        <item m="1" x="2859"/>
        <item m="1" x="2860"/>
        <item m="1" x="2861"/>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62"/>
        <item m="1" x="2863"/>
        <item m="1" x="2864"/>
        <item m="1" x="2865"/>
        <item m="1" x="2809"/>
        <item m="1" x="2810"/>
        <item m="1" x="2811"/>
        <item m="1" x="2812"/>
        <item m="1" x="2813"/>
        <item m="1" x="2814"/>
        <item m="1" x="2815"/>
        <item m="1" x="2866"/>
        <item m="1" x="2595"/>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740"/>
        <item m="1" x="2741"/>
        <item m="1" x="2742"/>
        <item m="1" x="2743"/>
        <item m="1" x="2744"/>
        <item m="1" x="2745"/>
        <item m="1" x="2746"/>
        <item m="1" x="2747"/>
        <item m="1" x="2748"/>
        <item m="1" x="2749"/>
        <item m="1" x="2750"/>
        <item m="1" x="2751"/>
        <item m="1" x="2752"/>
        <item m="1" x="2753"/>
        <item m="1" x="2754"/>
        <item m="1" x="2755"/>
        <item m="1" x="2756"/>
        <item m="1" x="2805"/>
        <item m="1" x="2806"/>
        <item m="1" x="2807"/>
        <item m="1" x="2808"/>
        <item m="1" x="2816"/>
        <item m="1" x="2309"/>
        <item m="1" x="2310"/>
        <item m="1" x="2311"/>
        <item m="1" x="2312"/>
        <item m="1" x="2313"/>
        <item m="1" x="2314"/>
        <item m="1" x="2315"/>
        <item m="1" x="2316"/>
        <item m="1" x="2317"/>
        <item m="1" x="2318"/>
        <item m="1" x="2319"/>
        <item m="1" x="2320"/>
        <item m="1" x="2321"/>
        <item m="1" x="2322"/>
        <item m="1" x="2323"/>
        <item m="1" x="2324"/>
        <item m="1" x="2325"/>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566"/>
        <item m="1" x="2567"/>
        <item m="1" x="2568"/>
        <item m="1" x="2569"/>
        <item m="1" x="2570"/>
        <item m="1" x="2571"/>
        <item m="1" x="2572"/>
        <item m="1" x="2573"/>
        <item m="1" x="2574"/>
        <item m="1" x="2575"/>
        <item m="1" x="2576"/>
        <item m="1" x="2577"/>
        <item m="1" x="2578"/>
        <item m="1" x="2579"/>
        <item m="1" x="2580"/>
        <item m="1" x="2581"/>
        <item m="1" x="2582"/>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83"/>
        <item m="1" x="2584"/>
        <item m="1" x="2585"/>
        <item m="1" x="2586"/>
        <item m="1" x="2530"/>
        <item m="1" x="2531"/>
        <item m="1" x="2532"/>
        <item m="1" x="2533"/>
        <item m="1" x="2534"/>
        <item m="1" x="2535"/>
        <item m="1" x="2536"/>
        <item m="1" x="2587"/>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461"/>
        <item m="1" x="2462"/>
        <item m="1" x="2463"/>
        <item m="1" x="2464"/>
        <item m="1" x="2465"/>
        <item m="1" x="2466"/>
        <item m="1" x="2467"/>
        <item m="1" x="2468"/>
        <item m="1" x="2469"/>
        <item m="1" x="2470"/>
        <item m="1" x="2471"/>
        <item m="1" x="2472"/>
        <item m="1" x="2473"/>
        <item m="1" x="2474"/>
        <item m="1" x="2475"/>
        <item m="1" x="2476"/>
        <item m="1" x="2477"/>
        <item m="1" x="2526"/>
        <item m="1" x="2527"/>
        <item m="1" x="2528"/>
        <item m="1" x="2529"/>
        <item m="1" x="2537"/>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4"/>
        <item m="1" x="2305"/>
        <item m="1" x="2306"/>
        <item m="1" x="2307"/>
        <item m="1" x="2308"/>
        <item m="1" x="2303"/>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332"/>
        <item m="1" x="1067"/>
        <item m="1" x="1068"/>
        <item m="1" x="1069"/>
        <item m="1" x="1070"/>
        <item m="1" x="1071"/>
        <item m="1" x="1072"/>
        <item m="1" x="1073"/>
        <item m="1" x="1331"/>
        <item m="1" x="1075"/>
        <item m="1" x="1076"/>
        <item m="1" x="1077"/>
        <item m="1" x="1078"/>
        <item m="1" x="1079"/>
        <item m="1" x="1080"/>
        <item m="1" x="1081"/>
        <item m="1" x="1082"/>
        <item m="1" x="1083"/>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386"/>
        <item m="1" x="1135"/>
        <item m="1" x="1136"/>
        <item m="1" x="1137"/>
        <item m="1" x="138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364"/>
        <item m="1" x="1365"/>
        <item m="1" x="1366"/>
        <item m="1" x="1367"/>
        <item m="1" x="1368"/>
        <item m="1" x="1369"/>
        <item m="1" x="1370"/>
        <item m="1" x="1371"/>
        <item m="1" x="1372"/>
        <item m="1" x="1373"/>
        <item m="1" x="1374"/>
        <item m="1" x="1375"/>
        <item m="1" x="1376"/>
        <item m="1" x="1377"/>
        <item m="1" x="1378"/>
        <item m="1" x="1379"/>
        <item m="1" x="1380"/>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81"/>
        <item m="1" x="1314"/>
        <item m="1" x="1382"/>
        <item m="1" x="1383"/>
        <item m="1" x="1321"/>
        <item m="1" x="1384"/>
        <item m="1" x="1324"/>
        <item m="1" x="1325"/>
        <item m="1" x="1327"/>
        <item m="1" x="1328"/>
        <item m="1" x="1385"/>
        <item m="1" x="1134"/>
        <item m="1" x="1313"/>
        <item m="1" x="1333"/>
        <item m="1" x="1334"/>
        <item m="1" x="1335"/>
        <item m="1" x="1315"/>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237"/>
        <item m="1" x="1238"/>
        <item m="1" x="1239"/>
        <item m="1" x="1240"/>
        <item m="1" x="1241"/>
        <item m="1" x="1242"/>
        <item m="1" x="1243"/>
        <item m="1" x="1244"/>
        <item m="1" x="1245"/>
        <item m="1" x="1246"/>
        <item m="1" x="1247"/>
        <item m="1" x="1248"/>
        <item m="1" x="1249"/>
        <item m="1" x="1250"/>
        <item m="1" x="1251"/>
        <item m="1" x="1252"/>
        <item m="1" x="1253"/>
        <item m="1" x="1312"/>
        <item m="1" x="1316"/>
        <item m="1" x="1317"/>
        <item m="1" x="1318"/>
        <item m="1" x="1319"/>
        <item m="1" x="1320"/>
        <item m="1" x="1323"/>
        <item m="1" x="1329"/>
        <item m="1" x="1330"/>
        <item m="1" x="1074"/>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742"/>
        <item m="1" x="743"/>
        <item m="1" x="744"/>
        <item m="1" x="745"/>
        <item m="1" x="746"/>
        <item m="1" x="747"/>
        <item m="1" x="748"/>
        <item m="1" x="749"/>
        <item m="1" x="750"/>
        <item m="1" x="751"/>
        <item x="98"/>
        <item m="1" x="752"/>
        <item m="1" x="753"/>
        <item m="1" x="754"/>
        <item x="260"/>
        <item x="0"/>
        <item x="1"/>
        <item x="24"/>
        <item x="254"/>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x="15"/>
        <item x="16"/>
        <item x="17"/>
        <item x="19"/>
        <item x="18"/>
        <item x="21"/>
        <item x="20"/>
        <item m="1" x="1049"/>
        <item m="1" x="1050"/>
        <item m="1" x="1051"/>
        <item m="1" x="1052"/>
        <item m="1" x="1053"/>
        <item m="1" x="1054"/>
        <item m="1" x="1055"/>
        <item m="1" x="1056"/>
        <item m="1" x="1057"/>
        <item m="1" x="1058"/>
        <item m="1" x="777"/>
        <item m="1" x="1059"/>
        <item m="1" x="1060"/>
        <item m="1" x="1061"/>
        <item x="228"/>
        <item m="1" x="1062"/>
        <item m="1" x="1063"/>
        <item m="1" x="1064"/>
        <item m="1" x="1065"/>
        <item m="1" x="1066"/>
        <item x="245"/>
        <item x="22"/>
        <item x="23"/>
        <item x="25"/>
        <item x="26"/>
        <item x="27"/>
        <item x="28"/>
        <item x="29"/>
        <item x="30"/>
        <item x="31"/>
        <item x="32"/>
        <item x="33"/>
        <item x="34"/>
        <item x="35"/>
        <item x="36"/>
        <item x="37"/>
        <item x="38"/>
        <item x="39"/>
        <item x="172"/>
        <item x="161"/>
        <item x="173"/>
        <item x="174"/>
        <item x="175"/>
        <item x="176"/>
        <item x="177"/>
        <item x="178"/>
        <item x="179"/>
        <item x="243"/>
        <item x="244"/>
        <item x="255"/>
        <item x="183"/>
        <item x="184"/>
        <item x="181"/>
        <item x="156"/>
        <item x="182"/>
        <item x="180"/>
        <item x="256"/>
        <item x="164"/>
        <item x="165"/>
        <item x="166"/>
        <item x="167"/>
        <item x="168"/>
        <item x="169"/>
        <item x="170"/>
        <item x="257"/>
        <item x="171"/>
        <item m="1" x="779"/>
        <item m="1" x="780"/>
        <item x="57"/>
        <item m="1" x="781"/>
        <item x="58"/>
        <item x="49"/>
        <item m="1" x="782"/>
        <item x="53"/>
        <item m="1" x="783"/>
        <item x="72"/>
        <item m="1" x="784"/>
        <item x="69"/>
        <item x="70"/>
        <item x="71"/>
        <item m="1" x="785"/>
        <item m="1" x="786"/>
        <item m="1" x="787"/>
        <item x="60"/>
        <item m="1" x="788"/>
        <item m="1" x="789"/>
        <item m="1" x="790"/>
        <item x="66"/>
        <item x="73"/>
        <item m="1" x="791"/>
        <item m="1" x="792"/>
        <item m="1" x="793"/>
        <item m="1" x="794"/>
        <item m="1" x="795"/>
        <item m="1" x="796"/>
        <item x="89"/>
        <item x="84"/>
        <item x="85"/>
        <item x="86"/>
        <item x="87"/>
        <item x="64"/>
        <item m="1" x="797"/>
        <item m="1" x="798"/>
        <item m="1" x="799"/>
        <item m="1" x="800"/>
        <item m="1" x="801"/>
        <item x="77"/>
        <item m="1" x="802"/>
        <item x="81"/>
        <item x="194"/>
        <item x="209"/>
        <item m="1" x="803"/>
        <item x="195"/>
        <item m="1" x="804"/>
        <item m="1" x="805"/>
        <item m="1" x="806"/>
        <item x="189"/>
        <item m="1" x="807"/>
        <item x="201"/>
        <item x="12"/>
        <item x="131"/>
        <item m="1" x="808"/>
        <item m="1" x="809"/>
        <item m="1" x="810"/>
        <item m="1" x="811"/>
        <item m="1" x="812"/>
        <item m="1" x="813"/>
        <item x="14"/>
        <item m="1" x="814"/>
        <item m="1" x="815"/>
        <item m="1" x="816"/>
        <item m="1" x="817"/>
        <item m="1" x="818"/>
        <item x="145"/>
        <item m="1" x="819"/>
        <item m="1" x="820"/>
        <item m="1" x="821"/>
        <item x="185"/>
        <item m="1" x="822"/>
        <item x="186"/>
        <item m="1" x="823"/>
        <item m="1" x="824"/>
        <item m="1" x="737"/>
        <item x="214"/>
        <item x="215"/>
        <item m="1" x="825"/>
        <item m="1" x="826"/>
        <item m="1" x="827"/>
        <item x="139"/>
        <item m="1" x="828"/>
        <item x="140"/>
        <item m="1" x="731"/>
        <item m="1" x="732"/>
        <item m="1" x="733"/>
        <item m="1" x="734"/>
        <item m="1" x="735"/>
        <item m="1" x="736"/>
        <item m="1" x="738"/>
        <item m="1" x="739"/>
        <item x="6"/>
        <item x="7"/>
        <item x="8"/>
        <item x="9"/>
        <item x="10"/>
        <item m="1" x="740"/>
        <item x="5"/>
        <item m="1" x="741"/>
        <item x="147"/>
        <item x="148"/>
        <item x="149"/>
        <item x="150"/>
        <item x="153"/>
        <item x="154"/>
        <item x="151"/>
        <item x="152"/>
        <item x="155"/>
        <item x="162"/>
        <item x="157"/>
        <item x="158"/>
        <item x="253"/>
        <item x="261"/>
        <item x="159"/>
        <item x="160"/>
        <item x="163"/>
        <item x="126"/>
        <item x="127"/>
        <item x="128"/>
        <item x="107"/>
        <item m="1" x="755"/>
        <item m="1" x="756"/>
        <item m="1" x="757"/>
        <item x="264"/>
        <item m="1" x="758"/>
        <item m="1" x="759"/>
        <item x="233"/>
        <item x="103"/>
        <item m="1" x="760"/>
        <item m="1" x="761"/>
        <item m="1" x="762"/>
        <item x="124"/>
        <item x="203"/>
        <item x="116"/>
        <item x="117"/>
        <item x="118"/>
        <item m="1" x="763"/>
        <item x="104"/>
        <item m="1" x="764"/>
        <item m="1" x="765"/>
        <item m="1" x="766"/>
        <item m="1" x="767"/>
        <item x="120"/>
        <item m="1" x="768"/>
        <item m="1" x="769"/>
        <item m="1" x="770"/>
        <item x="115"/>
        <item m="1" x="771"/>
        <item x="235"/>
        <item m="1" x="772"/>
        <item m="1" x="773"/>
        <item m="1" x="774"/>
        <item x="135"/>
        <item x="137"/>
        <item m="1" x="775"/>
        <item x="112"/>
        <item x="113"/>
        <item x="114"/>
        <item x="40"/>
        <item x="41"/>
        <item x="46"/>
        <item x="43"/>
        <item x="45"/>
        <item x="138"/>
        <item x="11"/>
        <item x="2"/>
        <item x="266"/>
        <item x="267"/>
        <item x="231"/>
        <item x="242"/>
        <item x="238"/>
        <item x="239"/>
        <item x="240"/>
        <item x="241"/>
        <item x="110"/>
        <item m="1" x="776"/>
        <item x="248"/>
        <item m="1" x="778"/>
        <item x="234"/>
        <item m="1" x="829"/>
        <item x="198"/>
        <item x="232"/>
        <item x="236"/>
        <item x="237"/>
        <item x="48"/>
        <item x="50"/>
        <item x="51"/>
        <item x="52"/>
        <item x="54"/>
        <item x="55"/>
        <item x="56"/>
        <item x="59"/>
        <item x="61"/>
        <item x="62"/>
        <item x="65"/>
        <item x="67"/>
        <item x="68"/>
        <item x="63"/>
        <item x="74"/>
        <item x="75"/>
        <item x="88"/>
        <item x="90"/>
        <item x="76"/>
        <item x="78"/>
        <item x="79"/>
        <item x="80"/>
        <item x="82"/>
        <item x="83"/>
        <item x="192"/>
        <item x="205"/>
        <item x="206"/>
        <item x="207"/>
        <item x="208"/>
        <item x="191"/>
        <item x="193"/>
        <item x="202"/>
        <item x="204"/>
        <item x="197"/>
        <item x="199"/>
        <item x="200"/>
        <item x="210"/>
        <item x="211"/>
        <item x="187"/>
        <item x="212"/>
        <item x="213"/>
        <item x="188"/>
        <item x="190"/>
        <item x="196"/>
        <item x="141"/>
        <item x="105"/>
        <item x="216"/>
        <item x="217"/>
        <item x="218"/>
        <item x="221"/>
        <item x="222"/>
        <item x="223"/>
        <item x="224"/>
        <item x="225"/>
        <item x="226"/>
        <item x="227"/>
        <item x="247"/>
        <item x="230"/>
        <item x="249"/>
        <item x="250"/>
        <item x="251"/>
        <item x="252"/>
        <item x="268"/>
        <item m="1" x="270"/>
        <item m="1" x="689"/>
        <item m="1" x="690"/>
        <item m="1" x="691"/>
        <item m="1" x="274"/>
        <item m="1" x="275"/>
        <item m="1" x="276"/>
        <item m="1" x="277"/>
        <item m="1" x="278"/>
        <item m="1" x="279"/>
        <item m="1" x="692"/>
        <item m="1" x="693"/>
        <item m="1" x="282"/>
        <item m="1" x="694"/>
        <item m="1" x="695"/>
        <item m="1" x="285"/>
        <item m="1" x="696"/>
        <item m="1" x="697"/>
        <item m="1" x="698"/>
        <item m="1" x="289"/>
        <item m="1" x="290"/>
        <item m="1" x="291"/>
        <item m="1" x="292"/>
        <item m="1" x="699"/>
        <item m="1" x="700"/>
        <item m="1" x="701"/>
        <item m="1" x="296"/>
        <item m="1" x="297"/>
        <item m="1" x="298"/>
        <item m="1" x="299"/>
        <item m="1" x="300"/>
        <item m="1" x="301"/>
        <item m="1" x="702"/>
        <item m="1" x="703"/>
        <item m="1" x="304"/>
        <item m="1" x="704"/>
        <item m="1" x="705"/>
        <item m="1" x="307"/>
        <item m="1" x="308"/>
        <item m="1" x="309"/>
        <item m="1" x="310"/>
        <item m="1" x="311"/>
        <item m="1" x="312"/>
        <item m="1" x="313"/>
        <item m="1" x="314"/>
        <item m="1" x="315"/>
        <item m="1" x="316"/>
        <item x="47"/>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x="91"/>
        <item x="92"/>
        <item x="93"/>
        <item x="94"/>
        <item x="95"/>
        <item x="96"/>
        <item x="97"/>
        <item x="99"/>
        <item x="100"/>
        <item x="101"/>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706"/>
        <item m="1" x="707"/>
        <item m="1" x="708"/>
        <item m="1" x="709"/>
        <item m="1" x="710"/>
        <item m="1" x="711"/>
        <item m="1" x="712"/>
        <item m="1" x="713"/>
        <item m="1" x="714"/>
        <item m="1" x="715"/>
        <item m="1" x="716"/>
        <item m="1" x="71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718"/>
        <item m="1" x="719"/>
        <item m="1" x="720"/>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x="220"/>
        <item m="1" x="598"/>
        <item m="1" x="599"/>
        <item m="1" x="600"/>
        <item m="1" x="601"/>
        <item m="1" x="721"/>
        <item m="1" x="722"/>
        <item m="1" x="723"/>
        <item m="1" x="605"/>
        <item m="1" x="606"/>
        <item m="1" x="607"/>
        <item m="1" x="608"/>
        <item m="1" x="609"/>
        <item m="1" x="610"/>
        <item m="1" x="724"/>
        <item m="1" x="612"/>
        <item m="1" x="613"/>
        <item m="1" x="614"/>
        <item m="1" x="615"/>
        <item m="1" x="616"/>
        <item m="1" x="617"/>
        <item m="1" x="618"/>
        <item m="1" x="619"/>
        <item m="1" x="725"/>
        <item m="1" x="726"/>
        <item m="1" x="727"/>
        <item m="1" x="623"/>
        <item m="1" x="624"/>
        <item m="1" x="625"/>
        <item m="1" x="626"/>
        <item m="1" x="728"/>
        <item m="1" x="628"/>
        <item m="1" x="629"/>
        <item m="1" x="630"/>
        <item m="1" x="729"/>
        <item m="1" x="632"/>
        <item m="1" x="633"/>
        <item m="1" x="634"/>
        <item m="1" x="635"/>
        <item m="1" x="636"/>
        <item m="1" x="637"/>
        <item m="1" x="638"/>
        <item m="1" x="639"/>
        <item m="1" x="640"/>
        <item m="1" x="641"/>
        <item m="1" x="642"/>
        <item m="1" x="643"/>
        <item m="1" x="644"/>
        <item m="1" x="645"/>
        <item m="1" x="646"/>
        <item m="1" x="647"/>
        <item m="1" x="648"/>
        <item m="1" x="649"/>
        <item m="1" x="650"/>
        <item m="1" x="730"/>
        <item m="1" x="652"/>
        <item m="1" x="653"/>
        <item m="1" x="654"/>
        <item m="1" x="655"/>
        <item m="1" x="656"/>
        <item m="1" x="657"/>
        <item x="246"/>
        <item m="1" x="658"/>
        <item m="1" x="659"/>
        <item m="1" x="660"/>
        <item m="1" x="661"/>
        <item m="1" x="662"/>
        <item m="1" x="663"/>
        <item m="1" x="664"/>
        <item m="1" x="665"/>
        <item m="1" x="666"/>
        <item m="1" x="667"/>
        <item m="1" x="668"/>
        <item m="1" x="669"/>
        <item m="1" x="670"/>
        <item m="1" x="671"/>
        <item m="1" x="672"/>
        <item m="1" x="673"/>
        <item m="1" x="674"/>
        <item m="1" x="675"/>
        <item m="1" x="676"/>
        <item m="1" x="677"/>
        <item x="258"/>
        <item x="259"/>
        <item m="1" x="678"/>
        <item m="1" x="679"/>
        <item m="1" x="680"/>
        <item m="1" x="681"/>
        <item m="1" x="682"/>
        <item m="1" x="683"/>
        <item m="1" x="684"/>
        <item m="1" x="685"/>
        <item m="1" x="686"/>
        <item m="1" x="687"/>
        <item m="1" x="688"/>
        <item m="1" x="271"/>
        <item m="1" x="272"/>
        <item m="1" x="273"/>
        <item m="1" x="280"/>
        <item m="1" x="281"/>
        <item m="1" x="283"/>
        <item m="1" x="284"/>
        <item m="1" x="286"/>
        <item m="1" x="287"/>
        <item m="1" x="288"/>
        <item m="1" x="293"/>
        <item m="1" x="294"/>
        <item m="1" x="295"/>
        <item m="1" x="302"/>
        <item m="1" x="303"/>
        <item m="1" x="305"/>
        <item m="1" x="306"/>
        <item m="1" x="446"/>
        <item m="1" x="447"/>
        <item m="1" x="448"/>
        <item m="1" x="449"/>
        <item m="1" x="450"/>
        <item m="1" x="451"/>
        <item m="1" x="452"/>
        <item m="1" x="453"/>
        <item m="1" x="454"/>
        <item m="1" x="455"/>
        <item m="1" x="456"/>
        <item m="1" x="457"/>
        <item m="1" x="499"/>
        <item m="1" x="500"/>
        <item m="1" x="501"/>
        <item m="1" x="602"/>
        <item m="1" x="603"/>
        <item m="1" x="604"/>
        <item m="1" x="611"/>
        <item m="1" x="620"/>
        <item m="1" x="621"/>
        <item m="1" x="622"/>
        <item m="1" x="627"/>
        <item m="1" x="631"/>
        <item m="1" x="651"/>
        <item x="3"/>
        <item x="4"/>
        <item x="13"/>
        <item x="42"/>
        <item x="44"/>
        <item x="102"/>
        <item x="106"/>
        <item x="108"/>
        <item x="109"/>
        <item x="111"/>
        <item x="119"/>
        <item x="121"/>
        <item x="122"/>
        <item x="123"/>
        <item x="125"/>
        <item x="129"/>
        <item x="130"/>
        <item x="132"/>
        <item x="133"/>
        <item x="134"/>
        <item x="136"/>
        <item x="142"/>
        <item x="143"/>
        <item x="144"/>
        <item x="146"/>
        <item x="219"/>
        <item x="262"/>
        <item x="263"/>
        <item x="265"/>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0">
        <item x="4"/>
        <item x="5"/>
        <item x="2"/>
        <item x="0"/>
        <item x="3"/>
        <item m="1" x="9"/>
        <item x="8"/>
        <item x="1"/>
        <item x="6"/>
        <item x="7"/>
      </items>
      <extLst>
        <ext xmlns:x14="http://schemas.microsoft.com/office/spreadsheetml/2009/9/main" uri="{2946ED86-A175-432a-8AC1-64E0C546D7DE}">
          <x14:pivotField fillDownLabels="1"/>
        </ext>
      </extLst>
    </pivotField>
    <pivotField name="Capital _x000a_Cost" compact="0" outline="0" showAll="0" defaultSubtotal="0">
      <extLst>
        <ext xmlns:x14="http://schemas.microsoft.com/office/spreadsheetml/2009/9/main" uri="{2946ED86-A175-432a-8AC1-64E0C546D7DE}">
          <x14:pivotField fillDownLabels="1"/>
        </ext>
      </extLst>
    </pivotField>
    <pivotField name="P.Value (R$/KG)" axis="axisRow" compact="0" outline="0" showAll="0" defaultSubtotal="0">
      <items count="8000">
        <item sd="0" x="230"/>
        <item m="1" x="3644"/>
        <item m="1" x="3645"/>
        <item m="1" x="3646"/>
        <item m="1" x="3647"/>
        <item m="1" x="3648"/>
        <item m="1" x="3649"/>
        <item m="1" x="3650"/>
        <item m="1" x="3651"/>
        <item m="1" x="3652"/>
        <item m="1" x="3653"/>
        <item m="1" x="1103"/>
        <item m="1" x="3654"/>
        <item m="1" x="3655"/>
        <item m="1" x="5993"/>
        <item m="1" x="5994"/>
        <item m="1" x="5995"/>
        <item m="1" x="5996"/>
        <item m="1" x="5997"/>
        <item m="1" x="1107"/>
        <item m="1" x="1108"/>
        <item m="1" x="1171"/>
        <item m="1" x="1170"/>
        <item m="1" x="1109"/>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1106"/>
        <item m="1" x="7918"/>
        <item m="1" x="7919"/>
        <item m="1" x="7920"/>
        <item m="1" x="7921"/>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29"/>
        <item m="1" x="7630"/>
        <item m="1" x="7631"/>
        <item m="1" x="7632"/>
        <item m="1" x="7633"/>
        <item m="1" x="7634"/>
        <item m="1" x="7635"/>
        <item m="1" x="7636"/>
        <item m="1" x="7637"/>
        <item m="1" x="7638"/>
        <item m="1" x="7639"/>
        <item m="1" x="7715"/>
        <item m="1" x="7640"/>
        <item m="1" x="7641"/>
        <item m="1" x="7642"/>
        <item m="1" x="7643"/>
        <item m="1" x="7644"/>
        <item m="1" x="7645"/>
        <item m="1" x="7646"/>
        <item m="1" x="7647"/>
        <item m="1" x="7648"/>
        <item m="1" x="7649"/>
        <item m="1" x="7650"/>
        <item m="1" x="7651"/>
        <item m="1" x="7652"/>
        <item m="1" x="7714"/>
        <item m="1" x="7653"/>
        <item m="1" x="7654"/>
        <item m="1" x="7655"/>
        <item m="1" x="7656"/>
        <item m="1" x="7657"/>
        <item m="1" x="7658"/>
        <item m="1" x="7659"/>
        <item m="1" x="7660"/>
        <item m="1" x="7661"/>
        <item m="1" x="7662"/>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03"/>
        <item m="1" x="7704"/>
        <item m="1" x="7705"/>
        <item m="1" x="7706"/>
        <item m="1" x="7707"/>
        <item m="1" x="7708"/>
        <item m="1" x="7709"/>
        <item m="1" x="7710"/>
        <item m="1" x="7711"/>
        <item m="1" x="7712"/>
        <item m="1" x="7713"/>
        <item m="1" x="7663"/>
        <item m="1" x="7664"/>
        <item m="1" x="7665"/>
        <item m="1" x="7666"/>
        <item m="1" x="7667"/>
        <item m="1" x="7668"/>
        <item m="1" x="7669"/>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83"/>
        <item m="1" x="7484"/>
        <item m="1" x="7548"/>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485"/>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80"/>
        <item m="1" x="7381"/>
        <item m="1" x="7322"/>
        <item m="1" x="7323"/>
        <item m="1" x="7324"/>
        <item m="1" x="7320"/>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9"/>
        <item m="1" x="7321"/>
        <item m="1" x="7377"/>
        <item m="1" x="7378"/>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17"/>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679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6842"/>
        <item m="1" x="7168"/>
        <item m="1" x="7169"/>
        <item m="1" x="7170"/>
        <item m="1" x="7171"/>
        <item m="1" x="6850"/>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3"/>
        <item m="1" x="6844"/>
        <item m="1" x="6845"/>
        <item m="1" x="6846"/>
        <item m="1" x="6847"/>
        <item m="1" x="6848"/>
        <item m="1" x="6849"/>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6402"/>
        <item m="1" x="6403"/>
        <item m="1" x="6404"/>
        <item m="1" x="6405"/>
        <item m="1" x="6406"/>
        <item m="1" x="6407"/>
        <item m="1" x="6408"/>
        <item m="1" x="6409"/>
        <item m="1" x="6410"/>
        <item m="1" x="6733"/>
        <item m="1" x="6415"/>
        <item m="1" x="6734"/>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413"/>
        <item m="1" x="6412"/>
        <item m="1" x="6411"/>
        <item m="1" x="6418"/>
        <item m="1" x="6417"/>
        <item m="1" x="6416"/>
        <item m="1" x="6414"/>
        <item m="1" x="6421"/>
        <item m="1" x="6420"/>
        <item m="1" x="6419"/>
        <item m="1" x="6456"/>
        <item m="1" x="6457"/>
        <item m="1" x="6458"/>
        <item m="1" x="6459"/>
        <item m="1" x="6460"/>
        <item m="1" x="6461"/>
        <item m="1" x="6462"/>
        <item m="1" x="6463"/>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5631"/>
        <item m="1" x="5632"/>
        <item m="1" x="5633"/>
        <item m="1" x="5634"/>
        <item m="1" x="5635"/>
        <item m="1" x="5636"/>
        <item m="1" x="5637"/>
        <item m="1" x="5638"/>
        <item m="1" x="5980"/>
        <item m="1" x="5981"/>
        <item m="1" x="5982"/>
        <item m="1" x="5983"/>
        <item m="1" x="5984"/>
        <item m="1" x="5985"/>
        <item m="1" x="5986"/>
        <item m="1" x="5987"/>
        <item m="1" x="5988"/>
        <item m="1" x="5648"/>
        <item m="1" x="5989"/>
        <item m="1" x="5990"/>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6067"/>
        <item m="1" x="6068"/>
        <item m="1" x="6069"/>
        <item m="1" x="607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991"/>
        <item m="1" x="5992"/>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639"/>
        <item m="1" x="5640"/>
        <item m="1" x="5641"/>
        <item m="1" x="5642"/>
        <item m="1" x="5643"/>
        <item m="1" x="5644"/>
        <item m="1" x="5645"/>
        <item m="1" x="5646"/>
        <item m="1" x="5647"/>
        <item m="1" x="5649"/>
        <item m="1" x="5650"/>
        <item m="1" x="5683"/>
        <item m="1" x="5684"/>
        <item m="1" x="1165"/>
        <item m="1" x="1166"/>
        <item m="1" x="1167"/>
        <item m="1" x="1168"/>
        <item m="1" x="116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260"/>
        <item m="1" x="4261"/>
        <item m="1" x="4262"/>
        <item m="1" x="4263"/>
        <item m="1" x="4264"/>
        <item m="1" x="4265"/>
        <item m="1" x="4266"/>
        <item m="1" x="4267"/>
        <item m="1" x="4268"/>
        <item m="1" x="4269"/>
        <item m="1" x="4270"/>
        <item m="1" x="4271"/>
        <item m="1" x="4272"/>
        <item m="1" x="4273"/>
        <item m="1" x="4274"/>
        <item m="1" x="4275"/>
        <item m="1" x="4094"/>
        <item m="1" x="4276"/>
        <item m="1" x="4096"/>
        <item m="1" x="4277"/>
        <item m="1" x="4098"/>
        <item m="1" x="4278"/>
        <item m="1" x="4100"/>
        <item m="1" x="4279"/>
        <item m="1" x="4102"/>
        <item m="1" x="4280"/>
        <item m="1" x="4281"/>
        <item m="1" x="4105"/>
        <item m="1" x="4106"/>
        <item m="1" x="4282"/>
        <item m="1" x="4108"/>
        <item m="1" x="4109"/>
        <item m="1" x="4283"/>
        <item m="1" x="4111"/>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201"/>
        <item m="1" x="4373"/>
        <item m="1" x="4374"/>
        <item m="1" x="4204"/>
        <item m="1" x="4375"/>
        <item m="1" x="4206"/>
        <item m="1" x="4376"/>
        <item m="1" x="4208"/>
        <item m="1" x="4377"/>
        <item m="1" x="4210"/>
        <item m="1" x="4378"/>
        <item m="1" x="4212"/>
        <item m="1" x="4379"/>
        <item m="1" x="4214"/>
        <item m="1" x="4215"/>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078"/>
        <item m="1" x="4079"/>
        <item m="1" x="4080"/>
        <item m="1" x="4081"/>
        <item m="1" x="4082"/>
        <item m="1" x="4083"/>
        <item m="1" x="4084"/>
        <item m="1" x="4085"/>
        <item m="1" x="4086"/>
        <item m="1" x="4087"/>
        <item m="1" x="4088"/>
        <item m="1" x="4089"/>
        <item m="1" x="4090"/>
        <item m="1" x="4091"/>
        <item m="1" x="4092"/>
        <item m="1" x="4093"/>
        <item m="1" x="4095"/>
        <item m="1" x="4097"/>
        <item m="1" x="4099"/>
        <item m="1" x="4101"/>
        <item m="1" x="4103"/>
        <item m="1" x="4104"/>
        <item m="1" x="4107"/>
        <item m="1" x="4110"/>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2"/>
        <item m="1" x="4203"/>
        <item m="1" x="4205"/>
        <item m="1" x="4207"/>
        <item m="1" x="4209"/>
        <item m="1" x="4211"/>
        <item m="1" x="4213"/>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3858"/>
        <item m="1" x="3859"/>
        <item m="1" x="3860"/>
        <item m="1" x="3861"/>
        <item m="1" x="3862"/>
        <item m="1" x="3863"/>
        <item m="1" x="3864"/>
        <item m="1" x="3865"/>
        <item m="1" x="3866"/>
        <item m="1" x="3867"/>
        <item m="1" x="3868"/>
        <item m="1" x="3869"/>
        <item m="1" x="3870"/>
        <item m="1" x="3871"/>
        <item m="1" x="3872"/>
        <item m="1" x="3873"/>
        <item m="1" x="4044"/>
        <item m="1" x="4045"/>
        <item m="1" x="4046"/>
        <item m="1" x="4047"/>
        <item m="1" x="4048"/>
        <item m="1" x="4049"/>
        <item m="1" x="4050"/>
        <item m="1" x="4051"/>
        <item m="1" x="4052"/>
        <item m="1" x="4053"/>
        <item m="1" x="4054"/>
        <item m="1" x="4055"/>
        <item m="1" x="4056"/>
        <item m="1" x="4057"/>
        <item m="1" x="4058"/>
        <item m="1" x="4059"/>
        <item m="1" x="4060"/>
        <item m="1" x="406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42"/>
        <item m="1" x="3943"/>
        <item m="1" x="3944"/>
        <item m="1" x="3945"/>
        <item m="1" x="3946"/>
        <item m="1" x="3947"/>
        <item m="1" x="3948"/>
        <item m="1" x="3949"/>
        <item m="1" x="3950"/>
        <item m="1" x="3951"/>
        <item m="1" x="3952"/>
        <item m="1" x="3953"/>
        <item m="1" x="3939"/>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4062"/>
        <item m="1" x="4063"/>
        <item m="1" x="4064"/>
        <item m="1" x="4065"/>
        <item m="1" x="4066"/>
        <item m="1" x="4067"/>
        <item m="1" x="4068"/>
        <item m="1" x="4069"/>
        <item m="1" x="4070"/>
        <item m="1" x="4071"/>
        <item m="1" x="4072"/>
        <item m="1" x="4073"/>
        <item m="1" x="4074"/>
        <item m="1" x="4075"/>
        <item m="1" x="4076"/>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77"/>
        <item m="1" x="3874"/>
        <item m="1" x="3875"/>
        <item m="1" x="3876"/>
        <item m="1" x="3877"/>
        <item m="1" x="3878"/>
        <item m="1" x="3879"/>
        <item m="1" x="3880"/>
        <item m="1" x="3881"/>
        <item m="1" x="3882"/>
        <item m="1" x="3883"/>
        <item m="1" x="3884"/>
        <item m="1" x="3885"/>
        <item m="1" x="3886"/>
        <item m="1" x="3887"/>
        <item m="1" x="3888"/>
        <item m="1" x="3889"/>
        <item m="1" x="3890"/>
        <item m="1" x="3891"/>
        <item m="1" x="3940"/>
        <item m="1" x="3941"/>
        <item m="1" x="3983"/>
        <item m="1" x="3984"/>
        <item m="1" x="3985"/>
        <item m="1" x="3986"/>
        <item m="1" x="3987"/>
        <item m="1" x="3988"/>
        <item m="1" x="3989"/>
        <item m="1" x="3990"/>
        <item m="1" x="3991"/>
        <item m="1" x="3992"/>
        <item m="1" x="3993"/>
        <item m="1" x="3994"/>
        <item m="1" x="3995"/>
        <item m="1" x="3996"/>
        <item m="1" x="3997"/>
        <item m="1" x="4041"/>
        <item m="1" x="4042"/>
        <item m="1" x="4043"/>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857"/>
        <item m="1" x="3788"/>
        <item m="1" x="3789"/>
        <item m="1" x="3790"/>
        <item m="1" x="3791"/>
        <item m="1" x="3792"/>
        <item m="1" x="3793"/>
        <item m="1" x="3794"/>
        <item m="1" x="3795"/>
        <item m="1" x="3846"/>
        <item m="1" x="3847"/>
        <item m="1" x="3796"/>
        <item m="1" x="3848"/>
        <item m="1" x="3849"/>
        <item m="1" x="3850"/>
        <item m="1" x="3800"/>
        <item m="1" x="3851"/>
        <item m="1" x="3852"/>
        <item m="1" x="3853"/>
        <item m="1" x="3804"/>
        <item m="1" x="3828"/>
        <item m="1" x="3808"/>
        <item m="1" x="3854"/>
        <item m="1" x="3855"/>
        <item m="1" x="3809"/>
        <item m="1" x="3816"/>
        <item m="1" x="3844"/>
        <item m="1" x="3810"/>
        <item m="1" x="3811"/>
        <item m="1" x="3812"/>
        <item m="1" x="3805"/>
        <item m="1" x="3829"/>
        <item m="1" x="3807"/>
        <item m="1" x="3815"/>
        <item m="1" x="3806"/>
        <item m="1" x="3814"/>
        <item m="1" x="3822"/>
        <item m="1" x="3820"/>
        <item m="1" x="3823"/>
        <item m="1" x="3821"/>
        <item m="1" x="3826"/>
        <item m="1" x="3856"/>
        <item m="1" x="3830"/>
        <item m="1" x="3831"/>
        <item m="1" x="3832"/>
        <item m="1" x="3833"/>
        <item m="1" x="3813"/>
        <item m="1" x="3835"/>
        <item m="1" x="3836"/>
        <item m="1" x="3837"/>
        <item m="1" x="3838"/>
        <item m="1" x="3839"/>
        <item m="1" x="3840"/>
        <item m="1" x="3842"/>
        <item m="1" x="3843"/>
        <item m="1" x="3787"/>
        <item m="1" x="3797"/>
        <item m="1" x="3798"/>
        <item m="1" x="3799"/>
        <item m="1" x="3801"/>
        <item m="1" x="3802"/>
        <item m="1" x="3803"/>
        <item m="1" x="3817"/>
        <item m="1" x="3818"/>
        <item m="1" x="3819"/>
        <item m="1" x="3824"/>
        <item m="1" x="3825"/>
        <item m="1" x="3827"/>
        <item m="1" x="3834"/>
        <item m="1" x="3841"/>
        <item m="1" x="3845"/>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1093"/>
        <item m="1" x="1094"/>
        <item m="1" x="1095"/>
        <item m="1" x="1096"/>
        <item m="1" x="1097"/>
        <item m="1" x="1098"/>
        <item m="1" x="1099"/>
        <item m="1" x="1100"/>
        <item m="1" x="1101"/>
        <item m="1" x="1102"/>
        <item m="1" x="1104"/>
        <item m="1" x="110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3"/>
        <item m="1" x="3094"/>
        <item m="1" x="3095"/>
        <item m="1" x="3096"/>
        <item m="1" x="3097"/>
        <item m="1" x="3098"/>
        <item m="1" x="3099"/>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092"/>
        <item m="1" x="3203"/>
        <item m="1" x="3204"/>
        <item m="1" x="3205"/>
        <item m="1" x="3206"/>
        <item m="1" x="3207"/>
        <item m="1" x="3208"/>
        <item m="1" x="3100"/>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040"/>
        <item m="1" x="3041"/>
        <item m="1" x="3042"/>
        <item m="1" x="3250"/>
        <item m="1" x="3251"/>
        <item m="1" x="3252"/>
        <item m="1" x="3253"/>
        <item m="1" x="3254"/>
        <item m="1" x="32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3048"/>
        <item m="1" x="3049"/>
        <item m="1" x="3050"/>
        <item m="1" x="3051"/>
        <item m="1" x="3052"/>
        <item m="1" x="3053"/>
        <item m="1" x="3054"/>
        <item m="1" x="3055"/>
        <item m="1" x="3056"/>
        <item m="1" x="3057"/>
        <item m="1" x="2978"/>
        <item m="1" x="2979"/>
        <item m="1" x="2980"/>
        <item m="1" x="2981"/>
        <item m="1" x="3058"/>
        <item m="1" x="2983"/>
        <item m="1" x="3059"/>
        <item m="1" x="3060"/>
        <item m="1" x="3061"/>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63"/>
        <item m="1" x="3035"/>
        <item m="1" x="3064"/>
        <item m="1" x="3036"/>
        <item m="1" x="3037"/>
        <item m="1" x="3038"/>
        <item m="1" x="3039"/>
        <item m="1" x="3043"/>
        <item m="1" x="3044"/>
        <item m="1" x="3062"/>
        <item m="1" x="3045"/>
        <item m="1" x="3046"/>
        <item m="1" x="3047"/>
        <item x="197"/>
        <item m="1" x="2968"/>
        <item m="1" x="2969"/>
        <item m="1" x="2970"/>
        <item m="1" x="2971"/>
        <item m="1" x="2972"/>
        <item m="1" x="2973"/>
        <item m="1" x="2974"/>
        <item m="1" x="2975"/>
        <item m="1" x="2976"/>
        <item m="1" x="2977"/>
        <item m="1" x="2982"/>
        <item m="1" x="2984"/>
        <item m="1" x="2985"/>
        <item m="1" x="2986"/>
        <item m="1" x="2987"/>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467"/>
        <item m="1" x="2468"/>
        <item m="1" x="2469"/>
        <item m="1" x="2470"/>
        <item m="1" x="2471"/>
        <item m="1" x="2472"/>
        <item m="1" x="2660"/>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1615"/>
        <item m="1" x="2661"/>
        <item m="1" x="2473"/>
        <item m="1" x="2235"/>
        <item m="1" x="2236"/>
        <item m="1" x="2237"/>
        <item m="1" x="2238"/>
        <item m="1" x="2239"/>
        <item m="1" x="2240"/>
        <item m="1" x="2466"/>
        <item m="1" x="2242"/>
        <item m="1" x="2243"/>
        <item m="1" x="2244"/>
        <item m="1" x="2245"/>
        <item m="1" x="2246"/>
        <item m="1" x="2247"/>
        <item m="1" x="2248"/>
        <item m="1" x="2249"/>
        <item m="1" x="2250"/>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448"/>
        <item m="1" x="2449"/>
        <item m="1" x="2450"/>
        <item m="1" x="2451"/>
        <item m="1" x="2452"/>
        <item m="1" x="2453"/>
        <item m="1" x="2454"/>
        <item m="1" x="2455"/>
        <item m="1" x="2456"/>
        <item m="1" x="2457"/>
        <item m="1" x="2458"/>
        <item m="1" x="2459"/>
        <item m="1" x="2460"/>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61"/>
        <item m="1" x="2462"/>
        <item m="1" x="2463"/>
        <item m="1" x="2464"/>
        <item m="1" x="2423"/>
        <item m="1" x="2424"/>
        <item m="1" x="2425"/>
        <item m="1" x="2426"/>
        <item m="1" x="2465"/>
        <item m="1" x="2241"/>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367"/>
        <item m="1" x="2368"/>
        <item m="1" x="2369"/>
        <item m="1" x="2370"/>
        <item m="1" x="2371"/>
        <item m="1" x="2372"/>
        <item m="1" x="2373"/>
        <item m="1" x="2374"/>
        <item m="1" x="2375"/>
        <item m="1" x="2376"/>
        <item m="1" x="2377"/>
        <item m="1" x="2378"/>
        <item m="1" x="2379"/>
        <item m="1" x="2419"/>
        <item m="1" x="2420"/>
        <item m="1" x="2421"/>
        <item m="1" x="2422"/>
        <item m="1" x="2427"/>
        <item m="1" x="2004"/>
        <item m="1" x="2005"/>
        <item m="1" x="2006"/>
        <item m="1" x="2007"/>
        <item m="1" x="2008"/>
        <item m="1" x="2009"/>
        <item m="1" x="2010"/>
        <item m="1" x="2011"/>
        <item m="1" x="2012"/>
        <item m="1" x="2013"/>
        <item m="1" x="2014"/>
        <item m="1" x="2015"/>
        <item m="1" x="2016"/>
        <item m="1" x="2017"/>
        <item m="1" x="2018"/>
        <item m="1" x="2019"/>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217"/>
        <item m="1" x="2218"/>
        <item m="1" x="2219"/>
        <item m="1" x="2220"/>
        <item m="1" x="2221"/>
        <item m="1" x="2222"/>
        <item m="1" x="2223"/>
        <item m="1" x="2224"/>
        <item m="1" x="2225"/>
        <item m="1" x="2226"/>
        <item m="1" x="2227"/>
        <item m="1" x="2228"/>
        <item m="1" x="2229"/>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230"/>
        <item m="1" x="2231"/>
        <item m="1" x="2232"/>
        <item m="1" x="2233"/>
        <item m="1" x="2192"/>
        <item m="1" x="2193"/>
        <item m="1" x="2194"/>
        <item m="1" x="2195"/>
        <item m="1" x="2234"/>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136"/>
        <item m="1" x="2137"/>
        <item m="1" x="2138"/>
        <item m="1" x="2139"/>
        <item m="1" x="2140"/>
        <item m="1" x="2141"/>
        <item m="1" x="2142"/>
        <item m="1" x="2143"/>
        <item m="1" x="2144"/>
        <item m="1" x="2145"/>
        <item m="1" x="2146"/>
        <item m="1" x="2147"/>
        <item m="1" x="2148"/>
        <item m="1" x="2188"/>
        <item m="1" x="2189"/>
        <item m="1" x="2190"/>
        <item m="1" x="2191"/>
        <item m="1" x="2196"/>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2000"/>
        <item m="1" x="2001"/>
        <item m="1" x="2002"/>
        <item m="1" x="2003"/>
        <item m="1" x="1999"/>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187"/>
        <item m="1" x="962"/>
        <item m="1" x="963"/>
        <item m="1" x="964"/>
        <item m="1" x="965"/>
        <item m="1" x="966"/>
        <item m="1" x="967"/>
        <item m="1" x="1186"/>
        <item m="1" x="969"/>
        <item m="1" x="970"/>
        <item m="1" x="971"/>
        <item m="1" x="972"/>
        <item m="1" x="973"/>
        <item m="1" x="974"/>
        <item m="1" x="975"/>
        <item m="1" x="976"/>
        <item m="1" x="977"/>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226"/>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210"/>
        <item m="1" x="1211"/>
        <item m="1" x="1212"/>
        <item m="1" x="1213"/>
        <item m="1" x="1214"/>
        <item m="1" x="1215"/>
        <item m="1" x="1216"/>
        <item m="1" x="1217"/>
        <item m="1" x="1218"/>
        <item m="1" x="1219"/>
        <item m="1" x="1220"/>
        <item m="1" x="1221"/>
        <item m="1" x="12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223"/>
        <item m="1" x="1180"/>
        <item m="1" x="1224"/>
        <item m="1" x="1182"/>
        <item m="1" x="1183"/>
        <item m="1" x="1184"/>
        <item m="1" x="1225"/>
        <item m="1" x="1019"/>
        <item m="1" x="1173"/>
        <item m="1" x="1188"/>
        <item m="1" x="1179"/>
        <item m="1" x="1189"/>
        <item m="1" x="1174"/>
        <item m="1" x="978"/>
        <item m="1" x="979"/>
        <item m="1" x="980"/>
        <item m="1" x="981"/>
        <item m="1" x="982"/>
        <item m="1" x="983"/>
        <item m="1" x="984"/>
        <item m="1" x="985"/>
        <item m="1" x="986"/>
        <item m="1" x="987"/>
        <item m="1" x="988"/>
        <item m="1" x="989"/>
        <item m="1" x="990"/>
        <item m="1" x="991"/>
        <item m="1" x="992"/>
        <item m="1" x="993"/>
        <item m="1" x="994"/>
        <item m="1" x="995"/>
        <item m="1" x="996"/>
        <item m="1" x="997"/>
        <item m="1" x="1110"/>
        <item m="1" x="1111"/>
        <item m="1" x="1112"/>
        <item m="1" x="1113"/>
        <item m="1" x="1114"/>
        <item m="1" x="1115"/>
        <item m="1" x="1116"/>
        <item m="1" x="1117"/>
        <item m="1" x="1118"/>
        <item m="1" x="1119"/>
        <item m="1" x="1120"/>
        <item m="1" x="1121"/>
        <item m="1" x="1122"/>
        <item m="1" x="1172"/>
        <item m="1" x="1175"/>
        <item m="1" x="1176"/>
        <item m="1" x="1177"/>
        <item m="1" x="1178"/>
        <item m="1" x="1181"/>
        <item m="1" x="1185"/>
        <item m="1" x="968"/>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705"/>
        <item m="1" x="706"/>
        <item m="1" x="707"/>
        <item m="1" x="708"/>
        <item m="1" x="709"/>
        <item m="1" x="710"/>
        <item m="1" x="711"/>
        <item m="1" x="712"/>
        <item m="1" x="713"/>
        <item m="1" x="714"/>
        <item x="87"/>
        <item m="1" x="715"/>
        <item m="1" x="716"/>
        <item x="222"/>
        <item x="0"/>
        <item x="1"/>
        <item x="24"/>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x="15"/>
        <item x="16"/>
        <item x="17"/>
        <item x="19"/>
        <item x="18"/>
        <item x="21"/>
        <item x="20"/>
        <item m="1" x="947"/>
        <item m="1" x="948"/>
        <item m="1" x="949"/>
        <item m="1" x="950"/>
        <item m="1" x="951"/>
        <item m="1" x="952"/>
        <item m="1" x="953"/>
        <item m="1" x="954"/>
        <item m="1" x="955"/>
        <item m="1" x="956"/>
        <item m="1" x="957"/>
        <item m="1" x="958"/>
        <item m="1" x="959"/>
        <item m="1" x="960"/>
        <item m="1" x="961"/>
        <item x="211"/>
        <item x="22"/>
        <item x="23"/>
        <item x="25"/>
        <item x="26"/>
        <item x="27"/>
        <item x="28"/>
        <item x="29"/>
        <item x="30"/>
        <item x="31"/>
        <item x="32"/>
        <item x="33"/>
        <item x="34"/>
        <item x="35"/>
        <item x="36"/>
        <item x="37"/>
        <item x="38"/>
        <item x="149"/>
        <item x="141"/>
        <item x="144"/>
        <item x="150"/>
        <item x="151"/>
        <item x="136"/>
        <item x="152"/>
        <item x="153"/>
        <item x="210"/>
        <item x="157"/>
        <item x="155"/>
        <item x="137"/>
        <item x="156"/>
        <item x="154"/>
        <item x="219"/>
        <item x="145"/>
        <item x="146"/>
        <item x="147"/>
        <item x="148"/>
        <item x="143"/>
        <item m="1" x="723"/>
        <item m="1" x="724"/>
        <item x="58"/>
        <item m="1" x="725"/>
        <item x="59"/>
        <item x="50"/>
        <item m="1" x="726"/>
        <item x="54"/>
        <item x="63"/>
        <item x="72"/>
        <item m="1" x="727"/>
        <item x="61"/>
        <item x="70"/>
        <item x="71"/>
        <item m="1" x="728"/>
        <item m="1" x="729"/>
        <item m="1" x="730"/>
        <item m="1" x="731"/>
        <item m="1" x="732"/>
        <item m="1" x="733"/>
        <item x="67"/>
        <item x="73"/>
        <item m="1" x="734"/>
        <item m="1" x="735"/>
        <item x="52"/>
        <item x="76"/>
        <item x="77"/>
        <item x="78"/>
        <item x="65"/>
        <item x="167"/>
        <item x="181"/>
        <item m="1" x="736"/>
        <item x="168"/>
        <item m="1" x="737"/>
        <item m="1" x="738"/>
        <item x="175"/>
        <item x="162"/>
        <item m="1" x="739"/>
        <item x="174"/>
        <item m="1" x="740"/>
        <item m="1" x="741"/>
        <item m="1" x="742"/>
        <item x="170"/>
        <item x="171"/>
        <item m="1" x="743"/>
        <item m="1" x="744"/>
        <item m="1" x="745"/>
        <item m="1" x="746"/>
        <item m="1" x="747"/>
        <item x="172"/>
        <item m="1" x="748"/>
        <item m="1" x="749"/>
        <item m="1" x="750"/>
        <item m="1" x="751"/>
        <item m="1" x="752"/>
        <item m="1" x="753"/>
        <item x="158"/>
        <item m="1" x="754"/>
        <item x="159"/>
        <item m="1" x="755"/>
        <item m="1" x="756"/>
        <item m="1" x="757"/>
        <item x="184"/>
        <item x="185"/>
        <item m="1" x="758"/>
        <item m="1" x="759"/>
        <item x="186"/>
        <item x="161"/>
        <item m="1" x="692"/>
        <item m="1" x="693"/>
        <item m="1" x="694"/>
        <item m="1" x="695"/>
        <item m="1" x="696"/>
        <item m="1" x="697"/>
        <item m="1" x="698"/>
        <item m="1" x="699"/>
        <item m="1" x="700"/>
        <item m="1" x="701"/>
        <item x="14"/>
        <item x="6"/>
        <item x="7"/>
        <item x="8"/>
        <item x="9"/>
        <item x="10"/>
        <item m="1" x="702"/>
        <item x="5"/>
        <item m="1" x="703"/>
        <item m="1" x="704"/>
        <item x="129"/>
        <item x="130"/>
        <item x="131"/>
        <item x="134"/>
        <item x="135"/>
        <item x="132"/>
        <item x="133"/>
        <item x="142"/>
        <item x="138"/>
        <item x="139"/>
        <item x="218"/>
        <item x="223"/>
        <item x="140"/>
        <item x="93"/>
        <item x="112"/>
        <item x="113"/>
        <item x="96"/>
        <item m="1" x="717"/>
        <item m="1" x="718"/>
        <item m="1" x="719"/>
        <item x="226"/>
        <item x="102"/>
        <item x="103"/>
        <item x="201"/>
        <item x="91"/>
        <item x="100"/>
        <item x="39"/>
        <item x="105"/>
        <item x="106"/>
        <item x="43"/>
        <item x="42"/>
        <item x="107"/>
        <item x="92"/>
        <item x="110"/>
        <item x="47"/>
        <item m="1" x="720"/>
        <item x="108"/>
        <item x="114"/>
        <item x="115"/>
        <item x="104"/>
        <item x="111"/>
        <item x="45"/>
        <item x="116"/>
        <item x="109"/>
        <item x="118"/>
        <item x="98"/>
        <item x="90"/>
        <item x="40"/>
        <item x="41"/>
        <item x="44"/>
        <item x="46"/>
        <item x="120"/>
        <item x="11"/>
        <item x="2"/>
        <item x="228"/>
        <item x="229"/>
        <item x="199"/>
        <item x="209"/>
        <item x="204"/>
        <item x="205"/>
        <item x="206"/>
        <item x="207"/>
        <item x="208"/>
        <item m="1" x="721"/>
        <item x="213"/>
        <item x="202"/>
        <item m="1" x="722"/>
        <item m="1" x="760"/>
        <item x="200"/>
        <item x="203"/>
        <item x="49"/>
        <item x="51"/>
        <item x="53"/>
        <item x="55"/>
        <item x="56"/>
        <item x="57"/>
        <item x="60"/>
        <item x="62"/>
        <item x="66"/>
        <item x="68"/>
        <item x="69"/>
        <item x="64"/>
        <item x="74"/>
        <item x="75"/>
        <item x="79"/>
        <item x="165"/>
        <item x="177"/>
        <item x="178"/>
        <item x="179"/>
        <item x="180"/>
        <item x="164"/>
        <item x="166"/>
        <item x="176"/>
        <item x="173"/>
        <item x="169"/>
        <item x="160"/>
        <item x="182"/>
        <item x="183"/>
        <item x="163"/>
        <item x="187"/>
        <item x="188"/>
        <item x="189"/>
        <item x="190"/>
        <item x="191"/>
        <item x="192"/>
        <item x="193"/>
        <item x="194"/>
        <item x="195"/>
        <item x="196"/>
        <item x="212"/>
        <item x="198"/>
        <item x="214"/>
        <item x="215"/>
        <item x="216"/>
        <item x="217"/>
        <item m="1" x="231"/>
        <item m="1" x="650"/>
        <item m="1" x="651"/>
        <item m="1" x="652"/>
        <item m="1" x="235"/>
        <item m="1" x="236"/>
        <item m="1" x="237"/>
        <item m="1" x="238"/>
        <item m="1" x="239"/>
        <item m="1" x="240"/>
        <item m="1" x="653"/>
        <item m="1" x="654"/>
        <item m="1" x="243"/>
        <item m="1" x="655"/>
        <item m="1" x="656"/>
        <item m="1" x="246"/>
        <item m="1" x="657"/>
        <item m="1" x="658"/>
        <item m="1" x="659"/>
        <item m="1" x="250"/>
        <item m="1" x="251"/>
        <item m="1" x="252"/>
        <item m="1" x="253"/>
        <item m="1" x="660"/>
        <item m="1" x="661"/>
        <item m="1" x="662"/>
        <item m="1" x="257"/>
        <item m="1" x="258"/>
        <item m="1" x="259"/>
        <item m="1" x="260"/>
        <item m="1" x="261"/>
        <item m="1" x="262"/>
        <item m="1" x="663"/>
        <item m="1" x="664"/>
        <item m="1" x="265"/>
        <item m="1" x="665"/>
        <item m="1" x="666"/>
        <item m="1" x="268"/>
        <item m="1" x="269"/>
        <item m="1" x="270"/>
        <item m="1" x="271"/>
        <item m="1" x="272"/>
        <item m="1" x="273"/>
        <item m="1" x="274"/>
        <item m="1" x="275"/>
        <item m="1" x="276"/>
        <item m="1" x="277"/>
        <item x="48"/>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x="80"/>
        <item x="81"/>
        <item x="82"/>
        <item x="83"/>
        <item x="84"/>
        <item x="85"/>
        <item x="86"/>
        <item x="88"/>
        <item x="89"/>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667"/>
        <item m="1" x="668"/>
        <item m="1" x="669"/>
        <item m="1" x="670"/>
        <item m="1" x="671"/>
        <item m="1" x="672"/>
        <item m="1" x="673"/>
        <item m="1" x="674"/>
        <item m="1" x="675"/>
        <item m="1" x="676"/>
        <item m="1" x="677"/>
        <item m="1" x="67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679"/>
        <item m="1" x="680"/>
        <item m="1" x="681"/>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682"/>
        <item m="1" x="683"/>
        <item m="1" x="684"/>
        <item m="1" x="565"/>
        <item m="1" x="566"/>
        <item m="1" x="567"/>
        <item m="1" x="568"/>
        <item m="1" x="569"/>
        <item m="1" x="570"/>
        <item m="1" x="685"/>
        <item m="1" x="572"/>
        <item m="1" x="573"/>
        <item m="1" x="574"/>
        <item m="1" x="575"/>
        <item m="1" x="576"/>
        <item m="1" x="577"/>
        <item m="1" x="578"/>
        <item m="1" x="579"/>
        <item m="1" x="686"/>
        <item m="1" x="687"/>
        <item m="1" x="688"/>
        <item m="1" x="583"/>
        <item m="1" x="584"/>
        <item m="1" x="585"/>
        <item m="1" x="586"/>
        <item m="1" x="689"/>
        <item m="1" x="588"/>
        <item m="1" x="589"/>
        <item m="1" x="590"/>
        <item m="1" x="690"/>
        <item m="1" x="592"/>
        <item m="1" x="593"/>
        <item m="1" x="594"/>
        <item m="1" x="595"/>
        <item m="1" x="596"/>
        <item m="1" x="597"/>
        <item m="1" x="598"/>
        <item m="1" x="599"/>
        <item m="1" x="600"/>
        <item m="1" x="601"/>
        <item m="1" x="602"/>
        <item m="1" x="603"/>
        <item m="1" x="604"/>
        <item m="1" x="605"/>
        <item m="1" x="606"/>
        <item m="1" x="607"/>
        <item m="1" x="608"/>
        <item m="1" x="609"/>
        <item m="1" x="610"/>
        <item m="1" x="611"/>
        <item m="1" x="691"/>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x="220"/>
        <item x="221"/>
        <item m="1" x="639"/>
        <item m="1" x="640"/>
        <item m="1" x="641"/>
        <item m="1" x="642"/>
        <item m="1" x="643"/>
        <item m="1" x="644"/>
        <item m="1" x="645"/>
        <item m="1" x="646"/>
        <item m="1" x="647"/>
        <item m="1" x="648"/>
        <item m="1" x="649"/>
        <item m="1" x="232"/>
        <item m="1" x="233"/>
        <item m="1" x="234"/>
        <item m="1" x="241"/>
        <item m="1" x="242"/>
        <item m="1" x="244"/>
        <item m="1" x="245"/>
        <item m="1" x="247"/>
        <item m="1" x="248"/>
        <item m="1" x="249"/>
        <item m="1" x="254"/>
        <item m="1" x="255"/>
        <item m="1" x="256"/>
        <item m="1" x="263"/>
        <item m="1" x="264"/>
        <item m="1" x="266"/>
        <item m="1" x="267"/>
        <item m="1" x="407"/>
        <item m="1" x="408"/>
        <item m="1" x="409"/>
        <item m="1" x="410"/>
        <item m="1" x="411"/>
        <item m="1" x="412"/>
        <item m="1" x="413"/>
        <item m="1" x="414"/>
        <item m="1" x="415"/>
        <item m="1" x="416"/>
        <item m="1" x="417"/>
        <item m="1" x="418"/>
        <item m="1" x="458"/>
        <item m="1" x="459"/>
        <item m="1" x="460"/>
        <item m="1" x="562"/>
        <item m="1" x="563"/>
        <item m="1" x="564"/>
        <item m="1" x="571"/>
        <item m="1" x="580"/>
        <item m="1" x="581"/>
        <item m="1" x="582"/>
        <item m="1" x="587"/>
        <item m="1" x="591"/>
        <item m="1" x="612"/>
        <item x="3"/>
        <item x="4"/>
        <item x="12"/>
        <item x="13"/>
        <item x="94"/>
        <item x="95"/>
        <item x="97"/>
        <item x="99"/>
        <item x="101"/>
        <item x="117"/>
        <item x="119"/>
        <item x="121"/>
        <item x="122"/>
        <item x="123"/>
        <item x="124"/>
        <item x="125"/>
        <item x="126"/>
        <item x="127"/>
        <item x="128"/>
        <item x="224"/>
        <item x="225"/>
        <item x="227"/>
      </items>
      <extLst>
        <ext xmlns:x14="http://schemas.microsoft.com/office/spreadsheetml/2009/9/main" uri="{2946ED86-A175-432a-8AC1-64E0C546D7DE}">
          <x14:pivotField fillDownLabels="1"/>
        </ext>
      </extLst>
    </pivotField>
    <pivotField name="P.Value (R$/M2)" axis="axisRow" compact="0" outline="0" showAll="0" defaultSubtotal="0">
      <items count="8000">
        <item x="280"/>
        <item m="1" x="4465"/>
        <item m="1" x="4466"/>
        <item m="1" x="4467"/>
        <item m="1" x="4468"/>
        <item m="1" x="4469"/>
        <item m="1" x="4470"/>
        <item m="1" x="4471"/>
        <item m="1" x="4472"/>
        <item m="1" x="4473"/>
        <item m="1" x="4474"/>
        <item m="1" x="1269"/>
        <item m="1" x="4475"/>
        <item m="1" x="4476"/>
        <item m="1" x="4477"/>
        <item m="1" x="7164"/>
        <item m="1" x="7165"/>
        <item m="1" x="7166"/>
        <item m="1" x="7167"/>
        <item m="1" x="7168"/>
        <item m="1" x="1274"/>
        <item m="1" x="1275"/>
        <item m="1" x="1277"/>
        <item m="1" x="1356"/>
        <item m="1" x="1355"/>
        <item m="1" x="1276"/>
        <item m="1" x="1273"/>
        <item m="1" x="7981"/>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2"/>
        <item m="1" x="7983"/>
        <item m="1" x="7984"/>
        <item m="1" x="7985"/>
        <item m="1" x="7986"/>
        <item m="1" x="7987"/>
        <item m="1" x="7988"/>
        <item m="1" x="7989"/>
        <item m="1" x="7990"/>
        <item m="1" x="7991"/>
        <item m="1" x="7992"/>
        <item m="1" x="7993"/>
        <item m="1" x="7994"/>
        <item m="1" x="7995"/>
        <item m="1" x="7996"/>
        <item m="1" x="7997"/>
        <item m="1" x="7998"/>
        <item m="1" x="7999"/>
        <item m="1" x="7580"/>
        <item m="1" x="7581"/>
        <item m="1" x="7582"/>
        <item m="1" x="7583"/>
        <item m="1" x="7584"/>
        <item m="1" x="7585"/>
        <item m="1" x="7586"/>
        <item m="1" x="7587"/>
        <item m="1" x="7588"/>
        <item m="1" x="7917"/>
        <item m="1" x="7593"/>
        <item m="1" x="7918"/>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29"/>
        <item m="1" x="7630"/>
        <item m="1" x="7631"/>
        <item m="1" x="7632"/>
        <item m="1" x="7633"/>
        <item m="1" x="7634"/>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591"/>
        <item m="1" x="7590"/>
        <item m="1" x="7589"/>
        <item m="1" x="7596"/>
        <item m="1" x="7595"/>
        <item m="1" x="7594"/>
        <item m="1" x="7592"/>
        <item m="1" x="7599"/>
        <item m="1" x="7598"/>
        <item m="1" x="7597"/>
        <item m="1" x="7635"/>
        <item m="1" x="7636"/>
        <item m="1" x="7637"/>
        <item m="1" x="7638"/>
        <item m="1" x="7639"/>
        <item m="1" x="7640"/>
        <item m="1" x="7641"/>
        <item m="1" x="7642"/>
        <item m="1" x="7720"/>
        <item m="1" x="7721"/>
        <item m="1" x="772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6796"/>
        <item m="1" x="6797"/>
        <item m="1" x="6798"/>
        <item m="1" x="6799"/>
        <item m="1" x="6800"/>
        <item m="1" x="6801"/>
        <item m="1" x="6802"/>
        <item m="1" x="6803"/>
        <item m="1" x="7151"/>
        <item m="1" x="7152"/>
        <item m="1" x="7153"/>
        <item m="1" x="7154"/>
        <item m="1" x="7155"/>
        <item m="1" x="7156"/>
        <item m="1" x="7157"/>
        <item m="1" x="7158"/>
        <item m="1" x="7159"/>
        <item m="1" x="6813"/>
        <item m="1" x="7160"/>
        <item m="1" x="7161"/>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038"/>
        <item m="1" x="7039"/>
        <item m="1" x="7040"/>
        <item m="1" x="7041"/>
        <item m="1" x="7042"/>
        <item m="1" x="7043"/>
        <item m="1" x="7044"/>
        <item m="1" x="7045"/>
        <item m="1" x="7046"/>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239"/>
        <item m="1" x="7240"/>
        <item m="1" x="7241"/>
        <item m="1" x="7242"/>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848"/>
        <item m="1" x="7162"/>
        <item m="1" x="7163"/>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6804"/>
        <item m="1" x="6805"/>
        <item m="1" x="6806"/>
        <item m="1" x="6807"/>
        <item m="1" x="6808"/>
        <item m="1" x="6809"/>
        <item m="1" x="6810"/>
        <item m="1" x="6811"/>
        <item m="1" x="6812"/>
        <item m="1" x="6814"/>
        <item m="1" x="6815"/>
        <item m="1" x="6849"/>
        <item m="1" x="6850"/>
        <item m="1" x="1350"/>
        <item m="1" x="1351"/>
        <item m="1" x="1352"/>
        <item m="1" x="1353"/>
        <item m="1" x="1354"/>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448"/>
        <item m="1" x="5449"/>
        <item m="1" x="5450"/>
        <item m="1" x="5451"/>
        <item m="1" x="5452"/>
        <item m="1" x="5453"/>
        <item m="1" x="5454"/>
        <item m="1" x="5455"/>
        <item m="1" x="5456"/>
        <item m="1" x="5457"/>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248"/>
        <item m="1" x="5249"/>
        <item m="1" x="5250"/>
        <item m="1" x="5251"/>
        <item m="1" x="5252"/>
        <item m="1" x="5253"/>
        <item m="1" x="5254"/>
        <item m="1" x="5255"/>
        <item m="1" x="5256"/>
        <item m="1" x="5257"/>
        <item m="1" x="5258"/>
        <item m="1" x="5259"/>
        <item m="1" x="5260"/>
        <item m="1" x="5261"/>
        <item m="1" x="5262"/>
        <item m="1" x="5263"/>
        <item m="1" x="5264"/>
        <item m="1" x="5040"/>
        <item m="1" x="5265"/>
        <item m="1" x="5042"/>
        <item m="1" x="5266"/>
        <item m="1" x="5267"/>
        <item m="1" x="5045"/>
        <item m="1" x="5268"/>
        <item m="1" x="5047"/>
        <item m="1" x="5269"/>
        <item m="1" x="5049"/>
        <item m="1" x="5050"/>
        <item m="1" x="5270"/>
        <item m="1" x="5052"/>
        <item m="1" x="5271"/>
        <item m="1" x="5272"/>
        <item m="1" x="5055"/>
        <item m="1" x="5056"/>
        <item m="1" x="5273"/>
        <item m="1" x="5058"/>
        <item m="1" x="5059"/>
        <item m="1" x="5060"/>
        <item m="1" x="5061"/>
        <item m="1" x="5062"/>
        <item m="1" x="5274"/>
        <item m="1" x="5064"/>
        <item m="1" x="5065"/>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175"/>
        <item m="1" x="5384"/>
        <item m="1" x="5177"/>
        <item m="1" x="5385"/>
        <item m="1" x="5179"/>
        <item m="1" x="5386"/>
        <item m="1" x="5181"/>
        <item m="1" x="5387"/>
        <item m="1" x="5388"/>
        <item m="1" x="5184"/>
        <item m="1" x="5389"/>
        <item m="1" x="5186"/>
        <item m="1" x="5390"/>
        <item m="1" x="5188"/>
        <item m="1" x="5391"/>
        <item m="1" x="5190"/>
        <item m="1" x="5392"/>
        <item m="1" x="51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023"/>
        <item m="1" x="5024"/>
        <item m="1" x="5025"/>
        <item m="1" x="5026"/>
        <item m="1" x="5027"/>
        <item m="1" x="5028"/>
        <item m="1" x="5029"/>
        <item m="1" x="5030"/>
        <item m="1" x="5031"/>
        <item m="1" x="5032"/>
        <item m="1" x="5033"/>
        <item m="1" x="5034"/>
        <item m="1" x="5035"/>
        <item m="1" x="5036"/>
        <item m="1" x="5037"/>
        <item m="1" x="5038"/>
        <item m="1" x="5039"/>
        <item m="1" x="5041"/>
        <item m="1" x="5043"/>
        <item m="1" x="5044"/>
        <item m="1" x="5046"/>
        <item m="1" x="5048"/>
        <item m="1" x="5051"/>
        <item m="1" x="5053"/>
        <item m="1" x="5054"/>
        <item m="1" x="5057"/>
        <item m="1" x="5063"/>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6"/>
        <item m="1" x="5178"/>
        <item m="1" x="5180"/>
        <item m="1" x="5182"/>
        <item m="1" x="5183"/>
        <item m="1" x="5185"/>
        <item m="1" x="5187"/>
        <item m="1" x="5189"/>
        <item m="1" x="5191"/>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4743"/>
        <item m="1" x="4744"/>
        <item m="1" x="4745"/>
        <item m="1" x="4746"/>
        <item m="1" x="4747"/>
        <item m="1" x="4748"/>
        <item m="1" x="4749"/>
        <item m="1" x="4750"/>
        <item m="1" x="4751"/>
        <item m="1" x="4752"/>
        <item m="1" x="4753"/>
        <item m="1" x="4754"/>
        <item m="1" x="4755"/>
        <item m="1" x="4756"/>
        <item m="1" x="4757"/>
        <item m="1" x="4758"/>
        <item m="1" x="4759"/>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5001"/>
        <item m="1" x="5002"/>
        <item m="1" x="5003"/>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5004"/>
        <item m="1" x="5005"/>
        <item m="1" x="5006"/>
        <item m="1" x="5007"/>
        <item m="1" x="5008"/>
        <item m="1" x="5009"/>
        <item m="1" x="5010"/>
        <item m="1" x="5011"/>
        <item m="1" x="5012"/>
        <item m="1" x="5013"/>
        <item m="1" x="5014"/>
        <item m="1" x="5015"/>
        <item m="1" x="5016"/>
        <item m="1" x="5017"/>
        <item m="1" x="5018"/>
        <item m="1" x="5019"/>
        <item m="1" x="5020"/>
        <item m="1" x="5021"/>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5022"/>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847"/>
        <item m="1" x="4848"/>
        <item m="1" x="4849"/>
        <item m="1" x="4895"/>
        <item m="1" x="4896"/>
        <item m="1" x="4897"/>
        <item m="1" x="4898"/>
        <item m="1" x="4899"/>
        <item m="1" x="4900"/>
        <item m="1" x="4901"/>
        <item m="1" x="4902"/>
        <item m="1" x="4903"/>
        <item m="1" x="4904"/>
        <item m="1" x="4905"/>
        <item m="1" x="4906"/>
        <item m="1" x="4907"/>
        <item m="1" x="4908"/>
        <item m="1" x="4909"/>
        <item m="1" x="4910"/>
        <item m="1" x="4911"/>
        <item m="1" x="4912"/>
        <item m="1" x="4967"/>
        <item m="1" x="4968"/>
        <item m="1" x="4969"/>
        <item m="1" x="4970"/>
        <item m="1" x="4478"/>
        <item m="1" x="4971"/>
        <item m="1" x="4972"/>
        <item m="1" x="4973"/>
        <item m="1" x="4974"/>
        <item m="1" x="1373"/>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742"/>
        <item m="1" x="4639"/>
        <item m="1" x="4640"/>
        <item m="1" x="4641"/>
        <item m="1" x="4642"/>
        <item m="1" x="4643"/>
        <item m="1" x="4644"/>
        <item m="1" x="4645"/>
        <item m="1" x="4646"/>
        <item m="1" x="4647"/>
        <item m="1" x="4648"/>
        <item m="1" x="4716"/>
        <item m="1" x="4717"/>
        <item m="1" x="4649"/>
        <item m="1" x="4718"/>
        <item m="1" x="4719"/>
        <item m="1" x="4720"/>
        <item m="1" x="4653"/>
        <item m="1" x="4721"/>
        <item m="1" x="4722"/>
        <item m="1" x="4723"/>
        <item m="1" x="4657"/>
        <item m="1" x="4724"/>
        <item m="1" x="4661"/>
        <item m="1" x="4725"/>
        <item m="1" x="4726"/>
        <item m="1" x="4662"/>
        <item m="1" x="4727"/>
        <item m="1" x="4711"/>
        <item m="1" x="4667"/>
        <item m="1" x="4668"/>
        <item m="1" x="4669"/>
        <item m="1" x="4658"/>
        <item m="1" x="4728"/>
        <item m="1" x="4729"/>
        <item m="1" x="4697"/>
        <item m="1" x="4673"/>
        <item m="1" x="4730"/>
        <item m="1" x="4731"/>
        <item m="1" x="4732"/>
        <item m="1" x="4677"/>
        <item m="1" x="4659"/>
        <item m="1" x="4670"/>
        <item m="1" x="4680"/>
        <item m="1" x="4733"/>
        <item m="1" x="4734"/>
        <item m="1" x="4735"/>
        <item m="1" x="4684"/>
        <item m="1" x="4736"/>
        <item m="1" x="4688"/>
        <item m="1" x="4737"/>
        <item m="1" x="4690"/>
        <item m="1" x="4691"/>
        <item m="1" x="4692"/>
        <item m="1" x="4693"/>
        <item m="1" x="4694"/>
        <item m="1" x="4695"/>
        <item m="1" x="4696"/>
        <item m="1" x="4738"/>
        <item m="1" x="4739"/>
        <item m="1" x="4699"/>
        <item m="1" x="4700"/>
        <item m="1" x="4701"/>
        <item m="1" x="4702"/>
        <item m="1" x="4703"/>
        <item m="1" x="4704"/>
        <item m="1" x="4705"/>
        <item m="1" x="4706"/>
        <item m="1" x="4707"/>
        <item m="1" x="4709"/>
        <item m="1" x="4710"/>
        <item m="1" x="4740"/>
        <item m="1" x="4714"/>
        <item m="1" x="4741"/>
        <item m="1" x="4638"/>
        <item m="1" x="4650"/>
        <item m="1" x="4651"/>
        <item m="1" x="4652"/>
        <item m="1" x="4654"/>
        <item m="1" x="4655"/>
        <item m="1" x="4656"/>
        <item m="1" x="4660"/>
        <item m="1" x="4663"/>
        <item m="1" x="4664"/>
        <item m="1" x="4665"/>
        <item m="1" x="4666"/>
        <item m="1" x="4671"/>
        <item m="1" x="4672"/>
        <item m="1" x="4674"/>
        <item m="1" x="4675"/>
        <item m="1" x="4676"/>
        <item m="1" x="4678"/>
        <item m="1" x="4679"/>
        <item m="1" x="4681"/>
        <item m="1" x="4682"/>
        <item m="1" x="4683"/>
        <item m="1" x="4685"/>
        <item m="1" x="4686"/>
        <item m="1" x="4687"/>
        <item m="1" x="4689"/>
        <item m="1" x="4698"/>
        <item m="1" x="4708"/>
        <item m="1" x="4712"/>
        <item m="1" x="4713"/>
        <item m="1" x="4715"/>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1259"/>
        <item m="1" x="1260"/>
        <item m="1" x="1261"/>
        <item m="1" x="1262"/>
        <item m="1" x="1263"/>
        <item m="1" x="1264"/>
        <item m="1" x="1265"/>
        <item m="1" x="1266"/>
        <item m="1" x="1267"/>
        <item m="1" x="1268"/>
        <item m="1" x="1270"/>
        <item m="1" x="1271"/>
        <item m="1" x="1272"/>
        <item m="1" x="1367"/>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7"/>
        <item m="1" x="3778"/>
        <item m="1" x="3779"/>
        <item m="1" x="3780"/>
        <item m="1" x="3781"/>
        <item m="1" x="3782"/>
        <item m="1" x="3783"/>
        <item m="1" x="3784"/>
        <item m="1" x="3785"/>
        <item m="1" x="3786"/>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776"/>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711"/>
        <item m="1" x="3712"/>
        <item m="1" x="3713"/>
        <item m="1" x="3971"/>
        <item m="1" x="3982"/>
        <item m="1" x="3972"/>
        <item m="1" x="3973"/>
        <item m="1" x="3974"/>
        <item m="1" x="3975"/>
        <item m="1" x="3976"/>
        <item m="1" x="3977"/>
        <item m="1" x="3978"/>
        <item m="1" x="3979"/>
        <item m="1" x="3980"/>
        <item m="1" x="3981"/>
        <item m="1" x="3787"/>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725"/>
        <item m="1" x="3726"/>
        <item m="1" x="3727"/>
        <item m="1" x="3728"/>
        <item m="1" x="3729"/>
        <item m="1" x="3730"/>
        <item m="1" x="3731"/>
        <item m="1" x="3732"/>
        <item m="1" x="3733"/>
        <item m="1" x="3734"/>
        <item m="1" x="3632"/>
        <item m="1" x="3633"/>
        <item m="1" x="3634"/>
        <item m="1" x="3635"/>
        <item m="1" x="3735"/>
        <item m="1" x="3637"/>
        <item m="1" x="3736"/>
        <item m="1" x="3737"/>
        <item m="1" x="3738"/>
        <item m="1" x="3739"/>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42"/>
        <item m="1" x="3704"/>
        <item m="1" x="3743"/>
        <item m="1" x="3706"/>
        <item m="1" x="3707"/>
        <item m="1" x="3708"/>
        <item m="1" x="3709"/>
        <item m="1" x="3710"/>
        <item m="1" x="3714"/>
        <item m="1" x="3715"/>
        <item m="1" x="3716"/>
        <item m="1" x="3717"/>
        <item m="1" x="3740"/>
        <item m="1" x="3718"/>
        <item m="1" x="3719"/>
        <item m="1" x="3720"/>
        <item m="1" x="3721"/>
        <item m="1" x="3741"/>
        <item m="1" x="3724"/>
        <item m="1" x="3703"/>
        <item m="1" x="3705"/>
        <item x="237"/>
        <item m="1" x="3622"/>
        <item m="1" x="3623"/>
        <item m="1" x="3624"/>
        <item m="1" x="3625"/>
        <item m="1" x="3626"/>
        <item m="1" x="3627"/>
        <item m="1" x="3628"/>
        <item m="1" x="3629"/>
        <item m="1" x="3630"/>
        <item m="1" x="3631"/>
        <item m="1" x="3636"/>
        <item m="1" x="3638"/>
        <item m="1" x="3639"/>
        <item m="1" x="3640"/>
        <item m="1" x="3641"/>
        <item m="1" x="3722"/>
        <item m="1" x="3723"/>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2988"/>
        <item m="1" x="2989"/>
        <item m="1" x="2990"/>
        <item m="1" x="2991"/>
        <item m="1" x="2992"/>
        <item m="1" x="2993"/>
        <item m="1" x="2994"/>
        <item m="1" x="3229"/>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231"/>
        <item m="1" x="3232"/>
        <item m="1" x="3233"/>
        <item m="1" x="3234"/>
        <item m="1" x="3235"/>
        <item m="1" x="3236"/>
        <item m="1" x="3237"/>
        <item m="1" x="3238"/>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39"/>
        <item m="1" x="3215"/>
        <item m="1" x="3216"/>
        <item m="1" x="3217"/>
        <item m="1" x="3218"/>
        <item m="1" x="3219"/>
        <item m="1" x="3220"/>
        <item m="1" x="3221"/>
        <item m="1" x="3222"/>
        <item m="1" x="3223"/>
        <item m="1" x="3224"/>
        <item m="1" x="3225"/>
        <item m="1" x="3134"/>
        <item m="1" x="3135"/>
        <item m="1" x="3226"/>
        <item m="1" x="3227"/>
        <item m="1" x="3228"/>
        <item m="1" x="1920"/>
        <item m="1" x="3230"/>
        <item m="1" x="2995"/>
        <item m="1" x="3136"/>
        <item m="1" x="3137"/>
        <item m="1" x="3138"/>
        <item m="1" x="3139"/>
        <item m="1" x="3140"/>
        <item m="1" x="3141"/>
        <item m="1" x="3214"/>
        <item m="1" x="2696"/>
        <item m="1" x="2697"/>
        <item m="1" x="2698"/>
        <item m="1" x="2699"/>
        <item m="1" x="2700"/>
        <item m="1" x="2701"/>
        <item m="1" x="2702"/>
        <item m="1" x="2987"/>
        <item m="1" x="2704"/>
        <item m="1" x="2705"/>
        <item m="1" x="2706"/>
        <item m="1" x="2707"/>
        <item m="1" x="2708"/>
        <item m="1" x="2709"/>
        <item m="1" x="2710"/>
        <item m="1" x="2711"/>
        <item m="1" x="2712"/>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965"/>
        <item m="1" x="2966"/>
        <item m="1" x="2967"/>
        <item m="1" x="2968"/>
        <item m="1" x="2969"/>
        <item m="1" x="2970"/>
        <item m="1" x="2971"/>
        <item m="1" x="2972"/>
        <item m="1" x="2973"/>
        <item m="1" x="2974"/>
        <item m="1" x="2975"/>
        <item m="1" x="2976"/>
        <item m="1" x="2977"/>
        <item m="1" x="2978"/>
        <item m="1" x="2979"/>
        <item m="1" x="2980"/>
        <item m="1" x="2981"/>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82"/>
        <item m="1" x="2983"/>
        <item m="1" x="2984"/>
        <item m="1" x="2985"/>
        <item m="1" x="2927"/>
        <item m="1" x="2928"/>
        <item m="1" x="2929"/>
        <item m="1" x="2930"/>
        <item m="1" x="2931"/>
        <item m="1" x="2932"/>
        <item m="1" x="2933"/>
        <item m="1" x="2934"/>
        <item m="1" x="2935"/>
        <item m="1" x="2986"/>
        <item m="1" x="2703"/>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854"/>
        <item m="1" x="2855"/>
        <item m="1" x="2856"/>
        <item m="1" x="2857"/>
        <item m="1" x="2858"/>
        <item m="1" x="2859"/>
        <item m="1" x="2860"/>
        <item m="1" x="2861"/>
        <item m="1" x="2862"/>
        <item m="1" x="2863"/>
        <item m="1" x="2864"/>
        <item m="1" x="2865"/>
        <item m="1" x="2866"/>
        <item m="1" x="2867"/>
        <item m="1" x="2868"/>
        <item m="1" x="2869"/>
        <item m="1" x="2870"/>
        <item m="1" x="2923"/>
        <item m="1" x="2924"/>
        <item m="1" x="2925"/>
        <item m="1" x="2926"/>
        <item m="1" x="2936"/>
        <item m="1" x="2405"/>
        <item m="1" x="2406"/>
        <item m="1" x="2407"/>
        <item m="1" x="2408"/>
        <item m="1" x="2409"/>
        <item m="1" x="2410"/>
        <item m="1" x="2411"/>
        <item m="1" x="2412"/>
        <item m="1" x="2413"/>
        <item m="1" x="2414"/>
        <item m="1" x="2415"/>
        <item m="1" x="2416"/>
        <item m="1" x="2417"/>
        <item m="1" x="2418"/>
        <item m="1" x="2419"/>
        <item m="1" x="2420"/>
        <item m="1" x="2421"/>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674"/>
        <item m="1" x="2675"/>
        <item m="1" x="2676"/>
        <item m="1" x="2677"/>
        <item m="1" x="2678"/>
        <item m="1" x="2679"/>
        <item m="1" x="2680"/>
        <item m="1" x="2681"/>
        <item m="1" x="2682"/>
        <item m="1" x="2683"/>
        <item m="1" x="2684"/>
        <item m="1" x="2685"/>
        <item m="1" x="2686"/>
        <item m="1" x="2687"/>
        <item m="1" x="2688"/>
        <item m="1" x="2689"/>
        <item m="1" x="2690"/>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91"/>
        <item m="1" x="2692"/>
        <item m="1" x="2693"/>
        <item m="1" x="2694"/>
        <item m="1" x="2636"/>
        <item m="1" x="2637"/>
        <item m="1" x="2638"/>
        <item m="1" x="2639"/>
        <item m="1" x="2640"/>
        <item m="1" x="2641"/>
        <item m="1" x="2642"/>
        <item m="1" x="2643"/>
        <item m="1" x="2644"/>
        <item m="1" x="2695"/>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563"/>
        <item m="1" x="2564"/>
        <item m="1" x="2565"/>
        <item m="1" x="2566"/>
        <item m="1" x="2567"/>
        <item m="1" x="2568"/>
        <item m="1" x="2569"/>
        <item m="1" x="2570"/>
        <item m="1" x="2571"/>
        <item m="1" x="2572"/>
        <item m="1" x="2573"/>
        <item m="1" x="2574"/>
        <item m="1" x="2575"/>
        <item m="1" x="2576"/>
        <item m="1" x="2577"/>
        <item m="1" x="2578"/>
        <item m="1" x="2579"/>
        <item m="1" x="2632"/>
        <item m="1" x="2633"/>
        <item m="1" x="2634"/>
        <item m="1" x="2635"/>
        <item m="1" x="2645"/>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8"/>
        <item m="1" x="2399"/>
        <item m="1" x="2400"/>
        <item m="1" x="2401"/>
        <item m="1" x="2402"/>
        <item m="1" x="2403"/>
        <item m="1" x="2404"/>
        <item m="1" x="2397"/>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379"/>
        <item m="1" x="1102"/>
        <item m="1" x="1103"/>
        <item m="1" x="1104"/>
        <item m="1" x="1105"/>
        <item m="1" x="1106"/>
        <item m="1" x="1107"/>
        <item m="1" x="1108"/>
        <item m="1" x="1378"/>
        <item m="1" x="1110"/>
        <item m="1" x="1111"/>
        <item m="1" x="1112"/>
        <item m="1" x="1113"/>
        <item m="1" x="1114"/>
        <item m="1" x="1115"/>
        <item m="1" x="1116"/>
        <item m="1" x="1117"/>
        <item m="1" x="1118"/>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434"/>
        <item m="1" x="1170"/>
        <item m="1" x="1171"/>
        <item m="1" x="1172"/>
        <item m="1" x="1435"/>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412"/>
        <item m="1" x="1413"/>
        <item m="1" x="1414"/>
        <item m="1" x="1415"/>
        <item m="1" x="1416"/>
        <item m="1" x="1417"/>
        <item m="1" x="1418"/>
        <item m="1" x="1419"/>
        <item m="1" x="1420"/>
        <item m="1" x="1421"/>
        <item m="1" x="1422"/>
        <item m="1" x="1423"/>
        <item m="1" x="1424"/>
        <item m="1" x="1425"/>
        <item m="1" x="1426"/>
        <item m="1" x="1427"/>
        <item m="1" x="1428"/>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429"/>
        <item m="1" x="1359"/>
        <item m="1" x="1430"/>
        <item m="1" x="1431"/>
        <item m="1" x="1366"/>
        <item m="1" x="1432"/>
        <item m="1" x="1369"/>
        <item m="1" x="1370"/>
        <item m="1" x="1371"/>
        <item m="1" x="1372"/>
        <item m="1" x="1374"/>
        <item m="1" x="1375"/>
        <item m="1" x="1433"/>
        <item m="1" x="1169"/>
        <item m="1" x="1358"/>
        <item m="1" x="1380"/>
        <item m="1" x="1381"/>
        <item m="1" x="1382"/>
        <item m="1" x="1360"/>
        <item m="1" x="1383"/>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278"/>
        <item m="1" x="1279"/>
        <item m="1" x="1280"/>
        <item m="1" x="1281"/>
        <item m="1" x="1282"/>
        <item m="1" x="1283"/>
        <item m="1" x="1284"/>
        <item m="1" x="1285"/>
        <item m="1" x="1286"/>
        <item m="1" x="1287"/>
        <item m="1" x="1288"/>
        <item m="1" x="1289"/>
        <item m="1" x="1290"/>
        <item m="1" x="1291"/>
        <item m="1" x="1292"/>
        <item m="1" x="1293"/>
        <item m="1" x="1294"/>
        <item m="1" x="1357"/>
        <item m="1" x="1361"/>
        <item m="1" x="1362"/>
        <item m="1" x="1363"/>
        <item m="1" x="1364"/>
        <item m="1" x="1365"/>
        <item m="1" x="1368"/>
        <item m="1" x="1376"/>
        <item m="1" x="1377"/>
        <item m="1" x="1109"/>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757"/>
        <item m="1" x="758"/>
        <item m="1" x="759"/>
        <item m="1" x="760"/>
        <item m="1" x="761"/>
        <item m="1" x="762"/>
        <item m="1" x="763"/>
        <item m="1" x="764"/>
        <item m="1" x="765"/>
        <item m="1" x="766"/>
        <item x="100"/>
        <item m="1" x="767"/>
        <item m="1" x="768"/>
        <item m="1" x="769"/>
        <item x="271"/>
        <item x="0"/>
        <item x="1"/>
        <item x="24"/>
        <item x="265"/>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x="15"/>
        <item x="16"/>
        <item x="17"/>
        <item x="19"/>
        <item x="18"/>
        <item x="21"/>
        <item x="20"/>
        <item m="1" x="1082"/>
        <item m="1" x="1083"/>
        <item m="1" x="1084"/>
        <item m="1" x="1085"/>
        <item m="1" x="1086"/>
        <item m="1" x="1087"/>
        <item m="1" x="1088"/>
        <item m="1" x="1089"/>
        <item m="1" x="1090"/>
        <item m="1" x="1091"/>
        <item m="1" x="793"/>
        <item m="1" x="1092"/>
        <item m="1" x="1093"/>
        <item m="1" x="1094"/>
        <item m="1" x="1095"/>
        <item m="1" x="1096"/>
        <item x="236"/>
        <item m="1" x="1097"/>
        <item m="1" x="1098"/>
        <item m="1" x="1099"/>
        <item m="1" x="1100"/>
        <item m="1" x="1101"/>
        <item x="256"/>
        <item x="22"/>
        <item x="23"/>
        <item x="25"/>
        <item x="26"/>
        <item x="27"/>
        <item x="28"/>
        <item x="29"/>
        <item x="30"/>
        <item x="31"/>
        <item x="32"/>
        <item x="33"/>
        <item x="34"/>
        <item x="35"/>
        <item x="36"/>
        <item x="37"/>
        <item x="38"/>
        <item x="39"/>
        <item x="177"/>
        <item x="166"/>
        <item x="178"/>
        <item x="179"/>
        <item x="180"/>
        <item x="181"/>
        <item x="182"/>
        <item x="183"/>
        <item x="184"/>
        <item x="254"/>
        <item x="255"/>
        <item x="266"/>
        <item x="188"/>
        <item x="189"/>
        <item x="186"/>
        <item x="161"/>
        <item x="187"/>
        <item x="185"/>
        <item x="267"/>
        <item x="169"/>
        <item x="170"/>
        <item x="171"/>
        <item x="172"/>
        <item x="173"/>
        <item x="174"/>
        <item x="175"/>
        <item x="268"/>
        <item x="176"/>
        <item m="1" x="796"/>
        <item m="1" x="797"/>
        <item x="59"/>
        <item m="1" x="798"/>
        <item x="60"/>
        <item x="51"/>
        <item m="1" x="799"/>
        <item x="55"/>
        <item m="1" x="800"/>
        <item x="74"/>
        <item m="1" x="801"/>
        <item x="71"/>
        <item x="72"/>
        <item x="73"/>
        <item m="1" x="802"/>
        <item m="1" x="803"/>
        <item m="1" x="804"/>
        <item x="62"/>
        <item m="1" x="805"/>
        <item m="1" x="806"/>
        <item m="1" x="807"/>
        <item x="68"/>
        <item x="75"/>
        <item m="1" x="808"/>
        <item m="1" x="809"/>
        <item m="1" x="810"/>
        <item m="1" x="811"/>
        <item m="1" x="812"/>
        <item m="1" x="813"/>
        <item x="91"/>
        <item x="86"/>
        <item x="87"/>
        <item x="88"/>
        <item x="89"/>
        <item x="66"/>
        <item m="1" x="814"/>
        <item m="1" x="815"/>
        <item m="1" x="816"/>
        <item m="1" x="817"/>
        <item m="1" x="818"/>
        <item x="79"/>
        <item m="1" x="819"/>
        <item x="83"/>
        <item x="199"/>
        <item x="214"/>
        <item m="1" x="820"/>
        <item x="200"/>
        <item m="1" x="821"/>
        <item m="1" x="822"/>
        <item m="1" x="823"/>
        <item x="194"/>
        <item m="1" x="824"/>
        <item x="206"/>
        <item m="1" x="825"/>
        <item m="1" x="826"/>
        <item m="1" x="827"/>
        <item m="1" x="828"/>
        <item m="1" x="829"/>
        <item m="1" x="830"/>
        <item m="1" x="831"/>
        <item m="1" x="832"/>
        <item m="1" x="833"/>
        <item m="1" x="834"/>
        <item m="1" x="835"/>
        <item m="1" x="836"/>
        <item m="1" x="837"/>
        <item m="1" x="838"/>
        <item m="1" x="839"/>
        <item m="1" x="840"/>
        <item m="1" x="841"/>
        <item m="1" x="842"/>
        <item x="190"/>
        <item m="1" x="843"/>
        <item x="191"/>
        <item m="1" x="844"/>
        <item m="1" x="845"/>
        <item m="1" x="846"/>
        <item x="219"/>
        <item x="220"/>
        <item m="1" x="847"/>
        <item m="1" x="848"/>
        <item m="1" x="849"/>
        <item x="221"/>
        <item m="1" x="850"/>
        <item m="1" x="851"/>
        <item m="1" x="744"/>
        <item m="1" x="745"/>
        <item m="1" x="746"/>
        <item m="1" x="747"/>
        <item m="1" x="748"/>
        <item m="1" x="749"/>
        <item m="1" x="750"/>
        <item m="1" x="751"/>
        <item m="1" x="752"/>
        <item m="1" x="753"/>
        <item x="14"/>
        <item x="6"/>
        <item x="7"/>
        <item x="8"/>
        <item x="9"/>
        <item x="10"/>
        <item m="1" x="754"/>
        <item x="5"/>
        <item m="1" x="755"/>
        <item m="1" x="756"/>
        <item x="152"/>
        <item x="153"/>
        <item x="154"/>
        <item x="155"/>
        <item x="158"/>
        <item x="159"/>
        <item x="156"/>
        <item x="157"/>
        <item x="160"/>
        <item x="167"/>
        <item x="162"/>
        <item x="163"/>
        <item x="264"/>
        <item x="272"/>
        <item x="164"/>
        <item x="165"/>
        <item x="168"/>
        <item x="130"/>
        <item x="131"/>
        <item x="132"/>
        <item x="110"/>
        <item m="1" x="770"/>
        <item m="1" x="771"/>
        <item m="1" x="772"/>
        <item x="275"/>
        <item m="1" x="773"/>
        <item m="1" x="774"/>
        <item x="241"/>
        <item x="105"/>
        <item x="114"/>
        <item m="1" x="775"/>
        <item m="1" x="776"/>
        <item m="1" x="777"/>
        <item x="128"/>
        <item x="242"/>
        <item x="120"/>
        <item x="121"/>
        <item x="122"/>
        <item m="1" x="778"/>
        <item x="106"/>
        <item m="1" x="779"/>
        <item m="1" x="780"/>
        <item m="1" x="781"/>
        <item m="1" x="782"/>
        <item x="124"/>
        <item m="1" x="783"/>
        <item m="1" x="784"/>
        <item m="1" x="785"/>
        <item x="119"/>
        <item m="1" x="786"/>
        <item x="244"/>
        <item x="135"/>
        <item m="1" x="787"/>
        <item m="1" x="788"/>
        <item m="1" x="789"/>
        <item x="139"/>
        <item x="141"/>
        <item m="1" x="790"/>
        <item x="116"/>
        <item x="117"/>
        <item x="118"/>
        <item x="40"/>
        <item x="41"/>
        <item x="48"/>
        <item x="42"/>
        <item m="1" x="791"/>
        <item x="45"/>
        <item x="47"/>
        <item x="142"/>
        <item x="11"/>
        <item x="2"/>
        <item x="277"/>
        <item x="278"/>
        <item x="239"/>
        <item x="253"/>
        <item x="248"/>
        <item x="249"/>
        <item x="250"/>
        <item x="251"/>
        <item x="252"/>
        <item m="1" x="792"/>
        <item x="259"/>
        <item x="245"/>
        <item m="1" x="794"/>
        <item m="1" x="795"/>
        <item x="243"/>
        <item m="1" x="852"/>
        <item x="203"/>
        <item x="240"/>
        <item x="246"/>
        <item x="247"/>
        <item x="50"/>
        <item x="52"/>
        <item x="53"/>
        <item x="54"/>
        <item x="56"/>
        <item x="57"/>
        <item x="58"/>
        <item x="61"/>
        <item x="63"/>
        <item x="64"/>
        <item x="67"/>
        <item x="69"/>
        <item x="70"/>
        <item x="65"/>
        <item x="76"/>
        <item x="77"/>
        <item x="90"/>
        <item x="92"/>
        <item x="78"/>
        <item x="80"/>
        <item x="81"/>
        <item x="82"/>
        <item x="84"/>
        <item x="85"/>
        <item x="197"/>
        <item x="210"/>
        <item x="211"/>
        <item x="212"/>
        <item x="213"/>
        <item x="196"/>
        <item x="198"/>
        <item x="207"/>
        <item x="208"/>
        <item x="209"/>
        <item x="202"/>
        <item x="204"/>
        <item x="205"/>
        <item x="215"/>
        <item x="216"/>
        <item x="192"/>
        <item x="217"/>
        <item x="218"/>
        <item x="193"/>
        <item x="195"/>
        <item x="201"/>
        <item x="222"/>
        <item x="223"/>
        <item x="224"/>
        <item x="225"/>
        <item x="226"/>
        <item x="229"/>
        <item x="230"/>
        <item x="231"/>
        <item x="232"/>
        <item x="233"/>
        <item x="234"/>
        <item x="235"/>
        <item x="258"/>
        <item x="238"/>
        <item x="260"/>
        <item x="261"/>
        <item x="262"/>
        <item x="263"/>
        <item x="279"/>
        <item m="1" x="281"/>
        <item m="1" x="702"/>
        <item m="1" x="703"/>
        <item m="1" x="704"/>
        <item m="1" x="285"/>
        <item m="1" x="286"/>
        <item m="1" x="287"/>
        <item m="1" x="288"/>
        <item m="1" x="289"/>
        <item m="1" x="290"/>
        <item m="1" x="705"/>
        <item m="1" x="706"/>
        <item m="1" x="293"/>
        <item m="1" x="707"/>
        <item m="1" x="708"/>
        <item m="1" x="296"/>
        <item m="1" x="709"/>
        <item m="1" x="710"/>
        <item m="1" x="711"/>
        <item m="1" x="300"/>
        <item m="1" x="301"/>
        <item m="1" x="302"/>
        <item m="1" x="303"/>
        <item m="1" x="712"/>
        <item m="1" x="713"/>
        <item m="1" x="714"/>
        <item m="1" x="307"/>
        <item m="1" x="308"/>
        <item m="1" x="309"/>
        <item m="1" x="310"/>
        <item m="1" x="311"/>
        <item m="1" x="312"/>
        <item m="1" x="715"/>
        <item m="1" x="716"/>
        <item m="1" x="315"/>
        <item m="1" x="717"/>
        <item m="1" x="718"/>
        <item m="1" x="318"/>
        <item m="1" x="319"/>
        <item m="1" x="320"/>
        <item m="1" x="321"/>
        <item m="1" x="322"/>
        <item m="1" x="323"/>
        <item m="1" x="324"/>
        <item m="1" x="325"/>
        <item m="1" x="326"/>
        <item m="1" x="327"/>
        <item x="49"/>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x="93"/>
        <item x="94"/>
        <item x="95"/>
        <item x="96"/>
        <item x="97"/>
        <item x="98"/>
        <item x="99"/>
        <item x="101"/>
        <item x="102"/>
        <item x="103"/>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719"/>
        <item m="1" x="720"/>
        <item m="1" x="721"/>
        <item m="1" x="722"/>
        <item m="1" x="723"/>
        <item m="1" x="724"/>
        <item m="1" x="725"/>
        <item m="1" x="726"/>
        <item m="1" x="727"/>
        <item m="1" x="728"/>
        <item m="1" x="729"/>
        <item m="1" x="730"/>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731"/>
        <item m="1" x="732"/>
        <item m="1" x="733"/>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x="228"/>
        <item m="1" x="610"/>
        <item m="1" x="611"/>
        <item m="1" x="612"/>
        <item m="1" x="613"/>
        <item m="1" x="734"/>
        <item m="1" x="735"/>
        <item m="1" x="736"/>
        <item m="1" x="617"/>
        <item m="1" x="618"/>
        <item m="1" x="619"/>
        <item m="1" x="620"/>
        <item m="1" x="621"/>
        <item m="1" x="622"/>
        <item m="1" x="737"/>
        <item m="1" x="624"/>
        <item m="1" x="625"/>
        <item m="1" x="626"/>
        <item m="1" x="627"/>
        <item m="1" x="628"/>
        <item m="1" x="629"/>
        <item m="1" x="630"/>
        <item m="1" x="631"/>
        <item m="1" x="738"/>
        <item m="1" x="739"/>
        <item m="1" x="740"/>
        <item m="1" x="635"/>
        <item m="1" x="636"/>
        <item m="1" x="637"/>
        <item m="1" x="638"/>
        <item m="1" x="741"/>
        <item m="1" x="640"/>
        <item m="1" x="641"/>
        <item m="1" x="642"/>
        <item m="1" x="742"/>
        <item m="1" x="644"/>
        <item m="1" x="645"/>
        <item m="1" x="646"/>
        <item m="1" x="647"/>
        <item m="1" x="648"/>
        <item m="1" x="649"/>
        <item m="1" x="650"/>
        <item m="1" x="651"/>
        <item m="1" x="652"/>
        <item m="1" x="653"/>
        <item m="1" x="654"/>
        <item m="1" x="655"/>
        <item m="1" x="656"/>
        <item m="1" x="657"/>
        <item m="1" x="658"/>
        <item m="1" x="659"/>
        <item m="1" x="660"/>
        <item m="1" x="661"/>
        <item m="1" x="662"/>
        <item m="1" x="663"/>
        <item m="1" x="743"/>
        <item m="1" x="665"/>
        <item m="1" x="666"/>
        <item m="1" x="667"/>
        <item m="1" x="668"/>
        <item m="1" x="669"/>
        <item m="1" x="670"/>
        <item x="257"/>
        <item m="1" x="671"/>
        <item m="1" x="672"/>
        <item m="1" x="673"/>
        <item m="1" x="674"/>
        <item m="1" x="675"/>
        <item m="1" x="676"/>
        <item m="1" x="677"/>
        <item m="1" x="678"/>
        <item m="1" x="679"/>
        <item m="1" x="680"/>
        <item m="1" x="681"/>
        <item m="1" x="682"/>
        <item m="1" x="683"/>
        <item m="1" x="684"/>
        <item m="1" x="685"/>
        <item m="1" x="686"/>
        <item m="1" x="687"/>
        <item m="1" x="688"/>
        <item m="1" x="689"/>
        <item m="1" x="690"/>
        <item x="269"/>
        <item x="270"/>
        <item m="1" x="691"/>
        <item m="1" x="692"/>
        <item m="1" x="693"/>
        <item m="1" x="694"/>
        <item m="1" x="695"/>
        <item m="1" x="696"/>
        <item m="1" x="697"/>
        <item m="1" x="698"/>
        <item m="1" x="699"/>
        <item m="1" x="700"/>
        <item m="1" x="701"/>
        <item m="1" x="282"/>
        <item m="1" x="283"/>
        <item m="1" x="284"/>
        <item m="1" x="291"/>
        <item m="1" x="292"/>
        <item m="1" x="294"/>
        <item m="1" x="295"/>
        <item m="1" x="297"/>
        <item m="1" x="298"/>
        <item m="1" x="299"/>
        <item m="1" x="304"/>
        <item m="1" x="305"/>
        <item m="1" x="306"/>
        <item m="1" x="313"/>
        <item m="1" x="314"/>
        <item m="1" x="316"/>
        <item m="1" x="317"/>
        <item m="1" x="457"/>
        <item m="1" x="458"/>
        <item m="1" x="459"/>
        <item m="1" x="460"/>
        <item m="1" x="461"/>
        <item m="1" x="462"/>
        <item m="1" x="463"/>
        <item m="1" x="464"/>
        <item m="1" x="465"/>
        <item m="1" x="466"/>
        <item m="1" x="467"/>
        <item m="1" x="468"/>
        <item m="1" x="510"/>
        <item m="1" x="511"/>
        <item m="1" x="512"/>
        <item m="1" x="614"/>
        <item m="1" x="615"/>
        <item m="1" x="616"/>
        <item m="1" x="623"/>
        <item m="1" x="632"/>
        <item m="1" x="633"/>
        <item m="1" x="634"/>
        <item m="1" x="639"/>
        <item m="1" x="643"/>
        <item m="1" x="664"/>
        <item x="3"/>
        <item x="4"/>
        <item x="12"/>
        <item x="13"/>
        <item x="43"/>
        <item x="44"/>
        <item x="46"/>
        <item x="104"/>
        <item x="107"/>
        <item x="108"/>
        <item x="109"/>
        <item x="111"/>
        <item x="112"/>
        <item x="113"/>
        <item x="115"/>
        <item x="123"/>
        <item x="125"/>
        <item x="126"/>
        <item x="127"/>
        <item x="129"/>
        <item x="133"/>
        <item x="134"/>
        <item x="136"/>
        <item x="137"/>
        <item x="138"/>
        <item x="140"/>
        <item x="143"/>
        <item x="144"/>
        <item x="145"/>
        <item x="146"/>
        <item x="147"/>
        <item x="148"/>
        <item x="149"/>
        <item x="150"/>
        <item x="151"/>
        <item x="227"/>
        <item x="273"/>
        <item x="274"/>
        <item x="276"/>
      </items>
      <extLst>
        <ext xmlns:x14="http://schemas.microsoft.com/office/spreadsheetml/2009/9/main" uri="{2946ED86-A175-432a-8AC1-64E0C546D7DE}">
          <x14:pivotField fillDownLabels="1"/>
        </ext>
      </extLst>
    </pivotField>
  </pivotFields>
  <rowFields count="15">
    <field x="1"/>
    <field x="3"/>
    <field x="2"/>
    <field x="5"/>
    <field x="23"/>
    <field x="72"/>
    <field x="13"/>
    <field x="22"/>
    <field x="81"/>
    <field x="82"/>
    <field x="12"/>
    <field x="85"/>
    <field x="87"/>
    <field x="88"/>
    <field x="73"/>
  </rowFields>
  <rowItems count="418">
    <i>
      <x/>
      <x/>
      <x v="5"/>
      <x v="2"/>
      <x v="2"/>
      <x v="56"/>
      <x v="2"/>
      <x v="14"/>
      <x v="7484"/>
      <x v="7433"/>
      <x v="5"/>
      <x v="4"/>
      <x v="7461"/>
      <x v="7420"/>
      <x v="93"/>
    </i>
    <i r="5">
      <x v="58"/>
      <x v="2"/>
      <x v="11"/>
      <x v="7485"/>
      <x v="7435"/>
      <x v="5"/>
      <x v="4"/>
      <x v="7462"/>
      <x v="7422"/>
      <x v="93"/>
    </i>
    <i r="5">
      <x v="60"/>
      <x v="2"/>
      <x v="8"/>
      <x v="7361"/>
      <x v="7253"/>
      <x v="5"/>
      <x v="4"/>
      <x v="7309"/>
      <x v="7230"/>
      <x v="93"/>
    </i>
    <i r="5">
      <x v="149"/>
      <x v="2"/>
      <x v="5"/>
      <x v="7487"/>
      <x v="7437"/>
      <x v="5"/>
      <x v="4"/>
      <x v="7464"/>
      <x v="7424"/>
      <x v="93"/>
    </i>
    <i r="5">
      <x v="153"/>
      <x v="2"/>
      <x v="10"/>
      <x v="7483"/>
      <x v="7432"/>
      <x v="5"/>
      <x v="4"/>
      <x v="7460"/>
      <x v="7419"/>
      <x v="93"/>
    </i>
    <i r="5">
      <x v="154"/>
      <x v="2"/>
      <x v="7"/>
      <x v="7486"/>
      <x v="7436"/>
      <x v="5"/>
      <x v="4"/>
      <x v="7463"/>
      <x v="7423"/>
      <x v="93"/>
    </i>
    <i r="5">
      <x v="176"/>
      <x v="2"/>
      <x v="15"/>
      <x v="7359"/>
      <x v="7251"/>
      <x v="5"/>
      <x v="4"/>
      <x v="7307"/>
      <x v="7228"/>
      <x v="93"/>
    </i>
    <i r="5">
      <x v="177"/>
      <x v="2"/>
      <x v="12"/>
      <x v="7378"/>
      <x v="7434"/>
      <x v="5"/>
      <x v="4"/>
      <x v="7326"/>
      <x v="7421"/>
      <x v="93"/>
    </i>
    <i r="2">
      <x v="6"/>
      <x v="3"/>
      <x v="2"/>
      <x v="67"/>
      <x v="1"/>
      <x v="9"/>
      <x v="7318"/>
      <x v="7380"/>
      <x v="1"/>
      <x/>
      <x v="7331"/>
      <x v="7451"/>
      <x v="93"/>
    </i>
    <i r="5">
      <x v="146"/>
      <x v="1"/>
      <x v="7"/>
      <x v="7385"/>
      <x v="7468"/>
      <x v="1"/>
      <x/>
      <x v="7334"/>
      <x v="7456"/>
      <x v="93"/>
    </i>
    <i r="5">
      <x v="240"/>
      <x v="1"/>
      <x v="3"/>
      <x v="7502"/>
      <x v="7469"/>
      <x v="1"/>
      <x/>
      <x v="7484"/>
      <x v="7457"/>
      <x v="93"/>
    </i>
    <i r="3">
      <x v="6"/>
      <x v="1"/>
      <x v="186"/>
      <x v="4"/>
      <x v="10"/>
      <x v="7432"/>
      <x v="7347"/>
      <x v="4"/>
      <x v="7"/>
      <x v="7390"/>
      <x v="7328"/>
      <x v="56"/>
    </i>
    <i r="4">
      <x v="2"/>
      <x v="12"/>
      <x v="5"/>
      <x v="10"/>
      <x v="7433"/>
      <x v="7348"/>
      <x v="4"/>
      <x v="7"/>
      <x v="7391"/>
      <x v="7329"/>
      <x v="7"/>
    </i>
    <i r="3">
      <x v="7"/>
      <x v="2"/>
      <x v="68"/>
      <x/>
      <x v="7"/>
      <x v="7469"/>
      <x v="7976"/>
      <x v="5"/>
      <x v="4"/>
      <x v="7436"/>
      <x v="7968"/>
      <x v="93"/>
    </i>
    <i r="5">
      <x v="72"/>
      <x/>
      <x v="5"/>
      <x v="7455"/>
      <x v="7375"/>
      <x v="5"/>
      <x v="4"/>
      <x v="7414"/>
      <x v="7356"/>
      <x v="93"/>
    </i>
    <i r="5">
      <x v="77"/>
      <x/>
      <x v="3"/>
      <x v="7459"/>
      <x v="7385"/>
      <x v="5"/>
      <x v="4"/>
      <x v="7422"/>
      <x v="7367"/>
      <x v="93"/>
    </i>
    <i r="5">
      <x v="84"/>
      <x/>
      <x v="1"/>
      <x v="7445"/>
      <x v="7973"/>
      <x v="5"/>
      <x v="4"/>
      <x v="7403"/>
      <x v="7969"/>
      <x v="93"/>
    </i>
    <i r="2">
      <x v="10"/>
      <x v="6"/>
      <x v="1"/>
      <x v="186"/>
      <x v="4"/>
      <x v="10"/>
      <x v="7432"/>
      <x v="7349"/>
      <x v="4"/>
      <x v="7"/>
      <x v="7390"/>
      <x v="7330"/>
      <x v="56"/>
    </i>
    <i r="4">
      <x v="2"/>
      <x v="10"/>
      <x v="5"/>
      <x v="10"/>
      <x v="7434"/>
      <x v="7350"/>
      <x v="4"/>
      <x v="7"/>
      <x v="7392"/>
      <x v="7331"/>
      <x v="7"/>
    </i>
    <i r="1">
      <x v="3"/>
      <x v="10"/>
      <x v="5"/>
      <x/>
      <x v="255"/>
      <x v="2"/>
      <x v="6"/>
      <x v="7626"/>
      <x v="7602"/>
      <x/>
      <x v="2"/>
      <x v="7612"/>
      <x v="7590"/>
      <x v="93"/>
    </i>
    <i r="1">
      <x v="4"/>
      <x v="9"/>
      <x v="3"/>
      <x v="2"/>
      <x v="9"/>
      <x v="1"/>
      <x v="9"/>
      <x v="7396"/>
      <x v="7428"/>
      <x v="1"/>
      <x/>
      <x v="7345"/>
      <x v="7415"/>
      <x v="93"/>
    </i>
    <i r="5">
      <x v="20"/>
      <x v="1"/>
      <x v="7"/>
      <x v="7401"/>
      <x v="7466"/>
      <x v="1"/>
      <x/>
      <x v="7351"/>
      <x v="7454"/>
      <x v="93"/>
    </i>
    <i r="5">
      <x v="60"/>
      <x v="1"/>
      <x v="3"/>
      <x v="7332"/>
      <x v="7467"/>
      <x v="1"/>
      <x/>
      <x v="7483"/>
      <x v="7455"/>
      <x v="93"/>
    </i>
    <i r="5">
      <x v="191"/>
      <x v="1"/>
      <x v="12"/>
      <x v="7395"/>
      <x v="7465"/>
      <x v="1"/>
      <x/>
      <x v="7344"/>
      <x v="7453"/>
      <x v="50"/>
    </i>
    <i r="2">
      <x v="10"/>
      <x v="6"/>
      <x v="1"/>
      <x v="186"/>
      <x v="4"/>
      <x v="10"/>
      <x v="7432"/>
      <x v="7349"/>
      <x v="4"/>
      <x v="7"/>
      <x v="7390"/>
      <x v="7330"/>
      <x v="56"/>
    </i>
    <i r="4">
      <x v="2"/>
      <x v="10"/>
      <x v="5"/>
      <x v="10"/>
      <x v="7434"/>
      <x v="7350"/>
      <x v="4"/>
      <x v="7"/>
      <x v="7392"/>
      <x v="7331"/>
      <x v="7"/>
    </i>
    <i r="1">
      <x v="5"/>
      <x v="9"/>
      <x v="3"/>
      <x v="2"/>
      <x v="9"/>
      <x v="1"/>
      <x v="9"/>
      <x v="7396"/>
      <x v="7428"/>
      <x v="1"/>
      <x/>
      <x v="7345"/>
      <x v="7415"/>
      <x v="93"/>
    </i>
    <i r="5">
      <x v="20"/>
      <x v="1"/>
      <x v="7"/>
      <x v="7401"/>
      <x v="7466"/>
      <x v="1"/>
      <x/>
      <x v="7351"/>
      <x v="7454"/>
      <x v="93"/>
    </i>
    <i r="5">
      <x v="60"/>
      <x v="1"/>
      <x v="3"/>
      <x v="7332"/>
      <x v="7467"/>
      <x v="1"/>
      <x/>
      <x v="7483"/>
      <x v="7455"/>
      <x v="93"/>
    </i>
    <i r="5">
      <x v="191"/>
      <x v="1"/>
      <x v="12"/>
      <x v="7395"/>
      <x v="7465"/>
      <x v="1"/>
      <x/>
      <x v="7344"/>
      <x v="7453"/>
      <x v="50"/>
    </i>
    <i r="2">
      <x v="10"/>
      <x v="5"/>
      <x/>
      <x v="255"/>
      <x v="2"/>
      <x v="6"/>
      <x v="7626"/>
      <x v="7602"/>
      <x/>
      <x v="2"/>
      <x v="7612"/>
      <x v="7590"/>
      <x v="93"/>
    </i>
    <i r="3">
      <x v="6"/>
      <x v="1"/>
      <x v="186"/>
      <x v="4"/>
      <x v="10"/>
      <x v="7432"/>
      <x v="7349"/>
      <x v="4"/>
      <x v="7"/>
      <x v="7390"/>
      <x v="7330"/>
      <x v="56"/>
    </i>
    <i r="4">
      <x v="2"/>
      <x v="10"/>
      <x v="5"/>
      <x v="10"/>
      <x v="7434"/>
      <x v="7350"/>
      <x v="4"/>
      <x v="7"/>
      <x v="7392"/>
      <x v="7331"/>
      <x v="7"/>
    </i>
    <i r="1">
      <x v="7"/>
      <x v="6"/>
      <x v="1"/>
      <x v="1"/>
      <x v="192"/>
      <x v="4"/>
      <x v="10"/>
      <x v="7342"/>
      <x v="7227"/>
      <x v="4"/>
      <x v="7"/>
      <x v="7290"/>
      <x v="7204"/>
      <x v="46"/>
    </i>
    <i r="4">
      <x v="2"/>
      <x v="15"/>
      <x v="5"/>
      <x v="10"/>
      <x v="7335"/>
      <x v="7229"/>
      <x v="4"/>
      <x v="7"/>
      <x v="7283"/>
      <x v="7206"/>
      <x v="4"/>
    </i>
    <i r="3">
      <x v="3"/>
      <x v="2"/>
      <x v="44"/>
      <x v="1"/>
      <x v="12"/>
      <x v="7391"/>
      <x v="7298"/>
      <x v="1"/>
      <x/>
      <x v="7340"/>
      <x v="7275"/>
      <x v="8"/>
    </i>
    <i r="5">
      <x v="54"/>
      <x v="1"/>
      <x v="9"/>
      <x v="7388"/>
      <x v="7463"/>
      <x v="1"/>
      <x/>
      <x v="7337"/>
      <x v="7450"/>
      <x v="93"/>
    </i>
    <i r="5">
      <x v="67"/>
      <x v="1"/>
      <x v="7"/>
      <x v="7318"/>
      <x v="7380"/>
      <x v="1"/>
      <x/>
      <x v="7331"/>
      <x v="7451"/>
      <x v="93"/>
    </i>
    <i r="5">
      <x v="239"/>
      <x v="1"/>
      <x v="3"/>
      <x v="7501"/>
      <x v="7464"/>
      <x v="1"/>
      <x/>
      <x v="7482"/>
      <x v="7452"/>
      <x v="93"/>
    </i>
    <i r="3">
      <x v="5"/>
      <x/>
      <x v="255"/>
      <x v="2"/>
      <x v="8"/>
      <x v="7626"/>
      <x v="7603"/>
      <x/>
      <x v="2"/>
      <x v="7612"/>
      <x v="7591"/>
      <x v="93"/>
    </i>
    <i r="3">
      <x v="6"/>
      <x v="1"/>
      <x v="186"/>
      <x v="4"/>
      <x v="10"/>
      <x v="7432"/>
      <x v="7347"/>
      <x v="4"/>
      <x v="7"/>
      <x v="7390"/>
      <x v="7328"/>
      <x v="56"/>
    </i>
    <i r="4">
      <x v="2"/>
      <x v="12"/>
      <x v="5"/>
      <x v="10"/>
      <x v="7433"/>
      <x v="7348"/>
      <x v="4"/>
      <x v="7"/>
      <x v="7391"/>
      <x v="7329"/>
      <x v="7"/>
    </i>
    <i r="3">
      <x v="7"/>
      <x v="2"/>
      <x v="68"/>
      <x/>
      <x v="7"/>
      <x v="7469"/>
      <x v="7976"/>
      <x v="5"/>
      <x v="4"/>
      <x v="7436"/>
      <x v="7968"/>
      <x v="93"/>
    </i>
    <i r="5">
      <x v="72"/>
      <x/>
      <x v="5"/>
      <x v="7455"/>
      <x v="7375"/>
      <x v="5"/>
      <x v="4"/>
      <x v="7414"/>
      <x v="7356"/>
      <x v="93"/>
    </i>
    <i r="5">
      <x v="77"/>
      <x/>
      <x v="3"/>
      <x v="7459"/>
      <x v="7385"/>
      <x v="5"/>
      <x v="4"/>
      <x v="7422"/>
      <x v="7367"/>
      <x v="93"/>
    </i>
    <i r="5">
      <x v="84"/>
      <x/>
      <x v="1"/>
      <x v="7445"/>
      <x v="7973"/>
      <x v="5"/>
      <x v="4"/>
      <x v="7403"/>
      <x v="7969"/>
      <x v="93"/>
    </i>
    <i r="3">
      <x v="12"/>
      <x v="1"/>
      <x v="113"/>
      <x v="4"/>
      <x v="17"/>
      <x v="7336"/>
      <x v="7238"/>
      <x v="4"/>
      <x v="7"/>
      <x v="7284"/>
      <x v="7215"/>
      <x v="56"/>
    </i>
    <i r="2">
      <x v="9"/>
      <x v="3"/>
      <x v="2"/>
      <x v="9"/>
      <x v="1"/>
      <x v="9"/>
      <x v="7396"/>
      <x v="7428"/>
      <x v="1"/>
      <x/>
      <x v="7345"/>
      <x v="7415"/>
      <x v="93"/>
    </i>
    <i r="5">
      <x v="20"/>
      <x v="1"/>
      <x v="7"/>
      <x v="7401"/>
      <x v="7466"/>
      <x v="1"/>
      <x/>
      <x v="7351"/>
      <x v="7454"/>
      <x v="93"/>
    </i>
    <i r="5">
      <x v="60"/>
      <x v="1"/>
      <x v="3"/>
      <x v="7332"/>
      <x v="7467"/>
      <x v="1"/>
      <x/>
      <x v="7483"/>
      <x v="7455"/>
      <x v="93"/>
    </i>
    <i r="5">
      <x v="191"/>
      <x v="1"/>
      <x v="12"/>
      <x v="7395"/>
      <x v="7465"/>
      <x v="1"/>
      <x/>
      <x v="7344"/>
      <x v="7453"/>
      <x v="50"/>
    </i>
    <i r="2">
      <x v="10"/>
      <x v="1"/>
      <x v="1"/>
      <x v="192"/>
      <x v="4"/>
      <x v="10"/>
      <x v="7342"/>
      <x v="7228"/>
      <x v="4"/>
      <x v="7"/>
      <x v="7290"/>
      <x v="7205"/>
      <x v="46"/>
    </i>
    <i r="3">
      <x v="2"/>
      <x v="2"/>
      <x v="56"/>
      <x v="2"/>
      <x v="14"/>
      <x v="7484"/>
      <x v="7451"/>
      <x v="5"/>
      <x v="4"/>
      <x v="7461"/>
      <x v="7438"/>
      <x v="93"/>
    </i>
    <i r="5">
      <x v="58"/>
      <x v="2"/>
      <x v="11"/>
      <x v="7485"/>
      <x v="7453"/>
      <x v="5"/>
      <x v="4"/>
      <x v="7462"/>
      <x v="7440"/>
      <x v="93"/>
    </i>
    <i r="5">
      <x v="60"/>
      <x v="2"/>
      <x v="8"/>
      <x v="7361"/>
      <x v="7288"/>
      <x v="5"/>
      <x v="4"/>
      <x v="7309"/>
      <x v="7265"/>
      <x v="93"/>
    </i>
    <i r="5">
      <x v="149"/>
      <x v="2"/>
      <x v="5"/>
      <x v="7487"/>
      <x v="7455"/>
      <x v="5"/>
      <x v="4"/>
      <x v="7464"/>
      <x v="7442"/>
      <x v="93"/>
    </i>
    <i r="5">
      <x v="153"/>
      <x v="2"/>
      <x v="10"/>
      <x v="7483"/>
      <x v="7450"/>
      <x v="5"/>
      <x v="4"/>
      <x v="7460"/>
      <x v="7437"/>
      <x v="93"/>
    </i>
    <i r="5">
      <x v="154"/>
      <x v="2"/>
      <x v="7"/>
      <x v="7486"/>
      <x v="7454"/>
      <x v="5"/>
      <x v="4"/>
      <x v="7463"/>
      <x v="7441"/>
      <x v="93"/>
    </i>
    <i r="5">
      <x v="176"/>
      <x v="2"/>
      <x v="15"/>
      <x v="7359"/>
      <x v="7286"/>
      <x v="5"/>
      <x v="4"/>
      <x v="7307"/>
      <x v="7263"/>
      <x v="93"/>
    </i>
    <i r="5">
      <x v="177"/>
      <x v="2"/>
      <x v="12"/>
      <x v="7378"/>
      <x v="7452"/>
      <x v="5"/>
      <x v="4"/>
      <x v="7326"/>
      <x v="7439"/>
      <x v="93"/>
    </i>
    <i r="3">
      <x v="12"/>
      <x v="1"/>
      <x v="113"/>
      <x v="4"/>
      <x v="17"/>
      <x v="7336"/>
      <x v="7237"/>
      <x v="4"/>
      <x v="7"/>
      <x v="7284"/>
      <x v="7214"/>
      <x v="56"/>
    </i>
    <i r="1">
      <x v="12"/>
      <x v="6"/>
      <x v="5"/>
      <x/>
      <x v="255"/>
      <x v="2"/>
      <x v="8"/>
      <x v="7626"/>
      <x v="7603"/>
      <x/>
      <x v="2"/>
      <x v="7612"/>
      <x v="7591"/>
      <x v="93"/>
    </i>
    <i r="1">
      <x v="13"/>
      <x v="6"/>
      <x v="6"/>
      <x v="1"/>
      <x v="186"/>
      <x v="4"/>
      <x v="10"/>
      <x v="7432"/>
      <x v="7347"/>
      <x v="4"/>
      <x v="7"/>
      <x v="7390"/>
      <x v="7328"/>
      <x v="56"/>
    </i>
    <i r="4">
      <x v="2"/>
      <x v="12"/>
      <x v="5"/>
      <x v="10"/>
      <x v="7433"/>
      <x v="7348"/>
      <x v="4"/>
      <x v="7"/>
      <x v="7391"/>
      <x v="7329"/>
      <x v="7"/>
    </i>
    <i r="1">
      <x v="14"/>
      <x v="6"/>
      <x v="3"/>
      <x v="2"/>
      <x v="54"/>
      <x v="1"/>
      <x v="9"/>
      <x v="7388"/>
      <x v="7463"/>
      <x v="1"/>
      <x/>
      <x v="7337"/>
      <x v="7450"/>
      <x v="93"/>
    </i>
    <i r="5">
      <x v="67"/>
      <x v="1"/>
      <x v="7"/>
      <x v="7318"/>
      <x v="7380"/>
      <x v="1"/>
      <x/>
      <x v="7331"/>
      <x v="7451"/>
      <x v="93"/>
    </i>
    <i r="5">
      <x v="239"/>
      <x v="1"/>
      <x v="3"/>
      <x v="7501"/>
      <x v="7464"/>
      <x v="1"/>
      <x/>
      <x v="7482"/>
      <x v="7452"/>
      <x v="93"/>
    </i>
    <i r="3">
      <x v="5"/>
      <x/>
      <x v="255"/>
      <x v="2"/>
      <x v="8"/>
      <x v="7626"/>
      <x v="7603"/>
      <x/>
      <x v="2"/>
      <x v="7612"/>
      <x v="7591"/>
      <x v="93"/>
    </i>
    <i r="3">
      <x v="6"/>
      <x v="1"/>
      <x v="186"/>
      <x v="4"/>
      <x v="10"/>
      <x v="7432"/>
      <x v="7347"/>
      <x v="4"/>
      <x v="7"/>
      <x v="7390"/>
      <x v="7328"/>
      <x v="56"/>
    </i>
    <i r="4">
      <x v="2"/>
      <x v="12"/>
      <x v="5"/>
      <x v="10"/>
      <x v="7433"/>
      <x v="7348"/>
      <x v="4"/>
      <x v="7"/>
      <x v="7391"/>
      <x v="7329"/>
      <x v="7"/>
    </i>
    <i r="3">
      <x v="7"/>
      <x v="2"/>
      <x v="68"/>
      <x/>
      <x v="7"/>
      <x v="7469"/>
      <x v="7976"/>
      <x v="5"/>
      <x v="4"/>
      <x v="7436"/>
      <x v="7968"/>
      <x v="93"/>
    </i>
    <i r="5">
      <x v="72"/>
      <x/>
      <x v="5"/>
      <x v="7455"/>
      <x v="7375"/>
      <x v="5"/>
      <x v="4"/>
      <x v="7414"/>
      <x v="7356"/>
      <x v="93"/>
    </i>
    <i r="5">
      <x v="77"/>
      <x/>
      <x v="3"/>
      <x v="7459"/>
      <x v="7385"/>
      <x v="5"/>
      <x v="4"/>
      <x v="7422"/>
      <x v="7367"/>
      <x v="93"/>
    </i>
    <i r="5">
      <x v="84"/>
      <x/>
      <x v="1"/>
      <x v="7445"/>
      <x v="7973"/>
      <x v="5"/>
      <x v="4"/>
      <x v="7403"/>
      <x v="7969"/>
      <x v="93"/>
    </i>
    <i r="2">
      <x v="10"/>
      <x v="6"/>
      <x v="1"/>
      <x v="186"/>
      <x v="4"/>
      <x v="10"/>
      <x v="7432"/>
      <x v="7349"/>
      <x v="4"/>
      <x v="7"/>
      <x v="7390"/>
      <x v="7330"/>
      <x v="56"/>
    </i>
    <i r="4">
      <x v="2"/>
      <x v="10"/>
      <x v="5"/>
      <x v="10"/>
      <x v="7434"/>
      <x v="7350"/>
      <x v="4"/>
      <x v="7"/>
      <x v="7392"/>
      <x v="7331"/>
      <x v="7"/>
    </i>
    <i r="1">
      <x v="15"/>
    </i>
    <i r="1">
      <x v="17"/>
      <x v="9"/>
      <x v="3"/>
      <x v="2"/>
      <x v="20"/>
      <x v="1"/>
      <x v="9"/>
      <x v="7401"/>
      <x v="7466"/>
      <x v="1"/>
      <x/>
      <x v="7351"/>
      <x v="7454"/>
      <x v="93"/>
    </i>
    <i>
      <x v="1"/>
      <x v="5"/>
      <x v="3"/>
      <x v="1"/>
      <x v="1"/>
      <x v="114"/>
      <x v="4"/>
      <x v="10"/>
      <x v="7338"/>
      <x v="7223"/>
      <x v="4"/>
      <x v="7"/>
      <x v="7286"/>
      <x v="7200"/>
      <x v="9"/>
    </i>
    <i r="1">
      <x v="7"/>
      <x v="3"/>
      <x v="1"/>
      <x v="1"/>
      <x v="114"/>
      <x v="4"/>
      <x v="10"/>
      <x v="7338"/>
      <x v="7223"/>
      <x v="4"/>
      <x v="7"/>
      <x v="7286"/>
      <x v="7200"/>
      <x v="9"/>
    </i>
    <i r="4">
      <x v="2"/>
      <x v="7"/>
      <x v="5"/>
      <x v="10"/>
      <x v="7339"/>
      <x v="7224"/>
      <x v="4"/>
      <x v="7"/>
      <x v="7287"/>
      <x v="7201"/>
      <x v="4"/>
    </i>
    <i r="3">
      <x v="6"/>
      <x v="1"/>
      <x v="187"/>
      <x v="4"/>
      <x v="10"/>
      <x v="7435"/>
      <x v="7351"/>
      <x v="4"/>
      <x v="7"/>
      <x v="7393"/>
      <x v="7332"/>
      <x v="56"/>
    </i>
    <i r="4">
      <x v="2"/>
      <x v="8"/>
      <x v="5"/>
      <x v="10"/>
      <x v="7436"/>
      <x v="7352"/>
      <x v="4"/>
      <x v="7"/>
      <x v="7394"/>
      <x v="7333"/>
      <x v="7"/>
    </i>
    <i r="3">
      <x v="12"/>
      <x v="1"/>
      <x v="190"/>
      <x v="4"/>
      <x v="17"/>
      <x v="7349"/>
      <x v="7239"/>
      <x v="4"/>
      <x v="7"/>
      <x v="7297"/>
      <x v="7216"/>
      <x v="56"/>
    </i>
    <i r="1">
      <x v="14"/>
      <x v="3"/>
      <x v="6"/>
      <x v="1"/>
      <x v="187"/>
      <x v="4"/>
      <x v="10"/>
      <x v="7435"/>
      <x v="7351"/>
      <x v="4"/>
      <x v="7"/>
      <x v="7393"/>
      <x v="7332"/>
      <x v="56"/>
    </i>
    <i r="1">
      <x v="15"/>
    </i>
    <i>
      <x v="2"/>
      <x/>
      <x v="3"/>
      <x v="3"/>
      <x v="2"/>
      <x v="69"/>
      <x v="1"/>
      <x v="7"/>
      <x v="7383"/>
      <x v="7290"/>
      <x v="1"/>
      <x/>
      <x v="7332"/>
      <x v="7267"/>
      <x v="93"/>
    </i>
    <i r="5">
      <x v="89"/>
      <x v="1"/>
      <x v="3"/>
      <x v="7504"/>
      <x v="7474"/>
      <x v="1"/>
      <x/>
      <x v="7488"/>
      <x v="7462"/>
      <x v="93"/>
    </i>
    <i r="5">
      <x v="176"/>
      <x v="1"/>
      <x v="9"/>
      <x v="7389"/>
      <x v="7296"/>
      <x v="1"/>
      <x/>
      <x v="7338"/>
      <x v="7273"/>
      <x v="93"/>
    </i>
    <i r="1">
      <x v="7"/>
      <x v="3"/>
      <x v="1"/>
      <x v="1"/>
      <x v="120"/>
      <x v="4"/>
      <x v="10"/>
      <x v="7334"/>
      <x v="7218"/>
      <x v="4"/>
      <x v="7"/>
      <x v="7282"/>
      <x v="7195"/>
      <x v="9"/>
    </i>
    <i r="4">
      <x v="2"/>
      <x v="15"/>
      <x v="5"/>
      <x v="10"/>
      <x v="7335"/>
      <x v="7219"/>
      <x v="4"/>
      <x v="7"/>
      <x v="7283"/>
      <x v="7196"/>
      <x v="3"/>
    </i>
    <i r="3">
      <x v="2"/>
      <x v="2"/>
      <x v="59"/>
      <x v="2"/>
      <x v="7"/>
      <x v="7497"/>
      <x v="7449"/>
      <x v="5"/>
      <x v="4"/>
      <x v="7474"/>
      <x v="7436"/>
      <x v="93"/>
    </i>
    <i r="5">
      <x v="62"/>
      <x v="2"/>
      <x v="5"/>
      <x v="7379"/>
      <x v="7277"/>
      <x v="5"/>
      <x v="4"/>
      <x v="7327"/>
      <x v="7254"/>
      <x v="93"/>
    </i>
    <i r="5">
      <x v="176"/>
      <x v="2"/>
      <x v="10"/>
      <x v="7359"/>
      <x v="7448"/>
      <x v="5"/>
      <x v="4"/>
      <x v="7307"/>
      <x v="7435"/>
      <x v="93"/>
    </i>
    <i r="5">
      <x v="177"/>
      <x v="2"/>
      <x v="8"/>
      <x v="7378"/>
      <x v="7275"/>
      <x v="5"/>
      <x v="4"/>
      <x v="7326"/>
      <x v="7252"/>
      <x v="93"/>
    </i>
    <i r="3">
      <x v="3"/>
      <x v="2"/>
      <x v="89"/>
      <x v="1"/>
      <x v="3"/>
      <x v="7504"/>
      <x v="7474"/>
      <x v="1"/>
      <x/>
      <x v="7488"/>
      <x v="7462"/>
      <x v="93"/>
    </i>
    <i r="5">
      <x v="174"/>
      <x v="1"/>
      <x v="9"/>
      <x v="7416"/>
      <x v="7473"/>
      <x v="1"/>
      <x/>
      <x v="7369"/>
      <x v="7461"/>
      <x v="93"/>
    </i>
    <i r="5">
      <x v="176"/>
      <x v="1"/>
      <x v="7"/>
      <x v="7389"/>
      <x v="7296"/>
      <x v="1"/>
      <x/>
      <x v="7338"/>
      <x v="7273"/>
      <x v="93"/>
    </i>
    <i r="3">
      <x v="6"/>
      <x v="1"/>
      <x v="189"/>
      <x v="4"/>
      <x v="10"/>
      <x v="7353"/>
      <x v="7363"/>
      <x v="4"/>
      <x v="7"/>
      <x v="7301"/>
      <x v="7344"/>
      <x v="50"/>
    </i>
    <i r="1">
      <x v="15"/>
    </i>
    <i>
      <x v="3"/>
      <x/>
      <x v="3"/>
      <x v="1"/>
      <x v="2"/>
      <x v="5"/>
      <x v="5"/>
      <x v="10"/>
      <x v="7341"/>
      <x v="7226"/>
      <x v="4"/>
      <x v="7"/>
      <x v="7289"/>
      <x v="7203"/>
      <x v="9"/>
    </i>
    <i r="3">
      <x v="3"/>
      <x v="2"/>
      <x v="226"/>
      <x v="1"/>
      <x v="3"/>
      <x v="7421"/>
      <x v="7460"/>
      <x v="1"/>
      <x/>
      <x v="7479"/>
      <x v="7447"/>
      <x v="93"/>
    </i>
    <i r="5">
      <x v="228"/>
      <x v="1"/>
      <x v="9"/>
      <x v="7424"/>
      <x v="7457"/>
      <x v="1"/>
      <x/>
      <x v="7476"/>
      <x v="7444"/>
      <x v="93"/>
    </i>
    <i r="5">
      <x v="238"/>
      <x v="1"/>
      <x v="7"/>
      <x v="7499"/>
      <x v="7459"/>
      <x v="1"/>
      <x/>
      <x v="7478"/>
      <x v="7446"/>
      <x v="93"/>
    </i>
    <i r="1">
      <x v="7"/>
      <x v="3"/>
      <x v="1"/>
      <x v="1"/>
      <x v="164"/>
      <x v="4"/>
      <x v="10"/>
      <x v="7347"/>
      <x v="7235"/>
      <x v="4"/>
      <x v="7"/>
      <x v="7295"/>
      <x v="7212"/>
      <x v="56"/>
    </i>
    <i r="4">
      <x v="2"/>
      <x v="5"/>
      <x v="5"/>
      <x v="10"/>
      <x v="7341"/>
      <x v="7226"/>
      <x v="4"/>
      <x v="7"/>
      <x v="7289"/>
      <x v="7203"/>
      <x v="9"/>
    </i>
    <i r="3">
      <x v="2"/>
      <x v="2"/>
      <x v="60"/>
      <x v="2"/>
      <x v="10"/>
      <x v="7361"/>
      <x v="7276"/>
      <x v="5"/>
      <x v="4"/>
      <x v="7309"/>
      <x v="7253"/>
      <x v="89"/>
    </i>
    <i r="5">
      <x v="62"/>
      <x v="2"/>
      <x v="8"/>
      <x v="7379"/>
      <x v="7277"/>
      <x v="5"/>
      <x v="4"/>
      <x v="7327"/>
      <x v="7254"/>
      <x v="89"/>
    </i>
    <i r="5">
      <x v="64"/>
      <x v="2"/>
      <x v="7"/>
      <x v="7380"/>
      <x v="7278"/>
      <x v="5"/>
      <x v="4"/>
      <x v="7328"/>
      <x v="7255"/>
      <x v="89"/>
    </i>
    <i r="5">
      <x v="67"/>
      <x v="2"/>
      <x v="5"/>
      <x v="7381"/>
      <x v="7279"/>
      <x v="5"/>
      <x v="4"/>
      <x v="7329"/>
      <x v="7256"/>
      <x v="89"/>
    </i>
    <i r="3">
      <x v="3"/>
      <x v="2"/>
      <x v="74"/>
      <x v="1"/>
      <x v="9"/>
      <x v="7465"/>
      <x v="7456"/>
      <x v="1"/>
      <x/>
      <x v="7475"/>
      <x v="7443"/>
      <x v="93"/>
    </i>
    <i r="5">
      <x v="228"/>
      <x v="1"/>
      <x v="7"/>
      <x v="7424"/>
      <x v="7457"/>
      <x v="1"/>
      <x/>
      <x v="7476"/>
      <x v="7444"/>
      <x v="93"/>
    </i>
    <i r="5">
      <x v="237"/>
      <x v="1"/>
      <x v="3"/>
      <x v="7498"/>
      <x v="7458"/>
      <x v="1"/>
      <x/>
      <x v="7477"/>
      <x v="7445"/>
      <x v="93"/>
    </i>
    <i r="3">
      <x v="6"/>
      <x v="2"/>
      <x v="15"/>
      <x v="5"/>
      <x v="10"/>
      <x v="7335"/>
      <x v="7219"/>
      <x v="4"/>
      <x v="7"/>
      <x v="7283"/>
      <x v="7196"/>
      <x v="12"/>
    </i>
    <i r="1">
      <x v="15"/>
    </i>
    <i>
      <x v="4"/>
      <x/>
      <x v="3"/>
      <x v="3"/>
      <x v="2"/>
      <x v="74"/>
      <x v="1"/>
      <x v="9"/>
      <x v="7465"/>
      <x v="7456"/>
      <x v="1"/>
      <x/>
      <x v="7475"/>
      <x v="7443"/>
      <x v="93"/>
    </i>
    <i r="5">
      <x v="228"/>
      <x v="1"/>
      <x v="7"/>
      <x v="7424"/>
      <x v="7457"/>
      <x v="1"/>
      <x/>
      <x v="7476"/>
      <x v="7444"/>
      <x v="93"/>
    </i>
    <i r="5">
      <x v="237"/>
      <x v="1"/>
      <x v="3"/>
      <x v="7498"/>
      <x v="7458"/>
      <x v="1"/>
      <x/>
      <x v="7477"/>
      <x v="7445"/>
      <x v="93"/>
    </i>
    <i r="1">
      <x v="7"/>
      <x v="3"/>
      <x v="1"/>
      <x v="1"/>
      <x v="122"/>
      <x v="4"/>
      <x v="10"/>
      <x v="7340"/>
      <x v="7225"/>
      <x v="4"/>
      <x v="7"/>
      <x v="7288"/>
      <x v="7202"/>
      <x v="9"/>
    </i>
    <i r="4">
      <x v="2"/>
      <x v="15"/>
      <x v="5"/>
      <x v="10"/>
      <x v="7335"/>
      <x v="7219"/>
      <x v="4"/>
      <x v="7"/>
      <x v="7283"/>
      <x v="7196"/>
      <x v="3"/>
    </i>
    <i r="3">
      <x v="3"/>
      <x v="2"/>
      <x v="74"/>
      <x v="1"/>
      <x v="7"/>
      <x v="7465"/>
      <x v="7456"/>
      <x v="1"/>
      <x/>
      <x v="7475"/>
      <x v="7443"/>
      <x v="93"/>
    </i>
    <i r="5">
      <x v="153"/>
      <x v="1"/>
      <x v="9"/>
      <x v="7452"/>
      <x v="7461"/>
      <x v="1"/>
      <x/>
      <x v="7480"/>
      <x v="7448"/>
      <x v="93"/>
    </i>
    <i r="5">
      <x v="207"/>
      <x v="1"/>
      <x v="3"/>
      <x v="7500"/>
      <x v="7462"/>
      <x v="1"/>
      <x/>
      <x v="7481"/>
      <x v="7449"/>
      <x v="93"/>
    </i>
    <i r="3">
      <x v="18"/>
      <x v="2"/>
      <x v="44"/>
      <x v="2"/>
      <x v="10"/>
      <x v="7391"/>
      <x v="7313"/>
      <x v="2"/>
      <x v="2"/>
      <x v="7995"/>
      <x v="7994"/>
      <x v="93"/>
    </i>
    <i r="5">
      <x v="58"/>
      <x v="2"/>
      <x v="7"/>
      <x v="7996"/>
      <x v="7994"/>
      <x v="2"/>
      <x v="2"/>
      <x v="7994"/>
      <x v="7993"/>
      <x v="93"/>
    </i>
    <i r="5">
      <x v="68"/>
      <x v="2"/>
      <x v="3"/>
      <x v="7469"/>
      <x v="7995"/>
      <x v="2"/>
      <x v="2"/>
      <x v="7996"/>
      <x v="7995"/>
      <x v="93"/>
    </i>
    <i r="1">
      <x v="12"/>
      <x v="3"/>
      <x v="3"/>
      <x v="2"/>
      <x v="74"/>
      <x v="1"/>
      <x v="7"/>
      <x v="7465"/>
      <x v="7456"/>
      <x v="1"/>
      <x/>
      <x v="7475"/>
      <x v="7443"/>
      <x v="93"/>
    </i>
    <i r="5">
      <x v="153"/>
      <x v="1"/>
      <x v="9"/>
      <x v="7452"/>
      <x v="7461"/>
      <x v="1"/>
      <x/>
      <x v="7480"/>
      <x v="7448"/>
      <x v="93"/>
    </i>
    <i r="5">
      <x v="207"/>
      <x v="1"/>
      <x v="3"/>
      <x v="7500"/>
      <x v="7462"/>
      <x v="1"/>
      <x/>
      <x v="7481"/>
      <x v="7449"/>
      <x v="93"/>
    </i>
    <i r="1">
      <x v="15"/>
    </i>
    <i>
      <x v="5"/>
      <x v="5"/>
      <x v="8"/>
      <x v="6"/>
      <x v="2"/>
      <x v="7"/>
      <x v="5"/>
      <x v="10"/>
      <x v="7339"/>
      <x v="7355"/>
      <x v="4"/>
      <x v="7"/>
      <x v="7287"/>
      <x v="7336"/>
      <x v="2"/>
    </i>
    <i>
      <x v="6"/>
      <x v="7"/>
      <x v="5"/>
      <x v="7"/>
      <x v="2"/>
      <x v="67"/>
      <x/>
      <x v="7"/>
      <x v="7318"/>
      <x v="7201"/>
      <x v="5"/>
      <x v="4"/>
      <x v="7420"/>
      <x v="7965"/>
      <x v="93"/>
    </i>
    <i r="5">
      <x v="71"/>
      <x/>
      <x v="5"/>
      <x v="7384"/>
      <x v="7974"/>
      <x v="5"/>
      <x v="4"/>
      <x v="7419"/>
      <x v="7966"/>
      <x v="93"/>
    </i>
    <i r="5">
      <x v="76"/>
      <x/>
      <x v="3"/>
      <x v="7322"/>
      <x v="7409"/>
      <x v="5"/>
      <x v="4"/>
      <x v="7439"/>
      <x v="7394"/>
      <x v="93"/>
    </i>
    <i r="5">
      <x v="83"/>
      <x/>
      <x v="1"/>
      <x v="7323"/>
      <x v="7975"/>
      <x v="5"/>
      <x v="4"/>
      <x v="7431"/>
      <x v="7967"/>
      <x v="93"/>
    </i>
    <i r="1">
      <x v="15"/>
    </i>
    <i>
      <x v="7"/>
      <x/>
      <x v="4"/>
      <x v="5"/>
      <x/>
      <x v="248"/>
      <x v="2"/>
      <x v="7"/>
      <x v="7619"/>
      <x v="7595"/>
      <x/>
      <x v="2"/>
      <x v="7605"/>
      <x v="7583"/>
      <x v="93"/>
    </i>
    <i r="2">
      <x v="5"/>
      <x v="7"/>
      <x v="2"/>
      <x v="87"/>
      <x/>
      <x v="7"/>
      <x v="7505"/>
      <x v="7477"/>
      <x v="5"/>
      <x v="4"/>
      <x v="7982"/>
      <x v="7970"/>
      <x v="93"/>
    </i>
    <i r="5">
      <x v="89"/>
      <x/>
      <x v="5"/>
      <x v="7504"/>
      <x v="7977"/>
      <x v="5"/>
      <x v="4"/>
      <x v="7983"/>
      <x v="7971"/>
      <x v="93"/>
    </i>
    <i r="5">
      <x v="93"/>
      <x/>
      <x v="1"/>
      <x v="7320"/>
      <x v="7978"/>
      <x v="5"/>
      <x v="4"/>
      <x v="7984"/>
      <x v="7972"/>
      <x v="93"/>
    </i>
    <i r="5">
      <x v="208"/>
      <x/>
      <x v="3"/>
      <x v="7447"/>
      <x v="7367"/>
      <x v="5"/>
      <x v="4"/>
      <x v="7406"/>
      <x v="7348"/>
      <x v="93"/>
    </i>
    <i r="1">
      <x v="7"/>
      <x v="4"/>
      <x v="5"/>
      <x/>
      <x v="248"/>
      <x v="2"/>
      <x v="7"/>
      <x v="7619"/>
      <x v="7595"/>
      <x/>
      <x v="2"/>
      <x v="7605"/>
      <x v="7583"/>
      <x v="93"/>
    </i>
    <i r="2">
      <x v="5"/>
      <x/>
      <x v="2"/>
      <x v="62"/>
      <x v="2"/>
      <x v="10"/>
      <x v="7319"/>
      <x v="7202"/>
      <x v="4"/>
      <x v="3"/>
      <x v="7267"/>
      <x v="7179"/>
      <x v="5"/>
    </i>
    <i r="5">
      <x v="67"/>
      <x v="2"/>
      <x v="7"/>
      <x v="7318"/>
      <x v="7201"/>
      <x v="4"/>
      <x v="3"/>
      <x v="7266"/>
      <x v="7178"/>
      <x v="5"/>
    </i>
    <i r="3">
      <x v="7"/>
      <x v="2"/>
      <x v="87"/>
      <x/>
      <x v="7"/>
      <x v="7505"/>
      <x v="7477"/>
      <x v="5"/>
      <x v="4"/>
      <x v="7982"/>
      <x v="7970"/>
      <x v="93"/>
    </i>
    <i r="5">
      <x v="89"/>
      <x/>
      <x v="5"/>
      <x v="7504"/>
      <x v="7977"/>
      <x v="5"/>
      <x v="4"/>
      <x v="7983"/>
      <x v="7971"/>
      <x v="93"/>
    </i>
    <i r="5">
      <x v="93"/>
      <x/>
      <x v="1"/>
      <x v="7320"/>
      <x v="7978"/>
      <x v="5"/>
      <x v="4"/>
      <x v="7984"/>
      <x v="7972"/>
      <x v="93"/>
    </i>
    <i r="5">
      <x v="208"/>
      <x/>
      <x v="3"/>
      <x v="7447"/>
      <x v="7367"/>
      <x v="5"/>
      <x v="4"/>
      <x v="7406"/>
      <x v="7348"/>
      <x v="93"/>
    </i>
    <i r="1">
      <x v="14"/>
      <x v="4"/>
      <x v="5"/>
      <x/>
      <x v="248"/>
      <x v="2"/>
      <x v="7"/>
      <x v="7619"/>
      <x v="7595"/>
      <x/>
      <x v="2"/>
      <x v="7605"/>
      <x v="7583"/>
      <x v="93"/>
    </i>
    <i r="2">
      <x v="5"/>
      <x v="7"/>
      <x v="2"/>
      <x v="87"/>
      <x/>
      <x v="7"/>
      <x v="7505"/>
      <x v="7477"/>
      <x v="5"/>
      <x v="4"/>
      <x v="7982"/>
      <x v="7970"/>
      <x v="93"/>
    </i>
    <i r="5">
      <x v="89"/>
      <x/>
      <x v="5"/>
      <x v="7504"/>
      <x v="7977"/>
      <x v="5"/>
      <x v="4"/>
      <x v="7983"/>
      <x v="7971"/>
      <x v="93"/>
    </i>
    <i r="5">
      <x v="93"/>
      <x/>
      <x v="1"/>
      <x v="7320"/>
      <x v="7978"/>
      <x v="5"/>
      <x v="4"/>
      <x v="7984"/>
      <x v="7972"/>
      <x v="93"/>
    </i>
    <i r="5">
      <x v="208"/>
      <x/>
      <x v="3"/>
      <x v="7447"/>
      <x v="7367"/>
      <x v="5"/>
      <x v="4"/>
      <x v="7406"/>
      <x v="7348"/>
      <x v="93"/>
    </i>
    <i r="1">
      <x v="15"/>
    </i>
    <i r="1">
      <x v="17"/>
      <x v="4"/>
      <x v="5"/>
      <x/>
      <x v="248"/>
      <x v="2"/>
      <x v="7"/>
      <x v="7619"/>
      <x v="7595"/>
      <x/>
      <x v="2"/>
      <x v="7605"/>
      <x v="7583"/>
      <x v="93"/>
    </i>
    <i r="1">
      <x v="20"/>
      <x v="4"/>
      <x v="5"/>
      <x/>
      <x v="248"/>
      <x v="2"/>
      <x v="7"/>
      <x v="7619"/>
      <x v="7595"/>
      <x/>
      <x v="2"/>
      <x v="7605"/>
      <x v="7583"/>
      <x v="93"/>
    </i>
    <i>
      <x v="8"/>
      <x v="7"/>
      <x v="3"/>
      <x v="3"/>
      <x v="2"/>
      <x v="67"/>
      <x v="1"/>
      <x v="9"/>
      <x v="7318"/>
      <x v="7289"/>
      <x v="1"/>
      <x/>
      <x v="7331"/>
      <x v="7266"/>
      <x v="93"/>
    </i>
    <i r="5">
      <x v="146"/>
      <x v="1"/>
      <x v="7"/>
      <x v="7385"/>
      <x v="7292"/>
      <x v="1"/>
      <x/>
      <x v="7334"/>
      <x v="7269"/>
      <x v="93"/>
    </i>
    <i r="5">
      <x v="240"/>
      <x v="1"/>
      <x v="3"/>
      <x v="7502"/>
      <x v="7475"/>
      <x v="1"/>
      <x/>
      <x v="7484"/>
      <x v="7463"/>
      <x v="93"/>
    </i>
    <i>
      <x v="9"/>
      <x v="7"/>
      <x v="5"/>
      <x v="1"/>
      <x v="1"/>
      <x v="113"/>
      <x v="4"/>
      <x v="10"/>
      <x v="7336"/>
      <x v="7220"/>
      <x v="4"/>
      <x v="7"/>
      <x v="7284"/>
      <x v="7197"/>
      <x v="56"/>
    </i>
    <i r="14">
      <x v="89"/>
    </i>
    <i r="4">
      <x v="2"/>
      <x v="9"/>
      <x v="5"/>
      <x v="11"/>
      <x v="7337"/>
      <x v="7221"/>
      <x v="4"/>
      <x v="7"/>
      <x v="7285"/>
      <x v="7198"/>
      <x v="4"/>
    </i>
    <i r="5">
      <x v="15"/>
      <x v="5"/>
      <x v="10"/>
      <x v="7335"/>
      <x v="7222"/>
      <x v="4"/>
      <x v="7"/>
      <x v="7283"/>
      <x v="7199"/>
      <x v="3"/>
    </i>
    <i r="3">
      <x v="2"/>
      <x v="2"/>
      <x v="10"/>
      <x v="2"/>
      <x v="12"/>
      <x v="7494"/>
      <x v="7445"/>
      <x v="5"/>
      <x v="4"/>
      <x v="7471"/>
      <x v="7432"/>
      <x v="93"/>
    </i>
    <i r="3">
      <x v="3"/>
      <x v="2"/>
      <x v="147"/>
      <x v="1"/>
      <x v="3"/>
      <x v="7507"/>
      <x v="7480"/>
      <x v="1"/>
      <x/>
      <x v="7492"/>
      <x v="7468"/>
      <x v="93"/>
    </i>
    <i r="5">
      <x v="152"/>
      <x v="1"/>
      <x v="9"/>
      <x v="7506"/>
      <x v="7478"/>
      <x v="1"/>
      <x/>
      <x v="7491"/>
      <x v="7466"/>
      <x v="93"/>
    </i>
    <i r="5">
      <x v="153"/>
      <x v="1"/>
      <x v="7"/>
      <x v="7452"/>
      <x v="7479"/>
      <x v="1"/>
      <x/>
      <x v="7480"/>
      <x v="7467"/>
      <x v="93"/>
    </i>
    <i r="3">
      <x v="6"/>
      <x v="1"/>
      <x v="171"/>
      <x v="4"/>
      <x v="10"/>
      <x v="7444"/>
      <x v="7361"/>
      <x v="4"/>
      <x v="7"/>
      <x v="7402"/>
      <x v="7342"/>
      <x v="56"/>
    </i>
    <i r="4">
      <x v="2"/>
      <x v="7"/>
      <x v="5"/>
      <x v="10"/>
      <x v="7339"/>
      <x v="7362"/>
      <x v="4"/>
      <x v="7"/>
      <x v="7287"/>
      <x v="7343"/>
      <x v="7"/>
    </i>
    <i r="2">
      <x v="6"/>
      <x/>
      <x v="2"/>
      <x v="11"/>
      <x v="2"/>
      <x v="18"/>
      <x v="7328"/>
      <x v="7212"/>
      <x v="4"/>
      <x v="3"/>
      <x v="7276"/>
      <x v="7189"/>
      <x v="56"/>
    </i>
    <i r="5">
      <x v="20"/>
      <x v="2"/>
      <x v="18"/>
      <x v="7401"/>
      <x v="7418"/>
      <x v="4"/>
      <x v="3"/>
      <x v="7448"/>
      <x v="7403"/>
      <x v="89"/>
    </i>
    <i r="5">
      <x v="25"/>
      <x v="2"/>
      <x v="10"/>
      <x v="7330"/>
      <x v="7214"/>
      <x v="4"/>
      <x v="3"/>
      <x v="7278"/>
      <x v="7191"/>
      <x v="56"/>
    </i>
    <i r="5">
      <x v="38"/>
      <x v="2"/>
      <x v="7"/>
      <x v="7331"/>
      <x v="7215"/>
      <x v="4"/>
      <x v="3"/>
      <x v="7279"/>
      <x v="7192"/>
      <x v="56"/>
    </i>
    <i r="5">
      <x v="51"/>
      <x v="2"/>
      <x v="7"/>
      <x v="7477"/>
      <x v="7421"/>
      <x v="4"/>
      <x v="3"/>
      <x v="7451"/>
      <x v="7406"/>
      <x v="89"/>
    </i>
    <i r="5">
      <x v="60"/>
      <x v="2"/>
      <x v="4"/>
      <x v="7332"/>
      <x v="7216"/>
      <x v="4"/>
      <x v="3"/>
      <x v="7280"/>
      <x v="7193"/>
      <x v="56"/>
    </i>
    <i r="5">
      <x v="80"/>
      <x v="2"/>
      <x v="4"/>
      <x v="7478"/>
      <x v="7422"/>
      <x v="4"/>
      <x v="3"/>
      <x v="7452"/>
      <x v="7407"/>
      <x v="89"/>
    </i>
    <i r="5">
      <x v="155"/>
      <x v="2"/>
      <x v="11"/>
      <x v="7408"/>
      <x v="7419"/>
      <x v="4"/>
      <x v="3"/>
      <x v="7449"/>
      <x v="7404"/>
      <x v="89"/>
    </i>
    <i r="5">
      <x v="180"/>
      <x v="2"/>
      <x v="10"/>
      <x v="7422"/>
      <x v="7420"/>
      <x v="4"/>
      <x v="3"/>
      <x v="7450"/>
      <x v="7405"/>
      <x v="89"/>
    </i>
    <i r="5">
      <x v="181"/>
      <x v="2"/>
      <x v="11"/>
      <x v="7329"/>
      <x v="7213"/>
      <x v="4"/>
      <x v="3"/>
      <x v="7277"/>
      <x v="7190"/>
      <x v="56"/>
    </i>
    <i r="1">
      <x v="15"/>
    </i>
    <i>
      <x v="10"/>
      <x v="4"/>
      <x v="10"/>
      <x v="5"/>
      <x/>
      <x v="253"/>
      <x v="2"/>
      <x v="3"/>
      <x v="7624"/>
      <x v="7600"/>
      <x/>
      <x v="2"/>
      <x v="7610"/>
      <x v="7588"/>
      <x v="93"/>
    </i>
    <i r="1">
      <x v="15"/>
    </i>
    <i>
      <x v="11"/>
      <x v="15"/>
    </i>
    <i>
      <x v="12"/>
      <x/>
      <x v="5"/>
      <x v="1"/>
      <x v="1"/>
      <x v="113"/>
      <x v="4"/>
      <x v="10"/>
      <x v="7336"/>
      <x v="7220"/>
      <x v="4"/>
      <x v="7"/>
      <x v="7284"/>
      <x v="7197"/>
      <x v="56"/>
    </i>
    <i r="4">
      <x v="2"/>
      <x v="9"/>
      <x v="5"/>
      <x v="10"/>
      <x v="7337"/>
      <x v="7221"/>
      <x v="4"/>
      <x v="7"/>
      <x v="7285"/>
      <x v="7198"/>
      <x v="4"/>
    </i>
    <i r="1">
      <x v="7"/>
      <x v="5"/>
      <x v="1"/>
      <x v="1"/>
      <x v="113"/>
      <x v="4"/>
      <x v="10"/>
      <x v="7336"/>
      <x v="7220"/>
      <x v="4"/>
      <x v="7"/>
      <x v="7284"/>
      <x v="7197"/>
      <x v="56"/>
    </i>
    <i r="4">
      <x v="2"/>
      <x v="9"/>
      <x v="5"/>
      <x v="11"/>
      <x v="7337"/>
      <x v="7221"/>
      <x v="4"/>
      <x v="7"/>
      <x v="7285"/>
      <x v="7198"/>
      <x v="4"/>
    </i>
    <i r="5">
      <x v="15"/>
      <x v="5"/>
      <x v="10"/>
      <x v="7335"/>
      <x v="7222"/>
      <x v="4"/>
      <x v="7"/>
      <x v="7283"/>
      <x v="7199"/>
      <x v="3"/>
    </i>
    <i r="3">
      <x v="2"/>
      <x v="2"/>
      <x v="10"/>
      <x v="2"/>
      <x v="10"/>
      <x v="7494"/>
      <x v="7445"/>
      <x v="5"/>
      <x v="4"/>
      <x v="7471"/>
      <x v="7432"/>
      <x v="93"/>
    </i>
    <i r="5">
      <x v="11"/>
      <x v="2"/>
      <x v="8"/>
      <x v="7375"/>
      <x v="7268"/>
      <x v="5"/>
      <x v="4"/>
      <x v="7323"/>
      <x v="7245"/>
      <x v="93"/>
    </i>
    <i r="5">
      <x v="18"/>
      <x v="2"/>
      <x v="5"/>
      <x v="7496"/>
      <x v="7447"/>
      <x v="5"/>
      <x v="4"/>
      <x v="7473"/>
      <x v="7434"/>
      <x v="93"/>
    </i>
    <i r="5">
      <x v="236"/>
      <x v="2"/>
      <x v="7"/>
      <x v="7495"/>
      <x v="7446"/>
      <x v="5"/>
      <x v="4"/>
      <x v="7472"/>
      <x v="7433"/>
      <x v="93"/>
    </i>
    <i r="3">
      <x v="3"/>
      <x v="2"/>
      <x v="36"/>
      <x v="1"/>
      <x v="9"/>
      <x v="7415"/>
      <x v="7328"/>
      <x v="1"/>
      <x/>
      <x v="7368"/>
      <x v="7305"/>
      <x v="93"/>
    </i>
    <i r="5">
      <x v="51"/>
      <x v="1"/>
      <x v="7"/>
      <x v="7477"/>
      <x v="7476"/>
      <x v="1"/>
      <x/>
      <x v="7489"/>
      <x v="7464"/>
      <x v="93"/>
    </i>
    <i r="5">
      <x v="87"/>
      <x v="1"/>
      <x v="3"/>
      <x v="7505"/>
      <x v="7477"/>
      <x v="1"/>
      <x/>
      <x v="7490"/>
      <x v="7465"/>
      <x v="93"/>
    </i>
    <i r="3">
      <x v="6"/>
      <x v="1"/>
      <x v="171"/>
      <x v="4"/>
      <x v="10"/>
      <x v="7444"/>
      <x v="7361"/>
      <x v="4"/>
      <x v="7"/>
      <x v="7402"/>
      <x v="7342"/>
      <x v="56"/>
    </i>
    <i r="2">
      <x v="6"/>
      <x/>
      <x v="2"/>
      <x v="24"/>
      <x v="2"/>
      <x v="7"/>
      <x v="7333"/>
      <x v="7217"/>
      <x v="4"/>
      <x v="3"/>
      <x v="7281"/>
      <x v="7194"/>
      <x v="56"/>
    </i>
    <i r="5">
      <x v="60"/>
      <x v="2"/>
      <x v="4"/>
      <x v="7332"/>
      <x v="7216"/>
      <x v="4"/>
      <x v="3"/>
      <x v="7280"/>
      <x v="7193"/>
      <x v="56"/>
    </i>
    <i r="5">
      <x v="181"/>
      <x v="2"/>
      <x v="10"/>
      <x v="7329"/>
      <x v="7213"/>
      <x v="4"/>
      <x v="3"/>
      <x v="7277"/>
      <x v="7190"/>
      <x v="56"/>
    </i>
    <i r="1">
      <x v="14"/>
      <x v="5"/>
      <x v="1"/>
      <x v="1"/>
      <x v="113"/>
      <x v="4"/>
      <x v="10"/>
      <x v="7336"/>
      <x v="7220"/>
      <x v="4"/>
      <x v="7"/>
      <x v="7284"/>
      <x v="7197"/>
      <x v="56"/>
    </i>
    <i r="4">
      <x v="2"/>
      <x v="9"/>
      <x v="5"/>
      <x v="10"/>
      <x v="7337"/>
      <x v="7221"/>
      <x v="4"/>
      <x v="7"/>
      <x v="7285"/>
      <x v="7198"/>
      <x v="4"/>
    </i>
    <i r="1">
      <x v="15"/>
    </i>
    <i>
      <x v="13"/>
      <x v="4"/>
      <x v="10"/>
      <x/>
      <x v="2"/>
      <x v="67"/>
      <x v="2"/>
      <x v="10"/>
      <x v="7318"/>
      <x v="7206"/>
      <x v="4"/>
      <x v="3"/>
      <x v="7266"/>
      <x v="7183"/>
      <x v="5"/>
    </i>
    <i r="5">
      <x v="76"/>
      <x v="2"/>
      <x v="7"/>
      <x v="7322"/>
      <x v="7205"/>
      <x v="4"/>
      <x v="3"/>
      <x v="7270"/>
      <x v="7182"/>
      <x v="5"/>
    </i>
    <i r="5">
      <x v="93"/>
      <x v="2"/>
      <x v="4"/>
      <x v="7320"/>
      <x v="7203"/>
      <x v="4"/>
      <x v="3"/>
      <x v="7268"/>
      <x v="7180"/>
      <x v="5"/>
    </i>
    <i r="5">
      <x v="106"/>
      <x v="2"/>
      <x v="2"/>
      <x v="7321"/>
      <x v="7204"/>
      <x v="4"/>
      <x v="3"/>
      <x v="7269"/>
      <x v="7181"/>
      <x v="5"/>
    </i>
    <i r="3">
      <x v="5"/>
      <x/>
      <x v="251"/>
      <x v="2"/>
      <x v="3"/>
      <x v="7622"/>
      <x v="7598"/>
      <x/>
      <x v="2"/>
      <x v="7608"/>
      <x v="7586"/>
      <x v="93"/>
    </i>
    <i r="1">
      <x v="15"/>
    </i>
    <i>
      <x v="14"/>
      <x v="15"/>
    </i>
    <i>
      <x v="15"/>
      <x v="5"/>
      <x v="5"/>
      <x v="2"/>
      <x v="2"/>
      <x v="65"/>
      <x v="2"/>
      <x v="10"/>
      <x v="7382"/>
      <x v="7280"/>
      <x v="5"/>
      <x v="4"/>
      <x v="7330"/>
      <x v="7257"/>
      <x v="2"/>
    </i>
    <i r="3">
      <x v="3"/>
      <x v="2"/>
      <x v="181"/>
      <x v="1"/>
      <x v="9"/>
      <x v="7329"/>
      <x v="7323"/>
      <x v="1"/>
      <x/>
      <x v="7364"/>
      <x v="7300"/>
      <x v="93"/>
    </i>
    <i r="3">
      <x v="17"/>
      <x v="2"/>
      <x v="36"/>
      <x v="2"/>
      <x v="10"/>
      <x v="7415"/>
      <x v="7328"/>
      <x v="2"/>
      <x v="2"/>
      <x v="7989"/>
      <x v="7987"/>
      <x v="93"/>
    </i>
    <i r="5">
      <x v="51"/>
      <x v="2"/>
      <x v="3"/>
      <x v="7477"/>
      <x v="7476"/>
      <x v="2"/>
      <x v="2"/>
      <x v="7991"/>
      <x v="7989"/>
      <x v="93"/>
    </i>
    <i r="5">
      <x v="174"/>
      <x v="2"/>
      <x v="7"/>
      <x v="7416"/>
      <x v="7330"/>
      <x v="2"/>
      <x v="2"/>
      <x v="7990"/>
      <x v="7988"/>
      <x v="93"/>
    </i>
    <i r="1">
      <x v="15"/>
    </i>
    <i>
      <x v="16"/>
      <x v="7"/>
      <x v="5"/>
      <x v="2"/>
      <x v="2"/>
      <x v="65"/>
      <x v="2"/>
      <x v="10"/>
      <x v="7382"/>
      <x v="7280"/>
      <x v="5"/>
      <x v="4"/>
      <x v="7330"/>
      <x v="7257"/>
      <x v="2"/>
    </i>
    <i r="3">
      <x v="3"/>
      <x v="2"/>
      <x v="25"/>
      <x v="1"/>
      <x v="9"/>
      <x v="7330"/>
      <x v="7324"/>
      <x v="1"/>
      <x/>
      <x v="7365"/>
      <x v="7301"/>
      <x v="93"/>
    </i>
    <i r="3">
      <x v="17"/>
      <x v="2"/>
      <x v="36"/>
      <x v="2"/>
      <x v="10"/>
      <x v="7415"/>
      <x v="7328"/>
      <x v="2"/>
      <x v="2"/>
      <x v="7989"/>
      <x v="7987"/>
      <x v="93"/>
    </i>
    <i r="5">
      <x v="51"/>
      <x v="2"/>
      <x v="3"/>
      <x v="7477"/>
      <x v="7476"/>
      <x v="2"/>
      <x v="2"/>
      <x v="7991"/>
      <x v="7989"/>
      <x v="93"/>
    </i>
    <i r="5">
      <x v="84"/>
      <x v="2"/>
      <x v="1"/>
      <x v="7445"/>
      <x v="7364"/>
      <x v="2"/>
      <x v="2"/>
      <x v="7981"/>
      <x v="7990"/>
      <x v="93"/>
    </i>
    <i r="5">
      <x v="174"/>
      <x v="2"/>
      <x v="7"/>
      <x v="7416"/>
      <x v="7330"/>
      <x v="2"/>
      <x v="2"/>
      <x v="7990"/>
      <x v="7988"/>
      <x v="93"/>
    </i>
    <i r="5">
      <x v="262"/>
      <x v="2"/>
      <x/>
      <x v="7994"/>
      <x v="7992"/>
      <x v="2"/>
      <x v="2"/>
      <x v="7992"/>
      <x v="7991"/>
      <x v="93"/>
    </i>
    <i r="1">
      <x v="15"/>
    </i>
    <i>
      <x v="17"/>
      <x/>
      <x v="4"/>
      <x v="5"/>
      <x/>
      <x v="247"/>
      <x v="2"/>
      <x v="7"/>
      <x v="7618"/>
      <x v="7594"/>
      <x/>
      <x v="2"/>
      <x v="7604"/>
      <x v="7582"/>
      <x v="93"/>
    </i>
    <i r="1">
      <x v="7"/>
      <x v="4"/>
      <x v="5"/>
      <x/>
      <x v="247"/>
      <x v="2"/>
      <x v="7"/>
      <x v="7618"/>
      <x v="7594"/>
      <x/>
      <x v="2"/>
      <x v="7604"/>
      <x v="7582"/>
      <x v="93"/>
    </i>
    <i r="2">
      <x v="5"/>
      <x v="6"/>
      <x v="1"/>
      <x v="124"/>
      <x v="4"/>
      <x v="10"/>
      <x v="7442"/>
      <x v="7359"/>
      <x v="4"/>
      <x v="7"/>
      <x v="7400"/>
      <x v="7340"/>
      <x v="56"/>
    </i>
    <i r="4">
      <x v="2"/>
      <x v="14"/>
      <x v="5"/>
      <x v="10"/>
      <x v="7443"/>
      <x v="7360"/>
      <x v="4"/>
      <x v="7"/>
      <x v="7401"/>
      <x v="7341"/>
      <x v="7"/>
    </i>
    <i r="3">
      <x v="7"/>
      <x v="2"/>
      <x v="84"/>
      <x/>
      <x v="7"/>
      <x v="7445"/>
      <x v="7364"/>
      <x v="5"/>
      <x v="4"/>
      <x v="7403"/>
      <x v="7345"/>
      <x v="93"/>
    </i>
    <i r="5">
      <x v="85"/>
      <x/>
      <x v="5"/>
      <x v="7392"/>
      <x v="7365"/>
      <x v="5"/>
      <x v="4"/>
      <x v="7404"/>
      <x v="7346"/>
      <x v="93"/>
    </i>
    <i r="5">
      <x v="185"/>
      <x/>
      <x v="3"/>
      <x v="7446"/>
      <x v="7366"/>
      <x v="5"/>
      <x v="4"/>
      <x v="7405"/>
      <x v="7347"/>
      <x v="93"/>
    </i>
    <i r="5">
      <x v="208"/>
      <x/>
      <x v="1"/>
      <x v="7447"/>
      <x v="7367"/>
      <x v="5"/>
      <x v="4"/>
      <x v="7406"/>
      <x v="7348"/>
      <x v="93"/>
    </i>
    <i r="1">
      <x v="15"/>
    </i>
    <i>
      <x v="18"/>
      <x v="7"/>
      <x v="3"/>
      <x v="7"/>
      <x v="2"/>
      <x v="88"/>
      <x/>
      <x v="3"/>
      <x v="7394"/>
      <x v="7400"/>
      <x v="5"/>
      <x v="4"/>
      <x v="7434"/>
      <x v="7383"/>
      <x v="93"/>
    </i>
    <i r="5">
      <x v="173"/>
      <x/>
      <x v="5"/>
      <x v="7393"/>
      <x v="7990"/>
      <x v="5"/>
      <x v="4"/>
      <x v="7432"/>
      <x v="7985"/>
      <x v="93"/>
    </i>
    <i r="5">
      <x v="183"/>
      <x/>
      <x v="7"/>
      <x v="7464"/>
      <x v="7989"/>
      <x v="5"/>
      <x v="4"/>
      <x v="7428"/>
      <x v="7984"/>
      <x v="93"/>
    </i>
    <i r="5">
      <x v="194"/>
      <x/>
      <x v="1"/>
      <x v="7993"/>
      <x v="7991"/>
      <x v="5"/>
      <x v="4"/>
      <x v="7988"/>
      <x v="7986"/>
      <x v="93"/>
    </i>
    <i r="2">
      <x v="6"/>
      <x v="7"/>
      <x v="2"/>
      <x v="82"/>
      <x/>
      <x v="7"/>
      <x v="7463"/>
      <x v="7986"/>
      <x v="5"/>
      <x v="4"/>
      <x v="7427"/>
      <x v="7981"/>
      <x v="93"/>
    </i>
    <i r="5">
      <x v="173"/>
      <x/>
      <x v="3"/>
      <x v="7393"/>
      <x v="7300"/>
      <x v="5"/>
      <x v="4"/>
      <x v="7432"/>
      <x v="7379"/>
      <x v="93"/>
    </i>
    <i r="5">
      <x v="183"/>
      <x/>
      <x v="5"/>
      <x v="7464"/>
      <x v="7987"/>
      <x v="5"/>
      <x v="4"/>
      <x v="7428"/>
      <x v="7982"/>
      <x v="93"/>
    </i>
    <i r="5">
      <x v="256"/>
      <x/>
      <x v="1"/>
      <x v="7992"/>
      <x v="7988"/>
      <x v="5"/>
      <x v="4"/>
      <x v="7987"/>
      <x v="7983"/>
      <x v="93"/>
    </i>
    <i r="1">
      <x v="15"/>
    </i>
    <i>
      <x v="20"/>
      <x v="1"/>
      <x v="10"/>
      <x v="7"/>
      <x v="2"/>
      <x v="98"/>
      <x/>
      <x v="17"/>
      <x v="7431"/>
      <x v="7345"/>
      <x v="5"/>
      <x v="4"/>
      <x v="7438"/>
      <x v="7392"/>
      <x v="1"/>
    </i>
    <i>
      <x v="21"/>
      <x/>
      <x v="5"/>
      <x v="2"/>
      <x v="2"/>
      <x v="46"/>
      <x v="2"/>
      <x v="10"/>
      <x v="7488"/>
      <x v="7438"/>
      <x v="5"/>
      <x v="4"/>
      <x v="7465"/>
      <x v="7425"/>
      <x v="93"/>
    </i>
    <i r="5">
      <x v="49"/>
      <x v="2"/>
      <x v="8"/>
      <x v="7356"/>
      <x v="7248"/>
      <x v="5"/>
      <x v="4"/>
      <x v="7304"/>
      <x v="7225"/>
      <x v="93"/>
    </i>
    <i r="5">
      <x v="52"/>
      <x v="2"/>
      <x v="7"/>
      <x v="7358"/>
      <x v="7250"/>
      <x v="5"/>
      <x v="4"/>
      <x v="7306"/>
      <x v="7227"/>
      <x v="93"/>
    </i>
    <i r="5">
      <x v="56"/>
      <x v="2"/>
      <x v="5"/>
      <x v="7484"/>
      <x v="7433"/>
      <x v="5"/>
      <x v="4"/>
      <x v="7461"/>
      <x v="7420"/>
      <x v="93"/>
    </i>
    <i r="3">
      <x v="5"/>
      <x/>
      <x v="246"/>
      <x v="2"/>
      <x v="7"/>
      <x v="7566"/>
      <x v="7542"/>
      <x/>
      <x v="2"/>
      <x v="7552"/>
      <x v="7530"/>
      <x v="93"/>
    </i>
    <i r="2">
      <x v="6"/>
      <x v="7"/>
      <x v="2"/>
      <x v="11"/>
      <x/>
      <x v="10"/>
      <x v="7328"/>
      <x v="7212"/>
      <x v="5"/>
      <x v="4"/>
      <x v="7415"/>
      <x v="7357"/>
      <x v="8"/>
    </i>
    <i r="5">
      <x v="65"/>
      <x/>
      <x v="7"/>
      <x v="7468"/>
      <x v="7979"/>
      <x v="5"/>
      <x v="4"/>
      <x v="7435"/>
      <x v="7973"/>
      <x v="93"/>
    </i>
    <i r="5">
      <x v="68"/>
      <x/>
      <x v="5"/>
      <x v="7469"/>
      <x v="7976"/>
      <x v="5"/>
      <x v="4"/>
      <x v="7436"/>
      <x v="7968"/>
      <x v="93"/>
    </i>
    <i r="5">
      <x v="72"/>
      <x/>
      <x v="3"/>
      <x v="7455"/>
      <x v="7375"/>
      <x v="5"/>
      <x v="4"/>
      <x v="7414"/>
      <x v="7356"/>
      <x v="93"/>
    </i>
    <i r="5">
      <x v="80"/>
      <x/>
      <x v="1"/>
      <x v="7478"/>
      <x v="7422"/>
      <x v="5"/>
      <x v="4"/>
      <x v="7985"/>
      <x v="7974"/>
      <x v="93"/>
    </i>
    <i r="1">
      <x v="7"/>
      <x v="5"/>
      <x v="2"/>
      <x v="2"/>
      <x v="46"/>
      <x v="2"/>
      <x v="10"/>
      <x v="7488"/>
      <x v="7438"/>
      <x v="5"/>
      <x v="4"/>
      <x v="7465"/>
      <x v="7425"/>
      <x v="93"/>
    </i>
    <i r="5">
      <x v="49"/>
      <x v="2"/>
      <x v="8"/>
      <x v="7356"/>
      <x v="7248"/>
      <x v="5"/>
      <x v="4"/>
      <x v="7304"/>
      <x v="7225"/>
      <x v="93"/>
    </i>
    <i r="5">
      <x v="52"/>
      <x v="2"/>
      <x v="7"/>
      <x v="7358"/>
      <x v="7250"/>
      <x v="5"/>
      <x v="4"/>
      <x v="7306"/>
      <x v="7227"/>
      <x v="93"/>
    </i>
    <i r="5">
      <x v="56"/>
      <x v="2"/>
      <x v="5"/>
      <x v="7484"/>
      <x v="7433"/>
      <x v="5"/>
      <x v="4"/>
      <x v="7461"/>
      <x v="7420"/>
      <x v="93"/>
    </i>
    <i r="3">
      <x v="5"/>
      <x/>
      <x v="246"/>
      <x v="2"/>
      <x v="7"/>
      <x v="7566"/>
      <x v="7542"/>
      <x/>
      <x v="2"/>
      <x v="7552"/>
      <x v="7530"/>
      <x v="93"/>
    </i>
    <i r="2">
      <x v="6"/>
      <x v="7"/>
      <x v="2"/>
      <x v="11"/>
      <x/>
      <x v="10"/>
      <x v="7328"/>
      <x v="7212"/>
      <x v="5"/>
      <x v="4"/>
      <x v="7415"/>
      <x v="7357"/>
      <x v="8"/>
    </i>
    <i r="5">
      <x v="65"/>
      <x/>
      <x v="7"/>
      <x v="7468"/>
      <x v="7979"/>
      <x v="5"/>
      <x v="4"/>
      <x v="7435"/>
      <x v="7973"/>
      <x v="93"/>
    </i>
    <i r="5">
      <x v="68"/>
      <x/>
      <x v="5"/>
      <x v="7469"/>
      <x v="7976"/>
      <x v="5"/>
      <x v="4"/>
      <x v="7436"/>
      <x v="7968"/>
      <x v="93"/>
    </i>
    <i r="5">
      <x v="72"/>
      <x/>
      <x v="3"/>
      <x v="7455"/>
      <x v="7375"/>
      <x v="5"/>
      <x v="4"/>
      <x v="7414"/>
      <x v="7356"/>
      <x v="93"/>
    </i>
    <i r="5">
      <x v="80"/>
      <x/>
      <x v="1"/>
      <x v="7478"/>
      <x v="7422"/>
      <x v="5"/>
      <x v="4"/>
      <x v="7985"/>
      <x v="7974"/>
      <x v="93"/>
    </i>
    <i r="1">
      <x v="12"/>
      <x v="5"/>
      <x v="2"/>
      <x v="2"/>
      <x v="46"/>
      <x v="2"/>
      <x v="10"/>
      <x v="7488"/>
      <x v="7438"/>
      <x v="5"/>
      <x v="4"/>
      <x v="7465"/>
      <x v="7425"/>
      <x v="93"/>
    </i>
    <i r="5">
      <x v="49"/>
      <x v="2"/>
      <x v="8"/>
      <x v="7356"/>
      <x v="7248"/>
      <x v="5"/>
      <x v="4"/>
      <x v="7304"/>
      <x v="7225"/>
      <x v="93"/>
    </i>
    <i r="5">
      <x v="52"/>
      <x v="2"/>
      <x v="7"/>
      <x v="7358"/>
      <x v="7250"/>
      <x v="5"/>
      <x v="4"/>
      <x v="7306"/>
      <x v="7227"/>
      <x v="93"/>
    </i>
    <i r="5">
      <x v="56"/>
      <x v="2"/>
      <x v="5"/>
      <x v="7484"/>
      <x v="7433"/>
      <x v="5"/>
      <x v="4"/>
      <x v="7461"/>
      <x v="7420"/>
      <x v="93"/>
    </i>
    <i r="3">
      <x v="5"/>
      <x/>
      <x v="246"/>
      <x v="2"/>
      <x v="7"/>
      <x v="7566"/>
      <x v="7542"/>
      <x/>
      <x v="2"/>
      <x v="7552"/>
      <x v="7530"/>
      <x v="93"/>
    </i>
    <i r="2">
      <x v="6"/>
      <x v="7"/>
      <x v="2"/>
      <x v="11"/>
      <x/>
      <x v="10"/>
      <x v="7328"/>
      <x v="7212"/>
      <x v="5"/>
      <x v="4"/>
      <x v="7415"/>
      <x v="7357"/>
      <x v="8"/>
    </i>
    <i r="5">
      <x v="65"/>
      <x/>
      <x v="7"/>
      <x v="7468"/>
      <x v="7979"/>
      <x v="5"/>
      <x v="4"/>
      <x v="7435"/>
      <x v="7973"/>
      <x v="93"/>
    </i>
    <i r="5">
      <x v="68"/>
      <x/>
      <x v="5"/>
      <x v="7469"/>
      <x v="7976"/>
      <x v="5"/>
      <x v="4"/>
      <x v="7436"/>
      <x v="7968"/>
      <x v="93"/>
    </i>
    <i r="5">
      <x v="72"/>
      <x/>
      <x v="3"/>
      <x v="7455"/>
      <x v="7375"/>
      <x v="5"/>
      <x v="4"/>
      <x v="7414"/>
      <x v="7356"/>
      <x v="93"/>
    </i>
    <i r="5">
      <x v="80"/>
      <x/>
      <x v="1"/>
      <x v="7478"/>
      <x v="7422"/>
      <x v="5"/>
      <x v="4"/>
      <x v="7985"/>
      <x v="7974"/>
      <x v="93"/>
    </i>
    <i r="1">
      <x v="15"/>
    </i>
    <i r="1">
      <x v="19"/>
      <x v="5"/>
      <x v="5"/>
      <x/>
      <x v="246"/>
      <x v="2"/>
      <x v="7"/>
      <x v="7566"/>
      <x v="7542"/>
      <x/>
      <x v="2"/>
      <x v="7552"/>
      <x v="7530"/>
      <x v="93"/>
    </i>
    <i>
      <x v="22"/>
      <x v="7"/>
      <x v="8"/>
      <x v="7"/>
      <x v="2"/>
      <x v="68"/>
      <x/>
      <x v="1"/>
      <x v="7469"/>
      <x v="7405"/>
      <x v="5"/>
      <x v="4"/>
      <x v="7436"/>
      <x v="7388"/>
      <x v="50"/>
    </i>
    <i r="5">
      <x v="153"/>
      <x/>
      <x v="5"/>
      <x v="7452"/>
      <x v="7403"/>
      <x v="5"/>
      <x v="4"/>
      <x v="7411"/>
      <x v="7386"/>
      <x v="50"/>
    </i>
    <i r="5">
      <x v="154"/>
      <x/>
      <x v="3"/>
      <x v="7453"/>
      <x v="7404"/>
      <x v="5"/>
      <x v="4"/>
      <x v="7412"/>
      <x v="7387"/>
      <x v="50"/>
    </i>
    <i r="5">
      <x v="172"/>
      <x/>
      <x v="7"/>
      <x v="7991"/>
      <x v="7980"/>
      <x v="5"/>
      <x v="4"/>
      <x v="7986"/>
      <x v="7975"/>
      <x v="93"/>
    </i>
    <i>
      <x v="23"/>
      <x v="7"/>
      <x v="6"/>
      <x v="7"/>
      <x v="2"/>
      <x v="62"/>
      <x/>
      <x v="5"/>
      <x v="7319"/>
      <x v="7381"/>
      <x v="5"/>
      <x v="4"/>
      <x v="7417"/>
      <x v="7363"/>
      <x v="50"/>
    </i>
    <i r="5">
      <x v="66"/>
      <x/>
      <x v="3"/>
      <x v="7457"/>
      <x v="7382"/>
      <x v="5"/>
      <x v="4"/>
      <x v="7418"/>
      <x v="7364"/>
      <x v="50"/>
    </i>
    <i r="5">
      <x v="71"/>
      <x/>
      <x v="1"/>
      <x v="7384"/>
      <x v="7383"/>
      <x v="5"/>
      <x v="4"/>
      <x v="7419"/>
      <x v="7365"/>
      <x v="50"/>
    </i>
    <i r="5">
      <x v="74"/>
      <x/>
      <x v="7"/>
      <x v="7465"/>
      <x v="7394"/>
      <x v="5"/>
      <x v="4"/>
      <x v="7429"/>
      <x v="7376"/>
      <x v="93"/>
    </i>
    <i r="1">
      <x v="9"/>
      <x v="6"/>
      <x v="7"/>
      <x v="2"/>
      <x v="62"/>
      <x/>
      <x v="5"/>
      <x v="7319"/>
      <x v="7381"/>
      <x v="5"/>
      <x v="4"/>
      <x v="7417"/>
      <x v="7363"/>
      <x v="50"/>
    </i>
    <i r="5">
      <x v="66"/>
      <x/>
      <x v="3"/>
      <x v="7457"/>
      <x v="7382"/>
      <x v="5"/>
      <x v="4"/>
      <x v="7418"/>
      <x v="7364"/>
      <x v="50"/>
    </i>
    <i r="5">
      <x v="71"/>
      <x/>
      <x v="1"/>
      <x v="7384"/>
      <x v="7383"/>
      <x v="5"/>
      <x v="4"/>
      <x v="7419"/>
      <x v="7365"/>
      <x v="50"/>
    </i>
    <i r="5">
      <x v="74"/>
      <x/>
      <x v="7"/>
      <x v="7465"/>
      <x v="7394"/>
      <x v="5"/>
      <x v="4"/>
      <x v="7429"/>
      <x v="7376"/>
      <x v="93"/>
    </i>
    <i>
      <x v="24"/>
      <x v="15"/>
    </i>
    <i>
      <x v="25"/>
      <x v="4"/>
      <x v="10"/>
      <x v="5"/>
      <x/>
      <x v="250"/>
      <x v="2"/>
      <x v="6"/>
      <x v="7621"/>
      <x v="7597"/>
      <x/>
      <x v="2"/>
      <x v="7607"/>
      <x v="7585"/>
      <x v="93"/>
    </i>
    <i r="1">
      <x v="15"/>
    </i>
    <i>
      <x v="26"/>
      <x v="4"/>
      <x v="10"/>
      <x v="5"/>
      <x/>
      <x v="249"/>
      <x v="2"/>
      <x v="6"/>
      <x v="7620"/>
      <x v="7596"/>
      <x/>
      <x v="2"/>
      <x v="7606"/>
      <x v="7584"/>
      <x v="93"/>
    </i>
    <i r="1">
      <x v="15"/>
    </i>
    <i>
      <x v="27"/>
      <x v="8"/>
      <x v="10"/>
      <x v="19"/>
      <x v="2"/>
      <x v="98"/>
      <x v="2"/>
      <x v="10"/>
      <x v="7431"/>
      <x v="7345"/>
      <x v="2"/>
      <x v="2"/>
      <x v="7387"/>
      <x v="7325"/>
      <x v="93"/>
    </i>
    <i r="5">
      <x v="260"/>
      <x v="2"/>
      <x v="3"/>
      <x v="7989"/>
      <x v="7971"/>
      <x v="2"/>
      <x v="2"/>
      <x v="7978"/>
      <x v="7961"/>
      <x v="93"/>
    </i>
    <i r="5">
      <x v="261"/>
      <x v="2"/>
      <x v="7"/>
      <x v="7990"/>
      <x v="7972"/>
      <x v="2"/>
      <x v="2"/>
      <x v="7979"/>
      <x v="7962"/>
      <x v="93"/>
    </i>
    <i>
      <x v="28"/>
      <x/>
      <x v="5"/>
      <x v="2"/>
      <x v="2"/>
      <x v="36"/>
      <x v="2"/>
      <x v="10"/>
      <x v="7365"/>
      <x v="7257"/>
      <x v="5"/>
      <x v="4"/>
      <x v="7313"/>
      <x v="7234"/>
      <x v="66"/>
    </i>
    <i r="5">
      <x v="41"/>
      <x v="2"/>
      <x v="5"/>
      <x v="7363"/>
      <x v="7255"/>
      <x v="5"/>
      <x v="4"/>
      <x v="7311"/>
      <x v="7232"/>
      <x v="66"/>
    </i>
    <i r="5">
      <x v="155"/>
      <x v="2"/>
      <x v="8"/>
      <x v="7366"/>
      <x v="7258"/>
      <x v="5"/>
      <x v="4"/>
      <x v="7314"/>
      <x v="7235"/>
      <x v="66"/>
    </i>
    <i r="5">
      <x v="174"/>
      <x v="2"/>
      <x v="7"/>
      <x v="7367"/>
      <x v="7259"/>
      <x v="5"/>
      <x v="4"/>
      <x v="7315"/>
      <x v="7236"/>
      <x v="66"/>
    </i>
    <i r="1">
      <x v="7"/>
      <x v="7"/>
      <x v="7"/>
      <x v="2"/>
      <x v="64"/>
      <x/>
      <x v="7"/>
      <x v="7460"/>
      <x v="7983"/>
      <x v="5"/>
      <x v="4"/>
      <x v="7423"/>
      <x v="7978"/>
      <x v="93"/>
    </i>
    <i r="5">
      <x v="67"/>
      <x/>
      <x v="5"/>
      <x v="7318"/>
      <x v="7984"/>
      <x v="5"/>
      <x v="4"/>
      <x v="7420"/>
      <x v="7979"/>
      <x v="93"/>
    </i>
    <i r="5">
      <x v="71"/>
      <x/>
      <x v="3"/>
      <x v="7384"/>
      <x v="7379"/>
      <x v="5"/>
      <x v="4"/>
      <x v="7419"/>
      <x v="7361"/>
      <x v="93"/>
    </i>
    <i r="5">
      <x v="79"/>
      <x/>
      <x v="1"/>
      <x v="7466"/>
      <x v="7985"/>
      <x v="5"/>
      <x v="4"/>
      <x v="7430"/>
      <x v="7980"/>
      <x v="93"/>
    </i>
    <i r="1">
      <x v="11"/>
      <x v="7"/>
      <x v="7"/>
      <x v="2"/>
      <x v="64"/>
      <x/>
      <x v="7"/>
      <x v="7460"/>
      <x v="7983"/>
      <x v="5"/>
      <x v="4"/>
      <x v="7423"/>
      <x v="7978"/>
      <x v="93"/>
    </i>
    <i r="5">
      <x v="67"/>
      <x/>
      <x v="5"/>
      <x v="7318"/>
      <x v="7984"/>
      <x v="5"/>
      <x v="4"/>
      <x v="7420"/>
      <x v="7979"/>
      <x v="93"/>
    </i>
    <i r="5">
      <x v="71"/>
      <x/>
      <x v="3"/>
      <x v="7384"/>
      <x v="7379"/>
      <x v="5"/>
      <x v="4"/>
      <x v="7419"/>
      <x v="7361"/>
      <x v="93"/>
    </i>
    <i r="5">
      <x v="79"/>
      <x/>
      <x v="1"/>
      <x v="7466"/>
      <x v="7985"/>
      <x v="5"/>
      <x v="4"/>
      <x v="7430"/>
      <x v="7980"/>
      <x v="93"/>
    </i>
    <i r="1">
      <x v="15"/>
    </i>
    <i>
      <x v="29"/>
      <x v="10"/>
      <x v="2"/>
      <x v="5"/>
      <x/>
      <x v="254"/>
      <x v="2"/>
      <x v="6"/>
      <x v="7625"/>
      <x v="7601"/>
      <x/>
      <x v="2"/>
      <x v="7611"/>
      <x v="7589"/>
      <x v="93"/>
    </i>
    <i r="1">
      <x v="15"/>
    </i>
    <i r="1">
      <x v="18"/>
      <x v="2"/>
      <x/>
      <x v="2"/>
      <x v="144"/>
      <x v="2"/>
      <x v="10"/>
      <x v="7324"/>
      <x v="7208"/>
      <x v="4"/>
      <x v="3"/>
      <x v="7272"/>
      <x v="7185"/>
      <x v="11"/>
    </i>
    <i r="3">
      <x v="7"/>
      <x v="2"/>
      <x v="3"/>
      <x/>
      <x v="17"/>
      <x v="7470"/>
      <x v="7410"/>
      <x v="5"/>
      <x v="4"/>
      <x v="7440"/>
      <x v="7395"/>
      <x v="6"/>
    </i>
    <i r="3">
      <x v="8"/>
      <x/>
      <x v="160"/>
      <x v="2"/>
      <x v="17"/>
      <x v="7309"/>
      <x v="7179"/>
      <x/>
      <x v="2"/>
      <x v="7249"/>
      <x v="7154"/>
      <x v="50"/>
    </i>
    <i r="3">
      <x v="12"/>
      <x v="1"/>
      <x v="145"/>
      <x v="4"/>
      <x v="17"/>
      <x v="7352"/>
      <x v="7243"/>
      <x v="4"/>
      <x v="7"/>
      <x v="7300"/>
      <x v="7220"/>
      <x v="56"/>
    </i>
    <i r="2">
      <x v="16"/>
      <x/>
      <x v="2"/>
      <x v="159"/>
      <x v="2"/>
      <x v="10"/>
      <x v="7325"/>
      <x v="7209"/>
      <x v="4"/>
      <x v="3"/>
      <x v="7273"/>
      <x v="7186"/>
      <x v="11"/>
    </i>
    <i r="3">
      <x v="12"/>
      <x v="1"/>
      <x v="145"/>
      <x v="4"/>
      <x v="17"/>
      <x v="7352"/>
      <x v="7245"/>
      <x v="4"/>
      <x v="7"/>
      <x v="7300"/>
      <x v="7222"/>
      <x v="50"/>
    </i>
    <i>
      <x v="30"/>
      <x v="8"/>
      <x/>
      <x v="8"/>
      <x/>
      <x v="201"/>
      <x v="2"/>
      <x v="17"/>
      <x v="7303"/>
      <x v="7173"/>
      <x/>
      <x v="2"/>
      <x v="7243"/>
      <x v="7148"/>
      <x v="76"/>
    </i>
    <i r="3">
      <x v="10"/>
      <x/>
      <x v="166"/>
      <x v="2"/>
      <x v="17"/>
      <x v="7259"/>
      <x v="7103"/>
      <x v="1"/>
      <x v="3"/>
      <x v="7187"/>
      <x v="7074"/>
      <x v="9"/>
    </i>
    <i r="3">
      <x v="11"/>
      <x v="3"/>
      <x v="48"/>
      <x v="2"/>
      <x v="17"/>
      <x v="7472"/>
      <x v="7412"/>
      <x v="4"/>
      <x v="7"/>
      <x v="7442"/>
      <x v="7397"/>
      <x v="4"/>
    </i>
    <i r="3">
      <x v="13"/>
      <x v="2"/>
      <x v="11"/>
      <x v="2"/>
      <x v="3"/>
      <x v="7475"/>
      <x v="7415"/>
      <x/>
      <x v="8"/>
      <x v="7445"/>
      <x v="7400"/>
      <x v="85"/>
    </i>
    <i r="2">
      <x v="14"/>
      <x v="11"/>
      <x v="3"/>
      <x v="33"/>
      <x v="2"/>
      <x v="17"/>
      <x v="7474"/>
      <x v="7414"/>
      <x v="4"/>
      <x v="7"/>
      <x v="7444"/>
      <x v="7399"/>
      <x v="8"/>
    </i>
    <i r="1">
      <x v="22"/>
      <x v="14"/>
      <x v="10"/>
      <x/>
      <x v="110"/>
      <x v="2"/>
      <x v="17"/>
      <x v="7258"/>
      <x v="7102"/>
      <x v="1"/>
      <x v="3"/>
      <x v="7186"/>
      <x v="7073"/>
      <x v="12"/>
    </i>
    <i>
      <x v="31"/>
      <x v="8"/>
      <x/>
      <x v="8"/>
      <x/>
      <x v="204"/>
      <x v="2"/>
      <x v="17"/>
      <x v="7306"/>
      <x v="7176"/>
      <x/>
      <x v="2"/>
      <x v="7246"/>
      <x v="7151"/>
      <x v="76"/>
    </i>
    <i>
      <x v="32"/>
      <x v="8"/>
      <x/>
      <x v="8"/>
      <x/>
      <x v="202"/>
      <x v="2"/>
      <x v="17"/>
      <x v="7304"/>
      <x v="7174"/>
      <x/>
      <x v="2"/>
      <x v="7244"/>
      <x v="7149"/>
      <x v="76"/>
    </i>
    <i r="3">
      <x v="11"/>
      <x v="3"/>
      <x v="43"/>
      <x v="2"/>
      <x v="17"/>
      <x v="7473"/>
      <x v="7413"/>
      <x v="4"/>
      <x v="7"/>
      <x v="7443"/>
      <x v="7398"/>
      <x v="4"/>
    </i>
    <i r="3">
      <x v="12"/>
      <x v="2"/>
      <x v="81"/>
      <x v="5"/>
      <x v="21"/>
      <x v="7348"/>
      <x v="7236"/>
      <x v="3"/>
      <x v="2"/>
      <x v="7296"/>
      <x v="7213"/>
      <x v="9"/>
    </i>
    <i r="3">
      <x v="13"/>
      <x v="2"/>
      <x v="11"/>
      <x v="2"/>
      <x v="3"/>
      <x v="7475"/>
      <x v="7415"/>
      <x/>
      <x v="8"/>
      <x v="7445"/>
      <x v="7400"/>
      <x v="85"/>
    </i>
    <i r="2">
      <x v="14"/>
      <x v="11"/>
      <x v="3"/>
      <x v="33"/>
      <x v="2"/>
      <x v="17"/>
      <x v="7474"/>
      <x v="7414"/>
      <x v="4"/>
      <x v="7"/>
      <x v="7444"/>
      <x v="7399"/>
      <x v="8"/>
    </i>
    <i r="1">
      <x v="23"/>
      <x/>
      <x v="8"/>
      <x/>
      <x v="202"/>
      <x v="2"/>
      <x v="17"/>
      <x v="7304"/>
      <x v="7174"/>
      <x/>
      <x v="2"/>
      <x v="7244"/>
      <x v="7149"/>
      <x v="76"/>
    </i>
    <i>
      <x v="33"/>
      <x v="8"/>
      <x v="1"/>
      <x v="8"/>
      <x/>
      <x v="205"/>
      <x v="2"/>
      <x v="17"/>
      <x v="7307"/>
      <x v="7177"/>
      <x/>
      <x v="2"/>
      <x v="7247"/>
      <x v="7152"/>
      <x v="76"/>
    </i>
    <i>
      <x v="34"/>
      <x v="8"/>
      <x/>
      <x v="8"/>
      <x/>
      <x v="203"/>
      <x v="2"/>
      <x v="17"/>
      <x v="7305"/>
      <x v="7175"/>
      <x/>
      <x v="2"/>
      <x v="7245"/>
      <x v="7150"/>
      <x v="76"/>
    </i>
    <i>
      <x v="35"/>
      <x v="15"/>
    </i>
    <i>
      <x v="36"/>
      <x v="8"/>
      <x/>
      <x v="10"/>
      <x/>
      <x v="108"/>
      <x v="2"/>
      <x v="17"/>
      <x v="7257"/>
      <x v="7101"/>
      <x v="1"/>
      <x v="3"/>
      <x v="7185"/>
      <x v="7072"/>
      <x v="12"/>
    </i>
    <i r="1">
      <x v="15"/>
    </i>
    <i r="1">
      <x v="16"/>
      <x/>
      <x v="10"/>
      <x/>
      <x v="108"/>
      <x v="2"/>
      <x v="17"/>
      <x v="7257"/>
      <x v="7101"/>
      <x v="1"/>
      <x v="3"/>
      <x v="7185"/>
      <x v="7072"/>
      <x v="12"/>
    </i>
    <i>
      <x v="38"/>
      <x v="8"/>
      <x v="6"/>
      <x v="7"/>
      <x v="2"/>
      <x v="90"/>
      <x/>
      <x v="3"/>
      <x v="7471"/>
      <x v="7411"/>
      <x v="5"/>
      <x v="4"/>
      <x v="7441"/>
      <x v="7396"/>
      <x v="12"/>
    </i>
    <i r="3">
      <x v="12"/>
      <x v="2"/>
      <x v="136"/>
      <x v="5"/>
      <x v="21"/>
      <x v="7351"/>
      <x v="7242"/>
      <x v="3"/>
      <x v="2"/>
      <x v="7299"/>
      <x v="7219"/>
      <x v="46"/>
    </i>
    <i r="3">
      <x v="19"/>
      <x v="2"/>
      <x v="84"/>
      <x v="2"/>
      <x v="20"/>
      <x v="7445"/>
      <x v="7973"/>
      <x v="2"/>
      <x v="2"/>
      <x v="7981"/>
      <x v="7964"/>
      <x v="93"/>
    </i>
    <i r="5">
      <x v="85"/>
      <x v="2"/>
      <x v="13"/>
      <x v="7392"/>
      <x v="7299"/>
      <x v="2"/>
      <x v="2"/>
      <x v="7980"/>
      <x v="7963"/>
      <x v="93"/>
    </i>
    <i r="5">
      <x v="94"/>
      <x v="2"/>
      <x v="16"/>
      <x v="7399"/>
      <x v="7307"/>
      <x v="2"/>
      <x v="2"/>
      <x v="7380"/>
      <x v="7318"/>
      <x v="6"/>
    </i>
    <i r="5">
      <x v="100"/>
      <x v="2"/>
      <x v="16"/>
      <x v="7429"/>
      <x v="7343"/>
      <x v="2"/>
      <x v="2"/>
      <x v="7385"/>
      <x v="7323"/>
      <x v="6"/>
    </i>
    <i r="5">
      <x v="102"/>
      <x v="2"/>
      <x v="11"/>
      <x v="7427"/>
      <x v="7341"/>
      <x v="2"/>
      <x v="2"/>
      <x v="7383"/>
      <x v="7321"/>
      <x/>
    </i>
    <i r="5">
      <x v="103"/>
      <x v="2"/>
      <x v="10"/>
      <x v="7426"/>
      <x v="7340"/>
      <x v="2"/>
      <x v="2"/>
      <x v="7382"/>
      <x v="7320"/>
      <x/>
    </i>
    <i r="5">
      <x v="105"/>
      <x v="2"/>
      <x v="7"/>
      <x v="7425"/>
      <x v="7339"/>
      <x v="2"/>
      <x v="2"/>
      <x v="7381"/>
      <x v="7319"/>
      <x/>
    </i>
    <i r="5">
      <x v="229"/>
      <x v="2"/>
      <x v="13"/>
      <x v="7428"/>
      <x v="7342"/>
      <x v="2"/>
      <x v="2"/>
      <x v="7384"/>
      <x v="7322"/>
      <x v="89"/>
    </i>
    <i r="1">
      <x v="15"/>
    </i>
    <i r="1">
      <x v="22"/>
      <x v="3"/>
      <x v="12"/>
      <x v="1"/>
      <x v="136"/>
      <x v="4"/>
      <x v="10"/>
      <x v="7350"/>
      <x v="7240"/>
      <x v="4"/>
      <x v="7"/>
      <x v="7298"/>
      <x v="7217"/>
      <x v="56"/>
    </i>
    <i r="14">
      <x v="89"/>
    </i>
    <i r="2">
      <x v="6"/>
      <x v="12"/>
      <x v="1"/>
      <x v="136"/>
      <x v="4"/>
      <x v="10"/>
      <x v="7350"/>
      <x v="7241"/>
      <x v="4"/>
      <x v="7"/>
      <x v="7298"/>
      <x v="7218"/>
      <x v="56"/>
    </i>
    <i r="14">
      <x v="89"/>
    </i>
    <i r="3">
      <x v="19"/>
      <x v="2"/>
      <x v="84"/>
      <x v="2"/>
      <x v="20"/>
      <x v="7445"/>
      <x v="7973"/>
      <x v="2"/>
      <x v="2"/>
      <x v="7981"/>
      <x v="7964"/>
      <x v="93"/>
    </i>
    <i r="5">
      <x v="85"/>
      <x v="2"/>
      <x v="13"/>
      <x v="7392"/>
      <x v="7299"/>
      <x v="2"/>
      <x v="2"/>
      <x v="7980"/>
      <x v="7963"/>
      <x v="93"/>
    </i>
    <i>
      <x v="39"/>
      <x v="7"/>
      <x v="6"/>
      <x v="7"/>
      <x v="2"/>
      <x v="163"/>
      <x/>
      <x v="7"/>
      <x v="7467"/>
      <x v="7401"/>
      <x v="5"/>
      <x v="4"/>
      <x v="7433"/>
      <x v="7384"/>
      <x v="12"/>
    </i>
    <i>
      <x v="40"/>
      <x v="7"/>
      <x v="6"/>
      <x v="7"/>
      <x v="2"/>
      <x v="163"/>
      <x/>
      <x v="7"/>
      <x v="7467"/>
      <x v="7401"/>
      <x v="5"/>
      <x v="4"/>
      <x v="7433"/>
      <x v="7384"/>
      <x v="12"/>
    </i>
    <i>
      <x v="41"/>
      <x/>
      <x/>
      <x v="8"/>
      <x/>
      <x v="107"/>
      <x v="2"/>
      <x v="17"/>
      <x v="7308"/>
      <x v="7178"/>
      <x/>
      <x v="2"/>
      <x v="7248"/>
      <x v="7153"/>
      <x v="50"/>
    </i>
    <i>
      <x v="42"/>
      <x v="3"/>
      <x v="10"/>
      <x v="6"/>
      <x v="1"/>
      <x v="167"/>
      <x v="4"/>
      <x v="10"/>
      <x v="7437"/>
      <x v="7353"/>
      <x v="4"/>
      <x v="7"/>
      <x v="7395"/>
      <x v="7334"/>
      <x v="56"/>
    </i>
    <i r="4">
      <x v="2"/>
      <x v="30"/>
      <x v="5"/>
      <x v="10"/>
      <x v="7438"/>
      <x v="7354"/>
      <x v="4"/>
      <x v="7"/>
      <x v="7396"/>
      <x v="7335"/>
      <x v="10"/>
    </i>
    <i r="1">
      <x v="4"/>
      <x v="10"/>
      <x v="6"/>
      <x v="1"/>
      <x v="167"/>
      <x v="4"/>
      <x v="10"/>
      <x v="7437"/>
      <x v="7353"/>
      <x v="4"/>
      <x v="7"/>
      <x v="7395"/>
      <x v="7334"/>
      <x v="56"/>
    </i>
    <i r="1">
      <x v="6"/>
      <x v="10"/>
      <x/>
      <x v="2"/>
      <x v="63"/>
      <x v="2"/>
      <x v="10"/>
      <x v="7326"/>
      <x v="7210"/>
      <x v="4"/>
      <x v="3"/>
      <x v="7274"/>
      <x v="7187"/>
      <x v="56"/>
    </i>
    <i r="5">
      <x v="67"/>
      <x v="2"/>
      <x v="7"/>
      <x v="7318"/>
      <x v="7206"/>
      <x v="4"/>
      <x v="3"/>
      <x v="7266"/>
      <x v="7183"/>
      <x v="56"/>
    </i>
    <i r="5">
      <x v="92"/>
      <x v="2"/>
      <x v="4"/>
      <x v="7327"/>
      <x v="7211"/>
      <x v="4"/>
      <x v="3"/>
      <x v="7275"/>
      <x v="7188"/>
      <x v="56"/>
    </i>
    <i r="3">
      <x v="6"/>
      <x v="1"/>
      <x v="167"/>
      <x v="4"/>
      <x v="10"/>
      <x v="7437"/>
      <x v="7353"/>
      <x v="4"/>
      <x v="7"/>
      <x v="7395"/>
      <x v="7334"/>
      <x v="56"/>
    </i>
    <i r="4">
      <x v="2"/>
      <x v="30"/>
      <x v="5"/>
      <x v="10"/>
      <x v="7438"/>
      <x v="7354"/>
      <x v="4"/>
      <x v="7"/>
      <x v="7396"/>
      <x v="7335"/>
      <x v="10"/>
    </i>
    <i r="1">
      <x v="15"/>
    </i>
    <i>
      <x v="43"/>
      <x v="5"/>
      <x v="6"/>
      <x v="1"/>
      <x v="1"/>
      <x v="169"/>
      <x v="4"/>
      <x v="10"/>
      <x v="7345"/>
      <x v="7233"/>
      <x v="4"/>
      <x v="7"/>
      <x v="7293"/>
      <x v="7210"/>
      <x v="56"/>
    </i>
    <i r="3">
      <x v="6"/>
      <x v="1"/>
      <x v="169"/>
      <x v="4"/>
      <x v="10"/>
      <x v="7345"/>
      <x v="7233"/>
      <x v="4"/>
      <x v="7"/>
      <x v="7293"/>
      <x v="7210"/>
      <x v="56"/>
    </i>
    <i r="14">
      <x v="89"/>
    </i>
    <i r="4">
      <x v="2"/>
      <x v="170"/>
      <x v="5"/>
      <x v="10"/>
      <x v="7439"/>
      <x v="7356"/>
      <x v="4"/>
      <x v="7"/>
      <x v="7397"/>
      <x v="7337"/>
      <x v="38"/>
    </i>
    <i r="1">
      <x v="7"/>
      <x v="6"/>
      <x v="6"/>
      <x v="1"/>
      <x v="169"/>
      <x v="4"/>
      <x v="10"/>
      <x v="7345"/>
      <x v="7233"/>
      <x v="4"/>
      <x v="7"/>
      <x v="7293"/>
      <x v="7210"/>
      <x v="56"/>
    </i>
    <i r="1">
      <x v="21"/>
      <x v="6"/>
      <x v="6"/>
      <x v="1"/>
      <x v="169"/>
      <x v="4"/>
      <x v="10"/>
      <x v="7345"/>
      <x v="7233"/>
      <x v="4"/>
      <x v="7"/>
      <x v="7293"/>
      <x v="7210"/>
      <x v="56"/>
    </i>
    <i>
      <x v="46"/>
      <x v="7"/>
      <x v="6"/>
      <x v="1"/>
      <x v="1"/>
      <x v="188"/>
      <x v="4"/>
      <x v="10"/>
      <x v="7346"/>
      <x v="7234"/>
      <x v="4"/>
      <x v="7"/>
      <x v="7294"/>
      <x v="7211"/>
      <x v="56"/>
    </i>
    <i r="4">
      <x v="2"/>
      <x v="1"/>
      <x v="5"/>
      <x v="10"/>
      <x v="7344"/>
      <x v="7232"/>
      <x v="4"/>
      <x v="7"/>
      <x v="7292"/>
      <x v="7209"/>
      <x v="9"/>
    </i>
    <i>
      <x v="47"/>
      <x v="4"/>
      <x v="10"/>
      <x v="5"/>
      <x/>
      <x v="257"/>
      <x v="2"/>
      <x v="3"/>
      <x v="7934"/>
      <x v="7916"/>
      <x/>
      <x v="2"/>
      <x v="7923"/>
      <x v="7906"/>
      <x v="93"/>
    </i>
    <i>
      <x v="48"/>
      <x v="4"/>
      <x v="11"/>
      <x v="5"/>
      <x/>
      <x v="258"/>
      <x v="2"/>
      <x v="7"/>
      <x v="7935"/>
      <x v="7917"/>
      <x/>
      <x v="2"/>
      <x v="7924"/>
      <x v="7907"/>
      <x v="93"/>
    </i>
    <i r="1">
      <x v="14"/>
      <x v="11"/>
      <x v="5"/>
      <x/>
      <x v="258"/>
      <x v="2"/>
      <x v="7"/>
      <x v="7935"/>
      <x v="7917"/>
      <x/>
      <x v="2"/>
      <x v="7924"/>
      <x v="7907"/>
      <x v="93"/>
    </i>
    <i>
      <x v="49"/>
      <x v="7"/>
      <x v="5"/>
      <x v="7"/>
      <x v="2"/>
      <x v="70"/>
      <x/>
      <x v="10"/>
      <x v="7458"/>
      <x v="7981"/>
      <x v="5"/>
      <x v="4"/>
      <x v="7421"/>
      <x v="7976"/>
      <x v="93"/>
    </i>
    <i r="5">
      <x v="71"/>
      <x/>
      <x v="7"/>
      <x v="7384"/>
      <x v="7974"/>
      <x v="5"/>
      <x v="4"/>
      <x v="7419"/>
      <x v="7966"/>
      <x v="93"/>
    </i>
    <i r="5">
      <x v="76"/>
      <x/>
      <x v="5"/>
      <x v="7322"/>
      <x v="7409"/>
      <x v="5"/>
      <x v="4"/>
      <x v="7439"/>
      <x v="7394"/>
      <x v="93"/>
    </i>
    <i r="5">
      <x v="81"/>
      <x/>
      <x v="3"/>
      <x v="7462"/>
      <x v="7390"/>
      <x v="5"/>
      <x v="4"/>
      <x v="7426"/>
      <x v="7372"/>
      <x v="93"/>
    </i>
    <i r="5">
      <x v="163"/>
      <x/>
      <x v="1"/>
      <x v="7467"/>
      <x v="7982"/>
      <x v="5"/>
      <x v="4"/>
      <x v="7433"/>
      <x v="7977"/>
      <x v="93"/>
    </i>
    <i>
      <x v="50"/>
      <x/>
      <x v="3"/>
      <x v="3"/>
      <x v="2"/>
      <x v="53"/>
      <x v="1"/>
      <x v="9"/>
      <x v="7410"/>
      <x v="7319"/>
      <x v="1"/>
      <x/>
      <x v="7360"/>
      <x v="7296"/>
      <x v="93"/>
    </i>
    <i r="5">
      <x v="95"/>
      <x v="1"/>
      <x v="3"/>
      <x v="7448"/>
      <x v="7472"/>
      <x v="1"/>
      <x/>
      <x v="7487"/>
      <x v="7460"/>
      <x v="93"/>
    </i>
    <i r="5">
      <x v="241"/>
      <x v="1"/>
      <x v="7"/>
      <x v="7503"/>
      <x v="7471"/>
      <x v="1"/>
      <x/>
      <x v="7486"/>
      <x v="7459"/>
      <x v="93"/>
    </i>
    <i r="1">
      <x v="7"/>
      <x v="3"/>
      <x v="3"/>
      <x v="2"/>
      <x v="53"/>
      <x v="1"/>
      <x v="7"/>
      <x v="7410"/>
      <x v="7319"/>
      <x v="1"/>
      <x/>
      <x v="7360"/>
      <x v="7296"/>
      <x v="93"/>
    </i>
    <i r="5">
      <x v="155"/>
      <x v="1"/>
      <x v="9"/>
      <x v="7408"/>
      <x v="7317"/>
      <x v="1"/>
      <x/>
      <x v="7358"/>
      <x v="7294"/>
      <x v="93"/>
    </i>
    <i r="5">
      <x v="185"/>
      <x v="1"/>
      <x v="3"/>
      <x v="7446"/>
      <x v="7470"/>
      <x v="1"/>
      <x/>
      <x v="7485"/>
      <x v="7458"/>
      <x v="93"/>
    </i>
    <i r="3">
      <x v="6"/>
      <x v="1"/>
      <x v="187"/>
      <x v="4"/>
      <x v="10"/>
      <x v="7435"/>
      <x v="7351"/>
      <x v="4"/>
      <x v="7"/>
      <x v="7393"/>
      <x v="7332"/>
      <x v="56"/>
    </i>
    <i r="1">
      <x v="14"/>
      <x v="3"/>
      <x v="3"/>
      <x v="2"/>
      <x v="53"/>
      <x v="1"/>
      <x v="7"/>
      <x v="7410"/>
      <x v="7319"/>
      <x v="1"/>
      <x/>
      <x v="7360"/>
      <x v="7296"/>
      <x v="93"/>
    </i>
    <i r="5">
      <x v="155"/>
      <x v="1"/>
      <x v="9"/>
      <x v="7408"/>
      <x v="7317"/>
      <x v="1"/>
      <x/>
      <x v="7358"/>
      <x v="7294"/>
      <x v="93"/>
    </i>
    <i r="5">
      <x v="185"/>
      <x v="1"/>
      <x v="3"/>
      <x v="7446"/>
      <x v="7470"/>
      <x v="1"/>
      <x/>
      <x v="7485"/>
      <x v="7458"/>
      <x v="93"/>
    </i>
    <i r="3">
      <x v="6"/>
      <x v="1"/>
      <x v="187"/>
      <x v="4"/>
      <x v="10"/>
      <x v="7435"/>
      <x v="7351"/>
      <x v="4"/>
      <x v="7"/>
      <x v="7393"/>
      <x v="7332"/>
      <x v="56"/>
    </i>
    <i r="1">
      <x v="15"/>
    </i>
    <i>
      <x v="51"/>
      <x v="7"/>
      <x v="6"/>
      <x v="6"/>
      <x v="1"/>
      <x v="111"/>
      <x v="4"/>
      <x v="10"/>
      <x v="7440"/>
      <x v="7357"/>
      <x v="4"/>
      <x v="7"/>
      <x v="7398"/>
      <x v="7338"/>
      <x v="56"/>
    </i>
    <i r="4">
      <x v="2"/>
      <x v="2"/>
      <x v="5"/>
      <x v="10"/>
      <x v="7441"/>
      <x v="7358"/>
      <x v="4"/>
      <x v="7"/>
      <x v="7399"/>
      <x v="7339"/>
      <x v="7"/>
    </i>
    <i>
      <x v="52"/>
      <x v="15"/>
    </i>
    <i>
      <x v="53"/>
      <x v="15"/>
    </i>
    <i>
      <x v="54"/>
      <x v="15"/>
    </i>
    <i>
      <x v="55"/>
      <x v="15"/>
    </i>
    <i>
      <x v="56"/>
      <x v="15"/>
    </i>
    <i>
      <x v="57"/>
      <x v="7"/>
      <x v="16"/>
      <x v="12"/>
      <x v="1"/>
      <x v="189"/>
      <x v="4"/>
      <x v="10"/>
      <x v="7353"/>
      <x v="7244"/>
      <x v="4"/>
      <x v="7"/>
      <x v="7301"/>
      <x v="7221"/>
      <x v="56"/>
    </i>
    <i>
      <x v="58"/>
      <x v="7"/>
      <x v="6"/>
      <x v="6"/>
      <x v="1"/>
      <x v="161"/>
      <x v="4"/>
      <x v="10"/>
      <x v="7479"/>
      <x v="7424"/>
      <x v="4"/>
      <x v="7"/>
      <x v="7454"/>
      <x v="7409"/>
      <x v="85"/>
    </i>
    <i>
      <x v="59"/>
      <x v="7"/>
      <x v="8"/>
      <x v="2"/>
      <x v="2"/>
      <x v="34"/>
      <x v="2"/>
      <x v="10"/>
      <x v="7489"/>
      <x v="7439"/>
      <x v="5"/>
      <x v="4"/>
      <x v="7466"/>
      <x v="7426"/>
      <x v="93"/>
    </i>
    <i r="5">
      <x v="36"/>
      <x v="2"/>
      <x v="8"/>
      <x v="7365"/>
      <x v="7263"/>
      <x v="5"/>
      <x v="4"/>
      <x v="7313"/>
      <x v="7240"/>
      <x v="93"/>
    </i>
    <i r="5">
      <x v="38"/>
      <x v="2"/>
      <x v="7"/>
      <x v="7490"/>
      <x v="7440"/>
      <x v="5"/>
      <x v="4"/>
      <x v="7467"/>
      <x v="7427"/>
      <x v="93"/>
    </i>
    <i r="5">
      <x v="40"/>
      <x v="2"/>
      <x v="5"/>
      <x v="7362"/>
      <x v="7441"/>
      <x v="5"/>
      <x v="4"/>
      <x v="7310"/>
      <x v="7428"/>
      <x v="93"/>
    </i>
    <i>
      <x v="60"/>
      <x v="7"/>
      <x v="6"/>
      <x v="2"/>
      <x v="2"/>
      <x v="23"/>
      <x v="2"/>
      <x v="10"/>
      <x v="7491"/>
      <x v="7442"/>
      <x v="5"/>
      <x v="4"/>
      <x v="7468"/>
      <x v="7429"/>
      <x v="93"/>
    </i>
    <i r="5">
      <x v="25"/>
      <x v="2"/>
      <x v="8"/>
      <x v="7374"/>
      <x v="7267"/>
      <x v="5"/>
      <x v="4"/>
      <x v="7322"/>
      <x v="7244"/>
      <x v="93"/>
    </i>
    <i r="5">
      <x v="28"/>
      <x v="2"/>
      <x v="7"/>
      <x v="7492"/>
      <x v="7443"/>
      <x v="5"/>
      <x v="4"/>
      <x v="7469"/>
      <x v="7430"/>
      <x v="93"/>
    </i>
    <i r="5">
      <x v="32"/>
      <x v="2"/>
      <x v="5"/>
      <x v="7493"/>
      <x v="7444"/>
      <x v="5"/>
      <x v="4"/>
      <x v="7470"/>
      <x v="7431"/>
      <x v="93"/>
    </i>
    <i r="1">
      <x v="15"/>
    </i>
    <i>
      <x v="61"/>
      <x v="1"/>
      <x v="3"/>
      <x v="1"/>
      <x v="1"/>
      <x v="113"/>
      <x v="4"/>
      <x v="10"/>
      <x v="7336"/>
      <x v="7230"/>
      <x v="4"/>
      <x v="7"/>
      <x v="7284"/>
      <x v="7207"/>
      <x v="56"/>
    </i>
    <i r="4">
      <x v="2"/>
      <x v="4"/>
      <x v="5"/>
      <x v="10"/>
      <x v="7343"/>
      <x v="7231"/>
      <x v="4"/>
      <x v="7"/>
      <x v="7291"/>
      <x v="7208"/>
      <x v="9"/>
    </i>
    <i r="2">
      <x v="10"/>
      <x v="7"/>
      <x v="2"/>
      <x v="59"/>
      <x/>
      <x v="17"/>
      <x v="7456"/>
      <x v="7406"/>
      <x v="5"/>
      <x v="4"/>
      <x v="7416"/>
      <x v="7389"/>
      <x v="9"/>
    </i>
    <i r="5">
      <x v="225"/>
      <x/>
      <x v="17"/>
      <x v="5484"/>
      <x v="4677"/>
      <x v="5"/>
      <x v="4"/>
      <x v="5154"/>
      <x v="4528"/>
      <x v="81"/>
    </i>
    <i r="3">
      <x v="19"/>
      <x v="2"/>
      <x v="148"/>
      <x v="2"/>
      <x v="7"/>
      <x v="7995"/>
      <x v="7993"/>
      <x v="2"/>
      <x v="2"/>
      <x v="7993"/>
      <x v="7992"/>
      <x v="93"/>
    </i>
    <i r="1">
      <x v="2"/>
      <x v="6"/>
      <x v="7"/>
      <x v="2"/>
      <x v="50"/>
      <x/>
      <x v="17"/>
      <x v="7406"/>
      <x v="7407"/>
      <x v="5"/>
      <x v="4"/>
      <x v="7437"/>
      <x v="7390"/>
      <x v="2"/>
    </i>
    <i r="2">
      <x v="10"/>
      <x/>
      <x v="2"/>
      <x v="83"/>
      <x v="2"/>
      <x v="10"/>
      <x v="7323"/>
      <x v="7207"/>
      <x v="4"/>
      <x v="3"/>
      <x v="7271"/>
      <x v="7184"/>
      <x v="5"/>
    </i>
    <i r="3">
      <x v="7"/>
      <x v="2"/>
      <x v="69"/>
      <x/>
      <x v="10"/>
      <x v="7383"/>
      <x v="7408"/>
      <x v="5"/>
      <x v="4"/>
      <x v="7424"/>
      <x v="7391"/>
      <x v="9"/>
    </i>
    <i r="1">
      <x v="15"/>
    </i>
  </rowItems>
  <colItems count="1">
    <i/>
  </colItems>
  <formats count="11214">
    <format dxfId="11312">
      <pivotArea field="13" type="button" dataOnly="0" labelOnly="1" outline="0" axis="axisRow" fieldPosition="6"/>
    </format>
    <format dxfId="11311">
      <pivotArea field="13" type="button" dataOnly="0" labelOnly="1" outline="0" axis="axisRow" fieldPosition="6"/>
    </format>
    <format dxfId="11310">
      <pivotArea field="13" type="button" dataOnly="0" labelOnly="1" outline="0" axis="axisRow" fieldPosition="6"/>
    </format>
    <format dxfId="11309">
      <pivotArea field="13" type="button" dataOnly="0" labelOnly="1" outline="0" axis="axisRow" fieldPosition="6"/>
    </format>
    <format dxfId="11308">
      <pivotArea field="13" type="button" dataOnly="0" labelOnly="1" outline="0" axis="axisRow" fieldPosition="6"/>
    </format>
    <format dxfId="11307">
      <pivotArea field="13" type="button" dataOnly="0" labelOnly="1" outline="0" axis="axisRow" fieldPosition="6"/>
    </format>
    <format dxfId="11306">
      <pivotArea field="13" type="button" dataOnly="0" labelOnly="1" outline="0" axis="axisRow" fieldPosition="6"/>
    </format>
    <format dxfId="11305">
      <pivotArea field="13" type="button" dataOnly="0" labelOnly="1" outline="0" axis="axisRow" fieldPosition="6"/>
    </format>
    <format dxfId="11304">
      <pivotArea field="13" type="button" dataOnly="0" labelOnly="1" outline="0" axis="axisRow" fieldPosition="6"/>
    </format>
    <format dxfId="11303">
      <pivotArea field="13" type="button" dataOnly="0" labelOnly="1" outline="0" axis="axisRow" fieldPosition="6"/>
    </format>
    <format dxfId="11302">
      <pivotArea field="13" type="button" dataOnly="0" labelOnly="1" outline="0" axis="axisRow" fieldPosition="6"/>
    </format>
    <format dxfId="11301">
      <pivotArea field="13" type="button" dataOnly="0" labelOnly="1" outline="0" axis="axisRow" fieldPosition="6"/>
    </format>
    <format dxfId="11300">
      <pivotArea field="13" type="button" dataOnly="0" labelOnly="1" outline="0" axis="axisRow" fieldPosition="6"/>
    </format>
    <format dxfId="11299">
      <pivotArea field="13" type="button" dataOnly="0" labelOnly="1" outline="0" axis="axisRow" fieldPosition="6"/>
    </format>
    <format dxfId="11298">
      <pivotArea field="13" type="button" dataOnly="0" labelOnly="1" outline="0" axis="axisRow" fieldPosition="6"/>
    </format>
    <format dxfId="11297">
      <pivotArea field="13" type="button" dataOnly="0" labelOnly="1" outline="0" axis="axisRow" fieldPosition="6"/>
    </format>
    <format dxfId="11296">
      <pivotArea field="13" type="button" dataOnly="0" labelOnly="1" outline="0" axis="axisRow" fieldPosition="6"/>
    </format>
    <format dxfId="11295">
      <pivotArea field="13" type="button" dataOnly="0" labelOnly="1" outline="0" axis="axisRow" fieldPosition="6"/>
    </format>
    <format dxfId="11294">
      <pivotArea field="13" type="button" dataOnly="0" labelOnly="1" outline="0" axis="axisRow" fieldPosition="6"/>
    </format>
    <format dxfId="11293">
      <pivotArea field="13" type="button" dataOnly="0" labelOnly="1" outline="0" axis="axisRow" fieldPosition="6"/>
    </format>
    <format dxfId="11292">
      <pivotArea field="13" type="button" dataOnly="0" labelOnly="1" outline="0" axis="axisRow" fieldPosition="6"/>
    </format>
    <format dxfId="11291">
      <pivotArea field="13" type="button" dataOnly="0" labelOnly="1" outline="0" axis="axisRow" fieldPosition="6"/>
    </format>
    <format dxfId="11290">
      <pivotArea field="13" type="button" dataOnly="0" labelOnly="1" outline="0" axis="axisRow" fieldPosition="6"/>
    </format>
    <format dxfId="11289">
      <pivotArea field="13" type="button" dataOnly="0" labelOnly="1" outline="0" axis="axisRow" fieldPosition="6"/>
    </format>
    <format dxfId="11288">
      <pivotArea field="13" type="button" dataOnly="0" labelOnly="1" outline="0" axis="axisRow" fieldPosition="6"/>
    </format>
    <format dxfId="11287">
      <pivotArea field="13" type="button" dataOnly="0" labelOnly="1" outline="0" axis="axisRow" fieldPosition="6"/>
    </format>
    <format dxfId="11286">
      <pivotArea field="13" type="button" dataOnly="0" labelOnly="1" outline="0" axis="axisRow" fieldPosition="6"/>
    </format>
    <format dxfId="11285">
      <pivotArea field="74" type="button" dataOnly="0" labelOnly="1" outline="0"/>
    </format>
    <format dxfId="11284">
      <pivotArea field="13" type="button" dataOnly="0" labelOnly="1" outline="0" axis="axisRow" fieldPosition="6"/>
    </format>
    <format dxfId="11283">
      <pivotArea field="74" type="button" dataOnly="0" labelOnly="1" outline="0"/>
    </format>
    <format dxfId="11282">
      <pivotArea field="13" type="button" dataOnly="0" labelOnly="1" outline="0" axis="axisRow" fieldPosition="6"/>
    </format>
    <format dxfId="11281">
      <pivotArea field="74" type="button" dataOnly="0" labelOnly="1" outline="0"/>
    </format>
    <format dxfId="11280">
      <pivotArea field="74" type="button" dataOnly="0" labelOnly="1" outline="0"/>
    </format>
    <format dxfId="11279">
      <pivotArea field="13" type="button" dataOnly="0" labelOnly="1" outline="0" axis="axisRow" fieldPosition="6"/>
    </format>
    <format dxfId="11278">
      <pivotArea field="13" type="button" dataOnly="0" labelOnly="1" outline="0" axis="axisRow" fieldPosition="6"/>
    </format>
    <format dxfId="11277">
      <pivotArea field="74" type="button" dataOnly="0" labelOnly="1" outline="0"/>
    </format>
    <format dxfId="11276">
      <pivotArea field="17" type="button" dataOnly="0" labelOnly="1" outline="0"/>
    </format>
    <format dxfId="11275">
      <pivotArea field="74" type="button" dataOnly="0" labelOnly="1" outline="0"/>
    </format>
    <format dxfId="11274">
      <pivotArea field="17" type="button" dataOnly="0" labelOnly="1" outline="0"/>
    </format>
    <format dxfId="11273">
      <pivotArea field="74" type="button" dataOnly="0" labelOnly="1" outline="0"/>
    </format>
    <format dxfId="11272">
      <pivotArea field="17" type="button" dataOnly="0" labelOnly="1" outline="0"/>
    </format>
    <format dxfId="11271">
      <pivotArea field="74" type="button" dataOnly="0" labelOnly="1" outline="0"/>
    </format>
    <format dxfId="11270">
      <pivotArea field="13" type="button" dataOnly="0" labelOnly="1" outline="0" axis="axisRow" fieldPosition="6"/>
    </format>
    <format dxfId="11269">
      <pivotArea field="72" type="button" dataOnly="0" labelOnly="1" outline="0" axis="axisRow" fieldPosition="5"/>
    </format>
    <format dxfId="11268">
      <pivotArea field="72" type="button" dataOnly="0" labelOnly="1" outline="0" axis="axisRow" fieldPosition="5"/>
    </format>
    <format dxfId="11267">
      <pivotArea field="72" type="button" dataOnly="0" labelOnly="1" outline="0" axis="axisRow" fieldPosition="5"/>
    </format>
    <format dxfId="11266">
      <pivotArea field="72" type="button" dataOnly="0" labelOnly="1" outline="0" axis="axisRow" fieldPosition="5"/>
    </format>
    <format dxfId="11265">
      <pivotArea field="72" type="button" dataOnly="0" labelOnly="1" outline="0" axis="axisRow" fieldPosition="5"/>
    </format>
    <format dxfId="11264">
      <pivotArea field="72" type="button" dataOnly="0" labelOnly="1" outline="0" axis="axisRow" fieldPosition="5"/>
    </format>
    <format dxfId="11263">
      <pivotArea field="72" type="button" dataOnly="0" labelOnly="1" outline="0" axis="axisRow" fieldPosition="5"/>
    </format>
    <format dxfId="11262">
      <pivotArea field="72" type="button" dataOnly="0" labelOnly="1" outline="0" axis="axisRow" fieldPosition="5"/>
    </format>
    <format dxfId="11261">
      <pivotArea field="72" type="button" dataOnly="0" labelOnly="1" outline="0" axis="axisRow" fieldPosition="5"/>
    </format>
    <format dxfId="11260">
      <pivotArea field="72" type="button" dataOnly="0" labelOnly="1" outline="0" axis="axisRow" fieldPosition="5"/>
    </format>
    <format dxfId="11259">
      <pivotArea field="72" type="button" dataOnly="0" labelOnly="1" outline="0" axis="axisRow" fieldPosition="5"/>
    </format>
    <format dxfId="11258">
      <pivotArea field="72" type="button" dataOnly="0" labelOnly="1" outline="0" axis="axisRow" fieldPosition="5"/>
    </format>
    <format dxfId="11257">
      <pivotArea field="72" type="button" dataOnly="0" labelOnly="1" outline="0" axis="axisRow" fieldPosition="5"/>
    </format>
    <format dxfId="11256">
      <pivotArea field="13" type="button" dataOnly="0" labelOnly="1" outline="0" axis="axisRow" fieldPosition="6"/>
    </format>
    <format dxfId="11255">
      <pivotArea field="3" type="button" dataOnly="0" labelOnly="1" outline="0" axis="axisRow" fieldPosition="1"/>
    </format>
    <format dxfId="11254">
      <pivotArea field="13" type="button" dataOnly="0" labelOnly="1" outline="0" axis="axisRow" fieldPosition="6"/>
    </format>
    <format dxfId="11253">
      <pivotArea dataOnly="0" labelOnly="1" outline="0" fieldPosition="0">
        <references count="1">
          <reference field="1" count="0"/>
        </references>
      </pivotArea>
    </format>
    <format dxfId="11252">
      <pivotArea dataOnly="0" labelOnly="1" grandRow="1" outline="0" fieldPosition="0"/>
    </format>
    <format dxfId="11251">
      <pivotArea dataOnly="0" labelOnly="1" outline="0" fieldPosition="0">
        <references count="2">
          <reference field="1" count="0" selected="0"/>
          <reference field="2" count="0"/>
        </references>
      </pivotArea>
    </format>
    <format dxfId="11250">
      <pivotArea dataOnly="0" labelOnly="1" outline="0" fieldPosition="0">
        <references count="3">
          <reference field="1" count="0" selected="0"/>
          <reference field="2" count="0" selected="0"/>
          <reference field="5" count="3">
            <x v="3"/>
            <x v="5"/>
            <x v="6"/>
          </reference>
        </references>
      </pivotArea>
    </format>
    <format dxfId="11249">
      <pivotArea dataOnly="0" labelOnly="1" outline="0" fieldPosition="0">
        <references count="2">
          <reference field="1" count="0" selected="0"/>
          <reference field="2" count="0"/>
        </references>
      </pivotArea>
    </format>
    <format dxfId="11248">
      <pivotArea dataOnly="0" labelOnly="1" outline="0" fieldPosition="0">
        <references count="3">
          <reference field="1" count="0" selected="0"/>
          <reference field="2" count="0" selected="0"/>
          <reference field="5" count="3">
            <x v="3"/>
            <x v="5"/>
            <x v="6"/>
          </reference>
        </references>
      </pivotArea>
    </format>
    <format dxfId="11247">
      <pivotArea field="72" type="button" dataOnly="0" labelOnly="1" outline="0" axis="axisRow" fieldPosition="5"/>
    </format>
    <format dxfId="11246">
      <pivotArea field="13" type="button" dataOnly="0" labelOnly="1" outline="0" axis="axisRow" fieldPosition="6"/>
    </format>
    <format dxfId="11245">
      <pivotArea field="72" type="button" dataOnly="0" labelOnly="1" outline="0" axis="axisRow" fieldPosition="5"/>
    </format>
    <format dxfId="11244">
      <pivotArea field="2" type="button" dataOnly="0" labelOnly="1" outline="0" axis="axisRow" fieldPosition="2"/>
    </format>
    <format dxfId="11243">
      <pivotArea field="5" type="button" dataOnly="0" labelOnly="1" outline="0" axis="axisRow" fieldPosition="3"/>
    </format>
    <format dxfId="11242">
      <pivotArea field="23" type="button" dataOnly="0" labelOnly="1" outline="0" axis="axisRow" fieldPosition="4"/>
    </format>
    <format dxfId="11241">
      <pivotArea field="72" type="button" dataOnly="0" labelOnly="1" outline="0" axis="axisRow" fieldPosition="5"/>
    </format>
    <format dxfId="11240">
      <pivotArea field="13" type="button" dataOnly="0" labelOnly="1" outline="0" axis="axisRow" fieldPosition="6"/>
    </format>
    <format dxfId="11239">
      <pivotArea field="22" type="button" dataOnly="0" labelOnly="1" outline="0" axis="axisRow" fieldPosition="7"/>
    </format>
    <format dxfId="11238">
      <pivotArea field="81" type="button" dataOnly="0" labelOnly="1" outline="0" axis="axisRow" fieldPosition="8"/>
    </format>
    <format dxfId="11237">
      <pivotArea field="82" type="button" dataOnly="0" labelOnly="1" outline="0" axis="axisRow" fieldPosition="9"/>
    </format>
    <format dxfId="11236">
      <pivotArea field="12" type="button" dataOnly="0" labelOnly="1" outline="0" axis="axisRow" fieldPosition="10"/>
    </format>
    <format dxfId="11235">
      <pivotArea field="85" type="button" dataOnly="0" labelOnly="1" outline="0" axis="axisRow" fieldPosition="11"/>
    </format>
    <format dxfId="11234">
      <pivotArea field="87" type="button" dataOnly="0" labelOnly="1" outline="0" axis="axisRow" fieldPosition="12"/>
    </format>
    <format dxfId="11233">
      <pivotArea field="88" type="button" dataOnly="0" labelOnly="1" outline="0" axis="axisRow" fieldPosition="13"/>
    </format>
    <format dxfId="11232">
      <pivotArea field="72" type="button" dataOnly="0" labelOnly="1" outline="0" axis="axisRow" fieldPosition="5"/>
    </format>
    <format dxfId="11231">
      <pivotArea field="72" type="button" dataOnly="0" labelOnly="1" outline="0" axis="axisRow" fieldPosition="5"/>
    </format>
    <format dxfId="11230">
      <pivotArea field="72" type="button" dataOnly="0" labelOnly="1" outline="0" axis="axisRow" fieldPosition="5"/>
    </format>
    <format dxfId="11229">
      <pivotArea field="72" type="button" dataOnly="0" labelOnly="1" outline="0" axis="axisRow" fieldPosition="5"/>
    </format>
    <format dxfId="11228">
      <pivotArea field="72" type="button" dataOnly="0" labelOnly="1" outline="0" axis="axisRow" fieldPosition="5"/>
    </format>
    <format dxfId="11227">
      <pivotArea field="72" type="button" dataOnly="0" labelOnly="1" outline="0" axis="axisRow" fieldPosition="5"/>
    </format>
    <format dxfId="11226">
      <pivotArea dataOnly="0" labelOnly="1" outline="0" fieldPosition="0">
        <references count="1">
          <reference field="1" count="0"/>
        </references>
      </pivotArea>
    </format>
    <format dxfId="11225">
      <pivotArea field="72" type="button" dataOnly="0" labelOnly="1" outline="0" axis="axisRow" fieldPosition="5"/>
    </format>
    <format dxfId="11224">
      <pivotArea field="72" type="button" dataOnly="0" labelOnly="1" outline="0" axis="axisRow" fieldPosition="5"/>
    </format>
    <format dxfId="11223">
      <pivotArea field="72" type="button" dataOnly="0" labelOnly="1" outline="0" axis="axisRow" fieldPosition="5"/>
    </format>
    <format dxfId="11222">
      <pivotArea dataOnly="0" labelOnly="1" outline="0" fieldPosition="0">
        <references count="1">
          <reference field="1" count="0"/>
        </references>
      </pivotArea>
    </format>
    <format dxfId="11221">
      <pivotArea dataOnly="0" labelOnly="1" outline="0" fieldPosition="0">
        <references count="1">
          <reference field="1" count="0"/>
        </references>
      </pivotArea>
    </format>
    <format dxfId="11220">
      <pivotArea field="72" type="button" dataOnly="0" labelOnly="1" outline="0" axis="axisRow" fieldPosition="5"/>
    </format>
    <format dxfId="11219">
      <pivotArea field="72" type="button" dataOnly="0" labelOnly="1" outline="0" axis="axisRow" fieldPosition="5"/>
    </format>
    <format dxfId="11218">
      <pivotArea field="72" type="button" dataOnly="0" labelOnly="1" outline="0" axis="axisRow" fieldPosition="5"/>
    </format>
    <format dxfId="11217">
      <pivotArea dataOnly="0" labelOnly="1" outline="0" fieldPosition="0">
        <references count="1">
          <reference field="1" count="0"/>
        </references>
      </pivotArea>
    </format>
    <format dxfId="11216">
      <pivotArea dataOnly="0" labelOnly="1" outline="0" fieldPosition="0">
        <references count="2">
          <reference field="1" count="1" selected="0">
            <x v="0"/>
          </reference>
          <reference field="2" count="2">
            <x v="6"/>
            <x v="10"/>
          </reference>
        </references>
      </pivotArea>
    </format>
    <format dxfId="11215">
      <pivotArea dataOnly="0" labelOnly="1" outline="0" fieldPosition="0">
        <references count="2">
          <reference field="1" count="1" selected="0">
            <x v="1"/>
          </reference>
          <reference field="2" count="2">
            <x v="3"/>
            <x v="6"/>
          </reference>
        </references>
      </pivotArea>
    </format>
    <format dxfId="11214">
      <pivotArea dataOnly="0" labelOnly="1" outline="0" fieldPosition="0">
        <references count="2">
          <reference field="1" count="1" selected="0">
            <x v="2"/>
          </reference>
          <reference field="2" count="1">
            <x v="3"/>
          </reference>
        </references>
      </pivotArea>
    </format>
    <format dxfId="11213">
      <pivotArea dataOnly="0" labelOnly="1" outline="0" fieldPosition="0">
        <references count="2">
          <reference field="1" count="1" selected="0">
            <x v="5"/>
          </reference>
          <reference field="2" count="1">
            <x v="8"/>
          </reference>
        </references>
      </pivotArea>
    </format>
    <format dxfId="11212">
      <pivotArea dataOnly="0" labelOnly="1" outline="0" fieldPosition="0">
        <references count="2">
          <reference field="1" count="1" selected="0">
            <x v="6"/>
          </reference>
          <reference field="2" count="1">
            <x v="5"/>
          </reference>
        </references>
      </pivotArea>
    </format>
    <format dxfId="11211">
      <pivotArea dataOnly="0" labelOnly="1" outline="0" fieldPosition="0">
        <references count="2">
          <reference field="1" count="1" selected="0">
            <x v="7"/>
          </reference>
          <reference field="2" count="2">
            <x v="4"/>
            <x v="5"/>
          </reference>
        </references>
      </pivotArea>
    </format>
    <format dxfId="11210">
      <pivotArea dataOnly="0" labelOnly="1" outline="0" fieldPosition="0">
        <references count="2">
          <reference field="1" count="1" selected="0">
            <x v="8"/>
          </reference>
          <reference field="2" count="1">
            <x v="3"/>
          </reference>
        </references>
      </pivotArea>
    </format>
    <format dxfId="11209">
      <pivotArea dataOnly="0" labelOnly="1" outline="0" fieldPosition="0">
        <references count="2">
          <reference field="1" count="1" selected="0">
            <x v="9"/>
          </reference>
          <reference field="2" count="1">
            <x v="5"/>
          </reference>
        </references>
      </pivotArea>
    </format>
    <format dxfId="11208">
      <pivotArea dataOnly="0" labelOnly="1" outline="0" fieldPosition="0">
        <references count="2">
          <reference field="1" count="1" selected="0">
            <x v="10"/>
          </reference>
          <reference field="2" count="1">
            <x v="10"/>
          </reference>
        </references>
      </pivotArea>
    </format>
    <format dxfId="11207">
      <pivotArea dataOnly="0" labelOnly="1" outline="0" fieldPosition="0">
        <references count="2">
          <reference field="1" count="1" selected="0">
            <x v="12"/>
          </reference>
          <reference field="2" count="1">
            <x v="5"/>
          </reference>
        </references>
      </pivotArea>
    </format>
    <format dxfId="11206">
      <pivotArea dataOnly="0" labelOnly="1" outline="0" fieldPosition="0">
        <references count="2">
          <reference field="1" count="1" selected="0">
            <x v="13"/>
          </reference>
          <reference field="2" count="1">
            <x v="10"/>
          </reference>
        </references>
      </pivotArea>
    </format>
    <format dxfId="11205">
      <pivotArea dataOnly="0" labelOnly="1" outline="0" fieldPosition="0">
        <references count="2">
          <reference field="1" count="1" selected="0">
            <x v="15"/>
          </reference>
          <reference field="2" count="1">
            <x v="5"/>
          </reference>
        </references>
      </pivotArea>
    </format>
    <format dxfId="11204">
      <pivotArea dataOnly="0" labelOnly="1" outline="0" fieldPosition="0">
        <references count="2">
          <reference field="1" count="1" selected="0">
            <x v="17"/>
          </reference>
          <reference field="2" count="2">
            <x v="4"/>
            <x v="5"/>
          </reference>
        </references>
      </pivotArea>
    </format>
    <format dxfId="11203">
      <pivotArea dataOnly="0" labelOnly="1" outline="0" fieldPosition="0">
        <references count="2">
          <reference field="1" count="1" selected="0">
            <x v="18"/>
          </reference>
          <reference field="2" count="2">
            <x v="3"/>
            <x v="6"/>
          </reference>
        </references>
      </pivotArea>
    </format>
    <format dxfId="11202">
      <pivotArea dataOnly="0" labelOnly="1" outline="0" fieldPosition="0">
        <references count="2">
          <reference field="1" count="1" selected="0">
            <x v="19"/>
          </reference>
          <reference field="2" count="3">
            <x v="3"/>
            <x v="6"/>
            <x v="10"/>
          </reference>
        </references>
      </pivotArea>
    </format>
    <format dxfId="11201">
      <pivotArea dataOnly="0" labelOnly="1" outline="0" fieldPosition="0">
        <references count="2">
          <reference field="1" count="1" selected="0">
            <x v="21"/>
          </reference>
          <reference field="2" count="2">
            <x v="5"/>
            <x v="6"/>
          </reference>
        </references>
      </pivotArea>
    </format>
    <format dxfId="11200">
      <pivotArea dataOnly="0" labelOnly="1" outline="0" fieldPosition="0">
        <references count="2">
          <reference field="1" count="1" selected="0">
            <x v="22"/>
          </reference>
          <reference field="2" count="1">
            <x v="8"/>
          </reference>
        </references>
      </pivotArea>
    </format>
    <format dxfId="11199">
      <pivotArea dataOnly="0" labelOnly="1" outline="0" fieldPosition="0">
        <references count="2">
          <reference field="1" count="1" selected="0">
            <x v="23"/>
          </reference>
          <reference field="2" count="1">
            <x v="6"/>
          </reference>
        </references>
      </pivotArea>
    </format>
    <format dxfId="11198">
      <pivotArea dataOnly="0" labelOnly="1" outline="0" fieldPosition="0">
        <references count="2">
          <reference field="1" count="1" selected="0">
            <x v="24"/>
          </reference>
          <reference field="2" count="1">
            <x v="12"/>
          </reference>
        </references>
      </pivotArea>
    </format>
    <format dxfId="11197">
      <pivotArea dataOnly="0" labelOnly="1" outline="0" fieldPosition="0">
        <references count="2">
          <reference field="1" count="1" selected="0">
            <x v="25"/>
          </reference>
          <reference field="2" count="1">
            <x v="10"/>
          </reference>
        </references>
      </pivotArea>
    </format>
    <format dxfId="11196">
      <pivotArea dataOnly="0" labelOnly="1" outline="0" fieldPosition="0">
        <references count="2">
          <reference field="1" count="1" selected="0">
            <x v="28"/>
          </reference>
          <reference field="2" count="1">
            <x v="5"/>
          </reference>
        </references>
      </pivotArea>
    </format>
    <format dxfId="11195">
      <pivotArea dataOnly="0" labelOnly="1" outline="0" fieldPosition="0">
        <references count="2">
          <reference field="1" count="1" selected="0">
            <x v="29"/>
          </reference>
          <reference field="2" count="1">
            <x v="2"/>
          </reference>
        </references>
      </pivotArea>
    </format>
    <format dxfId="11194">
      <pivotArea dataOnly="0" labelOnly="1" outline="0" fieldPosition="0">
        <references count="2">
          <reference field="1" count="1" selected="0">
            <x v="30"/>
          </reference>
          <reference field="2" count="2">
            <x v="0"/>
            <x v="14"/>
          </reference>
        </references>
      </pivotArea>
    </format>
    <format dxfId="11193">
      <pivotArea dataOnly="0" labelOnly="1" outline="0" fieldPosition="0">
        <references count="2">
          <reference field="1" count="1" selected="0">
            <x v="31"/>
          </reference>
          <reference field="2" count="1">
            <x v="0"/>
          </reference>
        </references>
      </pivotArea>
    </format>
    <format dxfId="11192">
      <pivotArea dataOnly="0" labelOnly="1" outline="0" fieldPosition="0">
        <references count="2">
          <reference field="1" count="1" selected="0">
            <x v="32"/>
          </reference>
          <reference field="2" count="1">
            <x v="14"/>
          </reference>
        </references>
      </pivotArea>
    </format>
    <format dxfId="11191">
      <pivotArea dataOnly="0" labelOnly="1" outline="0" fieldPosition="0">
        <references count="2">
          <reference field="1" count="1" selected="0">
            <x v="33"/>
          </reference>
          <reference field="2" count="1">
            <x v="1"/>
          </reference>
        </references>
      </pivotArea>
    </format>
    <format dxfId="11190">
      <pivotArea dataOnly="0" labelOnly="1" outline="0" fieldPosition="0">
        <references count="2">
          <reference field="1" count="1" selected="0">
            <x v="34"/>
          </reference>
          <reference field="2" count="1">
            <x v="0"/>
          </reference>
        </references>
      </pivotArea>
    </format>
    <format dxfId="11189">
      <pivotArea dataOnly="0" labelOnly="1" outline="0" fieldPosition="0">
        <references count="2">
          <reference field="1" count="1" selected="0">
            <x v="35"/>
          </reference>
          <reference field="2" count="3">
            <x v="10"/>
            <x v="11"/>
            <x v="13"/>
          </reference>
        </references>
      </pivotArea>
    </format>
    <format dxfId="11188">
      <pivotArea dataOnly="0" labelOnly="1" outline="0" fieldPosition="0">
        <references count="2">
          <reference field="1" count="1" selected="0">
            <x v="36"/>
          </reference>
          <reference field="2" count="2">
            <x v="0"/>
            <x v="15"/>
          </reference>
        </references>
      </pivotArea>
    </format>
    <format dxfId="11187">
      <pivotArea dataOnly="0" labelOnly="1" outline="0" fieldPosition="0">
        <references count="2">
          <reference field="1" count="1" selected="0">
            <x v="37"/>
          </reference>
          <reference field="2" count="1">
            <x v="10"/>
          </reference>
        </references>
      </pivotArea>
    </format>
    <format dxfId="11186">
      <pivotArea dataOnly="0" labelOnly="1" outline="0" fieldPosition="0">
        <references count="2">
          <reference field="1" count="1" selected="0">
            <x v="38"/>
          </reference>
          <reference field="2" count="2">
            <x v="3"/>
            <x v="5"/>
          </reference>
        </references>
      </pivotArea>
    </format>
    <format dxfId="11185">
      <pivotArea dataOnly="0" labelOnly="1" outline="0" fieldPosition="0">
        <references count="3">
          <reference field="1" count="1" selected="0">
            <x v="0"/>
          </reference>
          <reference field="2" count="1" selected="0">
            <x v="6"/>
          </reference>
          <reference field="5" count="6">
            <x v="1"/>
            <x v="3"/>
            <x v="5"/>
            <x v="6"/>
            <x v="7"/>
            <x v="12"/>
          </reference>
        </references>
      </pivotArea>
    </format>
    <format dxfId="11184">
      <pivotArea dataOnly="0" labelOnly="1" outline="0" fieldPosition="0">
        <references count="3">
          <reference field="1" count="1" selected="0">
            <x v="0"/>
          </reference>
          <reference field="2" count="1" selected="0">
            <x v="10"/>
          </reference>
          <reference field="5" count="5">
            <x v="2"/>
            <x v="3"/>
            <x v="5"/>
            <x v="6"/>
            <x v="12"/>
          </reference>
        </references>
      </pivotArea>
    </format>
    <format dxfId="11183">
      <pivotArea dataOnly="0" labelOnly="1" outline="0" fieldPosition="0">
        <references count="3">
          <reference field="1" count="1" selected="0">
            <x v="1"/>
          </reference>
          <reference field="2" count="1" selected="0">
            <x v="3"/>
          </reference>
          <reference field="5" count="4">
            <x v="1"/>
            <x v="3"/>
            <x v="6"/>
            <x v="12"/>
          </reference>
        </references>
      </pivotArea>
    </format>
    <format dxfId="11182">
      <pivotArea dataOnly="0" labelOnly="1" outline="0" fieldPosition="0">
        <references count="3">
          <reference field="1" count="1" selected="0">
            <x v="1"/>
          </reference>
          <reference field="2" count="1" selected="0">
            <x v="6"/>
          </reference>
          <reference field="5" count="1">
            <x v="1"/>
          </reference>
        </references>
      </pivotArea>
    </format>
    <format dxfId="11181">
      <pivotArea dataOnly="0" labelOnly="1" outline="0" fieldPosition="0">
        <references count="3">
          <reference field="1" count="1" selected="0">
            <x v="2"/>
          </reference>
          <reference field="2" count="1" selected="0">
            <x v="3"/>
          </reference>
          <reference field="5" count="2">
            <x v="2"/>
            <x v="3"/>
          </reference>
        </references>
      </pivotArea>
    </format>
    <format dxfId="11180">
      <pivotArea dataOnly="0" labelOnly="1" outline="0" fieldPosition="0">
        <references count="3">
          <reference field="1" count="1" selected="0">
            <x v="3"/>
          </reference>
          <reference field="2" count="1" selected="0">
            <x v="3"/>
          </reference>
          <reference field="5" count="4">
            <x v="1"/>
            <x v="2"/>
            <x v="3"/>
            <x v="6"/>
          </reference>
        </references>
      </pivotArea>
    </format>
    <format dxfId="11179">
      <pivotArea dataOnly="0" labelOnly="1" outline="0" fieldPosition="0">
        <references count="3">
          <reference field="1" count="1" selected="0">
            <x v="4"/>
          </reference>
          <reference field="2" count="1" selected="0">
            <x v="3"/>
          </reference>
          <reference field="5" count="2">
            <x v="1"/>
            <x v="3"/>
          </reference>
        </references>
      </pivotArea>
    </format>
    <format dxfId="11178">
      <pivotArea dataOnly="0" labelOnly="1" outline="0" fieldPosition="0">
        <references count="3">
          <reference field="1" count="1" selected="0">
            <x v="5"/>
          </reference>
          <reference field="2" count="1" selected="0">
            <x v="8"/>
          </reference>
          <reference field="5" count="1">
            <x v="6"/>
          </reference>
        </references>
      </pivotArea>
    </format>
    <format dxfId="11177">
      <pivotArea dataOnly="0" labelOnly="1" outline="0" fieldPosition="0">
        <references count="3">
          <reference field="1" count="1" selected="0">
            <x v="6"/>
          </reference>
          <reference field="2" count="1" selected="0">
            <x v="5"/>
          </reference>
          <reference field="5" count="1">
            <x v="7"/>
          </reference>
        </references>
      </pivotArea>
    </format>
    <format dxfId="11176">
      <pivotArea dataOnly="0" labelOnly="1" outline="0" fieldPosition="0">
        <references count="3">
          <reference field="1" count="1" selected="0">
            <x v="7"/>
          </reference>
          <reference field="2" count="1" selected="0">
            <x v="4"/>
          </reference>
          <reference field="5" count="1">
            <x v="5"/>
          </reference>
        </references>
      </pivotArea>
    </format>
    <format dxfId="11175">
      <pivotArea dataOnly="0" labelOnly="1" outline="0" fieldPosition="0">
        <references count="3">
          <reference field="1" count="1" selected="0">
            <x v="7"/>
          </reference>
          <reference field="2" count="1" selected="0">
            <x v="5"/>
          </reference>
          <reference field="5" count="2">
            <x v="0"/>
            <x v="7"/>
          </reference>
        </references>
      </pivotArea>
    </format>
    <format dxfId="11174">
      <pivotArea dataOnly="0" labelOnly="1" outline="0" fieldPosition="0">
        <references count="3">
          <reference field="1" count="1" selected="0">
            <x v="8"/>
          </reference>
          <reference field="2" count="1" selected="0">
            <x v="3"/>
          </reference>
          <reference field="5" count="1">
            <x v="3"/>
          </reference>
        </references>
      </pivotArea>
    </format>
    <format dxfId="11173">
      <pivotArea dataOnly="0" labelOnly="1" outline="0" fieldPosition="0">
        <references count="3">
          <reference field="1" count="1" selected="0">
            <x v="9"/>
          </reference>
          <reference field="2" count="1" selected="0">
            <x v="5"/>
          </reference>
          <reference field="5" count="4">
            <x v="1"/>
            <x v="2"/>
            <x v="3"/>
            <x v="6"/>
          </reference>
        </references>
      </pivotArea>
    </format>
    <format dxfId="11172">
      <pivotArea dataOnly="0" labelOnly="1" outline="0" fieldPosition="0">
        <references count="3">
          <reference field="1" count="1" selected="0">
            <x v="10"/>
          </reference>
          <reference field="2" count="1" selected="0">
            <x v="10"/>
          </reference>
          <reference field="5" count="1">
            <x v="5"/>
          </reference>
        </references>
      </pivotArea>
    </format>
    <format dxfId="11171">
      <pivotArea dataOnly="0" labelOnly="1" outline="0" fieldPosition="0">
        <references count="3">
          <reference field="1" count="1" selected="0">
            <x v="12"/>
          </reference>
          <reference field="2" count="1" selected="0">
            <x v="5"/>
          </reference>
          <reference field="5" count="3">
            <x v="1"/>
            <x v="2"/>
            <x v="3"/>
          </reference>
        </references>
      </pivotArea>
    </format>
    <format dxfId="11170">
      <pivotArea dataOnly="0" labelOnly="1" outline="0" fieldPosition="0">
        <references count="3">
          <reference field="1" count="1" selected="0">
            <x v="13"/>
          </reference>
          <reference field="2" count="1" selected="0">
            <x v="10"/>
          </reference>
          <reference field="5" count="2">
            <x v="0"/>
            <x v="5"/>
          </reference>
        </references>
      </pivotArea>
    </format>
    <format dxfId="11169">
      <pivotArea dataOnly="0" labelOnly="1" outline="0" fieldPosition="0">
        <references count="3">
          <reference field="1" count="1" selected="0">
            <x v="15"/>
          </reference>
          <reference field="2" count="1" selected="0">
            <x v="5"/>
          </reference>
          <reference field="5" count="3">
            <x v="2"/>
            <x v="3"/>
            <x v="4"/>
          </reference>
        </references>
      </pivotArea>
    </format>
    <format dxfId="11168">
      <pivotArea dataOnly="0" labelOnly="1" outline="0" fieldPosition="0">
        <references count="3">
          <reference field="1" count="1" selected="0">
            <x v="16"/>
          </reference>
          <reference field="2" count="1" selected="0">
            <x v="5"/>
          </reference>
          <reference field="5" count="3">
            <x v="2"/>
            <x v="3"/>
            <x v="4"/>
          </reference>
        </references>
      </pivotArea>
    </format>
    <format dxfId="11167">
      <pivotArea dataOnly="0" labelOnly="1" outline="0" fieldPosition="0">
        <references count="3">
          <reference field="1" count="1" selected="0">
            <x v="17"/>
          </reference>
          <reference field="2" count="1" selected="0">
            <x v="4"/>
          </reference>
          <reference field="5" count="1">
            <x v="5"/>
          </reference>
        </references>
      </pivotArea>
    </format>
    <format dxfId="11166">
      <pivotArea dataOnly="0" labelOnly="1" outline="0" fieldPosition="0">
        <references count="3">
          <reference field="1" count="1" selected="0">
            <x v="17"/>
          </reference>
          <reference field="2" count="1" selected="0">
            <x v="5"/>
          </reference>
          <reference field="5" count="2">
            <x v="6"/>
            <x v="7"/>
          </reference>
        </references>
      </pivotArea>
    </format>
    <format dxfId="11165">
      <pivotArea dataOnly="0" labelOnly="1" outline="0" fieldPosition="0">
        <references count="3">
          <reference field="1" count="1" selected="0">
            <x v="18"/>
          </reference>
          <reference field="2" count="1" selected="0">
            <x v="3"/>
          </reference>
          <reference field="5" count="2">
            <x v="2"/>
            <x v="7"/>
          </reference>
        </references>
      </pivotArea>
    </format>
    <format dxfId="11164">
      <pivotArea dataOnly="0" labelOnly="1" outline="0" fieldPosition="0">
        <references count="3">
          <reference field="1" count="1" selected="0">
            <x v="19"/>
          </reference>
          <reference field="2" count="1" selected="0">
            <x v="3"/>
          </reference>
          <reference field="5" count="1">
            <x v="1"/>
          </reference>
        </references>
      </pivotArea>
    </format>
    <format dxfId="11163">
      <pivotArea dataOnly="0" labelOnly="1" outline="0" fieldPosition="0">
        <references count="3">
          <reference field="1" count="1" selected="0">
            <x v="19"/>
          </reference>
          <reference field="2" count="1" selected="0">
            <x v="6"/>
          </reference>
          <reference field="5" count="2">
            <x v="5"/>
            <x v="7"/>
          </reference>
        </references>
      </pivotArea>
    </format>
    <format dxfId="11162">
      <pivotArea dataOnly="0" labelOnly="1" outline="0" fieldPosition="0">
        <references count="3">
          <reference field="1" count="1" selected="0">
            <x v="19"/>
          </reference>
          <reference field="2" count="1" selected="0">
            <x v="10"/>
          </reference>
          <reference field="5" count="2">
            <x v="4"/>
            <x v="7"/>
          </reference>
        </references>
      </pivotArea>
    </format>
    <format dxfId="11161">
      <pivotArea dataOnly="0" labelOnly="1" outline="0" fieldPosition="0">
        <references count="3">
          <reference field="1" count="1" selected="0">
            <x v="21"/>
          </reference>
          <reference field="2" count="1" selected="0">
            <x v="5"/>
          </reference>
          <reference field="5" count="2">
            <x v="2"/>
            <x v="5"/>
          </reference>
        </references>
      </pivotArea>
    </format>
    <format dxfId="11160">
      <pivotArea dataOnly="0" labelOnly="1" outline="0" fieldPosition="0">
        <references count="3">
          <reference field="1" count="1" selected="0">
            <x v="21"/>
          </reference>
          <reference field="2" count="1" selected="0">
            <x v="6"/>
          </reference>
          <reference field="5" count="1">
            <x v="7"/>
          </reference>
        </references>
      </pivotArea>
    </format>
    <format dxfId="11159">
      <pivotArea dataOnly="0" labelOnly="1" outline="0" fieldPosition="0">
        <references count="3">
          <reference field="1" count="1" selected="0">
            <x v="25"/>
          </reference>
          <reference field="2" count="1" selected="0">
            <x v="10"/>
          </reference>
          <reference field="5" count="1">
            <x v="5"/>
          </reference>
        </references>
      </pivotArea>
    </format>
    <format dxfId="11158">
      <pivotArea dataOnly="0" labelOnly="1" outline="0" fieldPosition="0">
        <references count="3">
          <reference field="1" count="1" selected="0">
            <x v="27"/>
          </reference>
          <reference field="2" count="1" selected="0">
            <x v="10"/>
          </reference>
          <reference field="5" count="1">
            <x v="4"/>
          </reference>
        </references>
      </pivotArea>
    </format>
    <format dxfId="11157">
      <pivotArea dataOnly="0" labelOnly="1" outline="0" fieldPosition="0">
        <references count="3">
          <reference field="1" count="1" selected="0">
            <x v="29"/>
          </reference>
          <reference field="2" count="1" selected="0">
            <x v="2"/>
          </reference>
          <reference field="5" count="3">
            <x v="0"/>
            <x v="5"/>
            <x v="7"/>
          </reference>
        </references>
      </pivotArea>
    </format>
    <format dxfId="11156">
      <pivotArea dataOnly="0" labelOnly="1" outline="0" fieldPosition="0">
        <references count="3">
          <reference field="1" count="1" selected="0">
            <x v="30"/>
          </reference>
          <reference field="2" count="1" selected="0">
            <x v="0"/>
          </reference>
          <reference field="5" count="2">
            <x v="8"/>
            <x v="11"/>
          </reference>
        </references>
      </pivotArea>
    </format>
    <format dxfId="11155">
      <pivotArea dataOnly="0" labelOnly="1" outline="0" fieldPosition="0">
        <references count="3">
          <reference field="1" count="1" selected="0">
            <x v="30"/>
          </reference>
          <reference field="2" count="1" selected="0">
            <x v="14"/>
          </reference>
          <reference field="5" count="2">
            <x v="10"/>
            <x v="11"/>
          </reference>
        </references>
      </pivotArea>
    </format>
    <format dxfId="11154">
      <pivotArea dataOnly="0" labelOnly="1" outline="0" fieldPosition="0">
        <references count="3">
          <reference field="1" count="1" selected="0">
            <x v="31"/>
          </reference>
          <reference field="2" count="1" selected="0">
            <x v="0"/>
          </reference>
          <reference field="5" count="1">
            <x v="8"/>
          </reference>
        </references>
      </pivotArea>
    </format>
    <format dxfId="11153">
      <pivotArea dataOnly="0" labelOnly="1" outline="0" fieldPosition="0">
        <references count="3">
          <reference field="1" count="1" selected="0">
            <x v="32"/>
          </reference>
          <reference field="2" count="1" selected="0">
            <x v="0"/>
          </reference>
          <reference field="5" count="2">
            <x v="11"/>
            <x v="12"/>
          </reference>
        </references>
      </pivotArea>
    </format>
    <format dxfId="11152">
      <pivotArea dataOnly="0" labelOnly="1" outline="0" fieldPosition="0">
        <references count="3">
          <reference field="1" count="1" selected="0">
            <x v="32"/>
          </reference>
          <reference field="2" count="1" selected="0">
            <x v="14"/>
          </reference>
          <reference field="5" count="1">
            <x v="11"/>
          </reference>
        </references>
      </pivotArea>
    </format>
    <format dxfId="11151">
      <pivotArea dataOnly="0" labelOnly="1" outline="0" fieldPosition="0">
        <references count="3">
          <reference field="1" count="1" selected="0">
            <x v="33"/>
          </reference>
          <reference field="2" count="1" selected="0">
            <x v="1"/>
          </reference>
          <reference field="5" count="1">
            <x v="8"/>
          </reference>
        </references>
      </pivotArea>
    </format>
    <format dxfId="11150">
      <pivotArea dataOnly="0" labelOnly="1" outline="0" fieldPosition="0">
        <references count="3">
          <reference field="1" count="1" selected="0">
            <x v="35"/>
          </reference>
          <reference field="2" count="1" selected="0">
            <x v="10"/>
          </reference>
          <reference field="5" count="1">
            <x v="5"/>
          </reference>
        </references>
      </pivotArea>
    </format>
    <format dxfId="11149">
      <pivotArea dataOnly="0" labelOnly="1" outline="0" fieldPosition="0">
        <references count="3">
          <reference field="1" count="1" selected="0">
            <x v="35"/>
          </reference>
          <reference field="2" count="1" selected="0">
            <x v="13"/>
          </reference>
          <reference field="5" count="1">
            <x v="9"/>
          </reference>
        </references>
      </pivotArea>
    </format>
    <format dxfId="11148">
      <pivotArea dataOnly="0" labelOnly="1" outline="0" fieldPosition="0">
        <references count="3">
          <reference field="1" count="1" selected="0">
            <x v="36"/>
          </reference>
          <reference field="2" count="1" selected="0">
            <x v="0"/>
          </reference>
          <reference field="5" count="2">
            <x v="8"/>
            <x v="10"/>
          </reference>
        </references>
      </pivotArea>
    </format>
    <format dxfId="11147">
      <pivotArea dataOnly="0" labelOnly="1" outline="0" fieldPosition="0">
        <references count="3">
          <reference field="1" count="1" selected="0">
            <x v="37"/>
          </reference>
          <reference field="2" count="1" selected="0">
            <x v="10"/>
          </reference>
          <reference field="5" count="2">
            <x v="0"/>
            <x v="7"/>
          </reference>
        </references>
      </pivotArea>
    </format>
    <format dxfId="11146">
      <pivotArea dataOnly="0" labelOnly="1" outline="0" fieldPosition="0">
        <references count="3">
          <reference field="1" count="1" selected="0">
            <x v="38"/>
          </reference>
          <reference field="2" count="1" selected="0">
            <x v="3"/>
          </reference>
          <reference field="5" count="1">
            <x v="12"/>
          </reference>
        </references>
      </pivotArea>
    </format>
    <format dxfId="11145">
      <pivotArea dataOnly="0" labelOnly="1" outline="0" fieldPosition="0">
        <references count="3">
          <reference field="1" count="1" selected="0">
            <x v="38"/>
          </reference>
          <reference field="2" count="1" selected="0">
            <x v="5"/>
          </reference>
          <reference field="5" count="3">
            <x v="4"/>
            <x v="7"/>
            <x v="12"/>
          </reference>
        </references>
      </pivotArea>
    </format>
    <format dxfId="11144">
      <pivotArea dataOnly="0" labelOnly="1" outline="0" fieldPosition="0">
        <references count="4">
          <reference field="1" count="1" selected="0">
            <x v="0"/>
          </reference>
          <reference field="2" count="1" selected="0">
            <x v="6"/>
          </reference>
          <reference field="5" count="1" selected="0">
            <x v="1"/>
          </reference>
          <reference field="23" count="2">
            <x v="1"/>
            <x v="2"/>
          </reference>
        </references>
      </pivotArea>
    </format>
    <format dxfId="11143">
      <pivotArea dataOnly="0" labelOnly="1" outline="0" fieldPosition="0">
        <references count="4">
          <reference field="1" count="1" selected="0">
            <x v="0"/>
          </reference>
          <reference field="2" count="1" selected="0">
            <x v="6"/>
          </reference>
          <reference field="5" count="1" selected="0">
            <x v="5"/>
          </reference>
          <reference field="23" count="1">
            <x v="0"/>
          </reference>
        </references>
      </pivotArea>
    </format>
    <format dxfId="11142">
      <pivotArea dataOnly="0" labelOnly="1" outline="0" fieldPosition="0">
        <references count="4">
          <reference field="1" count="1" selected="0">
            <x v="0"/>
          </reference>
          <reference field="2" count="1" selected="0">
            <x v="6"/>
          </reference>
          <reference field="5" count="1" selected="0">
            <x v="6"/>
          </reference>
          <reference field="23" count="2">
            <x v="1"/>
            <x v="2"/>
          </reference>
        </references>
      </pivotArea>
    </format>
    <format dxfId="11141">
      <pivotArea dataOnly="0" labelOnly="1" outline="0" fieldPosition="0">
        <references count="4">
          <reference field="1" count="1" selected="0">
            <x v="0"/>
          </reference>
          <reference field="2" count="1" selected="0">
            <x v="6"/>
          </reference>
          <reference field="5" count="1" selected="0">
            <x v="12"/>
          </reference>
          <reference field="23" count="1">
            <x v="1"/>
          </reference>
        </references>
      </pivotArea>
    </format>
    <format dxfId="11140">
      <pivotArea dataOnly="0" labelOnly="1" outline="0" fieldPosition="0">
        <references count="4">
          <reference field="1" count="1" selected="0">
            <x v="0"/>
          </reference>
          <reference field="2" count="1" selected="0">
            <x v="10"/>
          </reference>
          <reference field="5" count="1" selected="0">
            <x v="2"/>
          </reference>
          <reference field="23" count="1">
            <x v="2"/>
          </reference>
        </references>
      </pivotArea>
    </format>
    <format dxfId="11139">
      <pivotArea dataOnly="0" labelOnly="1" outline="0" fieldPosition="0">
        <references count="4">
          <reference field="1" count="1" selected="0">
            <x v="0"/>
          </reference>
          <reference field="2" count="1" selected="0">
            <x v="10"/>
          </reference>
          <reference field="5" count="1" selected="0">
            <x v="5"/>
          </reference>
          <reference field="23" count="1">
            <x v="0"/>
          </reference>
        </references>
      </pivotArea>
    </format>
    <format dxfId="11138">
      <pivotArea dataOnly="0" labelOnly="1" outline="0" fieldPosition="0">
        <references count="4">
          <reference field="1" count="1" selected="0">
            <x v="0"/>
          </reference>
          <reference field="2" count="1" selected="0">
            <x v="10"/>
          </reference>
          <reference field="5" count="1" selected="0">
            <x v="6"/>
          </reference>
          <reference field="23" count="2">
            <x v="1"/>
            <x v="2"/>
          </reference>
        </references>
      </pivotArea>
    </format>
    <format dxfId="11137">
      <pivotArea dataOnly="0" labelOnly="1" outline="0" fieldPosition="0">
        <references count="4">
          <reference field="1" count="1" selected="0">
            <x v="0"/>
          </reference>
          <reference field="2" count="1" selected="0">
            <x v="10"/>
          </reference>
          <reference field="5" count="1" selected="0">
            <x v="12"/>
          </reference>
          <reference field="23" count="1">
            <x v="1"/>
          </reference>
        </references>
      </pivotArea>
    </format>
    <format dxfId="11136">
      <pivotArea dataOnly="0" labelOnly="1" outline="0" fieldPosition="0">
        <references count="4">
          <reference field="1" count="1" selected="0">
            <x v="1"/>
          </reference>
          <reference field="2" count="1" selected="0">
            <x v="3"/>
          </reference>
          <reference field="5" count="1" selected="0">
            <x v="1"/>
          </reference>
          <reference field="23" count="1">
            <x v="2"/>
          </reference>
        </references>
      </pivotArea>
    </format>
    <format dxfId="11135">
      <pivotArea dataOnly="0" labelOnly="1" outline="0" fieldPosition="0">
        <references count="4">
          <reference field="1" count="1" selected="0">
            <x v="1"/>
          </reference>
          <reference field="2" count="1" selected="0">
            <x v="3"/>
          </reference>
          <reference field="5" count="1" selected="0">
            <x v="6"/>
          </reference>
          <reference field="23" count="2">
            <x v="1"/>
            <x v="2"/>
          </reference>
        </references>
      </pivotArea>
    </format>
    <format dxfId="11134">
      <pivotArea dataOnly="0" labelOnly="1" outline="0" fieldPosition="0">
        <references count="4">
          <reference field="1" count="1" selected="0">
            <x v="1"/>
          </reference>
          <reference field="2" count="1" selected="0">
            <x v="3"/>
          </reference>
          <reference field="5" count="1" selected="0">
            <x v="12"/>
          </reference>
          <reference field="23" count="1">
            <x v="1"/>
          </reference>
        </references>
      </pivotArea>
    </format>
    <format dxfId="11133">
      <pivotArea dataOnly="0" labelOnly="1" outline="0" fieldPosition="0">
        <references count="4">
          <reference field="1" count="1" selected="0">
            <x v="1"/>
          </reference>
          <reference field="2" count="1" selected="0">
            <x v="6"/>
          </reference>
          <reference field="5" count="1" selected="0">
            <x v="1"/>
          </reference>
          <reference field="23" count="1">
            <x v="2"/>
          </reference>
        </references>
      </pivotArea>
    </format>
    <format dxfId="11132">
      <pivotArea dataOnly="0" labelOnly="1" outline="0" fieldPosition="0">
        <references count="4">
          <reference field="1" count="1" selected="0">
            <x v="2"/>
          </reference>
          <reference field="2" count="1" selected="0">
            <x v="3"/>
          </reference>
          <reference field="5" count="1" selected="0">
            <x v="1"/>
          </reference>
          <reference field="23" count="2">
            <x v="1"/>
            <x v="2"/>
          </reference>
        </references>
      </pivotArea>
    </format>
    <format dxfId="11131">
      <pivotArea dataOnly="0" labelOnly="1" outline="0" fieldPosition="0">
        <references count="4">
          <reference field="1" count="1" selected="0">
            <x v="4"/>
          </reference>
          <reference field="2" count="1" selected="0">
            <x v="3"/>
          </reference>
          <reference field="5" count="1" selected="0">
            <x v="1"/>
          </reference>
          <reference field="23" count="2">
            <x v="1"/>
            <x v="2"/>
          </reference>
        </references>
      </pivotArea>
    </format>
    <format dxfId="11130">
      <pivotArea dataOnly="0" labelOnly="1" outline="0" fieldPosition="0">
        <references count="4">
          <reference field="1" count="1" selected="0">
            <x v="7"/>
          </reference>
          <reference field="2" count="1" selected="0">
            <x v="4"/>
          </reference>
          <reference field="5" count="1" selected="0">
            <x v="5"/>
          </reference>
          <reference field="23" count="1">
            <x v="0"/>
          </reference>
        </references>
      </pivotArea>
    </format>
    <format dxfId="11129">
      <pivotArea dataOnly="0" labelOnly="1" outline="0" fieldPosition="0">
        <references count="4">
          <reference field="1" count="1" selected="0">
            <x v="7"/>
          </reference>
          <reference field="2" count="1" selected="0">
            <x v="5"/>
          </reference>
          <reference field="5" count="1" selected="0">
            <x v="0"/>
          </reference>
          <reference field="23" count="1">
            <x v="2"/>
          </reference>
        </references>
      </pivotArea>
    </format>
    <format dxfId="11128">
      <pivotArea dataOnly="0" labelOnly="1" outline="0" fieldPosition="0">
        <references count="4">
          <reference field="1" count="1" selected="0">
            <x v="9"/>
          </reference>
          <reference field="2" count="1" selected="0">
            <x v="5"/>
          </reference>
          <reference field="5" count="1" selected="0">
            <x v="1"/>
          </reference>
          <reference field="23" count="2">
            <x v="1"/>
            <x v="2"/>
          </reference>
        </references>
      </pivotArea>
    </format>
    <format dxfId="11127">
      <pivotArea dataOnly="0" labelOnly="1" outline="0" fieldPosition="0">
        <references count="4">
          <reference field="1" count="1" selected="0">
            <x v="9"/>
          </reference>
          <reference field="2" count="1" selected="0">
            <x v="5"/>
          </reference>
          <reference field="5" count="1" selected="0">
            <x v="6"/>
          </reference>
          <reference field="23" count="2">
            <x v="1"/>
            <x v="2"/>
          </reference>
        </references>
      </pivotArea>
    </format>
    <format dxfId="11126">
      <pivotArea dataOnly="0" labelOnly="1" outline="0" fieldPosition="0">
        <references count="4">
          <reference field="1" count="1" selected="0">
            <x v="10"/>
          </reference>
          <reference field="2" count="1" selected="0">
            <x v="10"/>
          </reference>
          <reference field="5" count="1" selected="0">
            <x v="5"/>
          </reference>
          <reference field="23" count="1">
            <x v="0"/>
          </reference>
        </references>
      </pivotArea>
    </format>
    <format dxfId="11125">
      <pivotArea dataOnly="0" labelOnly="1" outline="0" fieldPosition="0">
        <references count="4">
          <reference field="1" count="1" selected="0">
            <x v="12"/>
          </reference>
          <reference field="2" count="1" selected="0">
            <x v="5"/>
          </reference>
          <reference field="5" count="1" selected="0">
            <x v="1"/>
          </reference>
          <reference field="23" count="2">
            <x v="1"/>
            <x v="2"/>
          </reference>
        </references>
      </pivotArea>
    </format>
    <format dxfId="11124">
      <pivotArea dataOnly="0" labelOnly="1" outline="0" fieldPosition="0">
        <references count="4">
          <reference field="1" count="1" selected="0">
            <x v="13"/>
          </reference>
          <reference field="2" count="1" selected="0">
            <x v="10"/>
          </reference>
          <reference field="5" count="1" selected="0">
            <x v="5"/>
          </reference>
          <reference field="23" count="1">
            <x v="0"/>
          </reference>
        </references>
      </pivotArea>
    </format>
    <format dxfId="11123">
      <pivotArea dataOnly="0" labelOnly="1" outline="0" fieldPosition="0">
        <references count="4">
          <reference field="1" count="1" selected="0">
            <x v="15"/>
          </reference>
          <reference field="2" count="1" selected="0">
            <x v="5"/>
          </reference>
          <reference field="5" count="1" selected="0">
            <x v="2"/>
          </reference>
          <reference field="23" count="1">
            <x v="2"/>
          </reference>
        </references>
      </pivotArea>
    </format>
    <format dxfId="11122">
      <pivotArea dataOnly="0" labelOnly="1" outline="0" fieldPosition="0">
        <references count="4">
          <reference field="1" count="1" selected="0">
            <x v="17"/>
          </reference>
          <reference field="2" count="1" selected="0">
            <x v="4"/>
          </reference>
          <reference field="5" count="1" selected="0">
            <x v="5"/>
          </reference>
          <reference field="23" count="1">
            <x v="0"/>
          </reference>
        </references>
      </pivotArea>
    </format>
    <format dxfId="11121">
      <pivotArea dataOnly="0" labelOnly="1" outline="0" fieldPosition="0">
        <references count="4">
          <reference field="1" count="1" selected="0">
            <x v="17"/>
          </reference>
          <reference field="2" count="1" selected="0">
            <x v="5"/>
          </reference>
          <reference field="5" count="1" selected="0">
            <x v="6"/>
          </reference>
          <reference field="23" count="2">
            <x v="1"/>
            <x v="2"/>
          </reference>
        </references>
      </pivotArea>
    </format>
    <format dxfId="11120">
      <pivotArea dataOnly="0" labelOnly="1" outline="0" fieldPosition="0">
        <references count="4">
          <reference field="1" count="1" selected="0">
            <x v="19"/>
          </reference>
          <reference field="2" count="1" selected="0">
            <x v="6"/>
          </reference>
          <reference field="5" count="1" selected="0">
            <x v="5"/>
          </reference>
          <reference field="23" count="1">
            <x v="0"/>
          </reference>
        </references>
      </pivotArea>
    </format>
    <format dxfId="11119">
      <pivotArea dataOnly="0" labelOnly="1" outline="0" fieldPosition="0">
        <references count="4">
          <reference field="1" count="1" selected="0">
            <x v="19"/>
          </reference>
          <reference field="2" count="1" selected="0">
            <x v="6"/>
          </reference>
          <reference field="5" count="1" selected="0">
            <x v="7"/>
          </reference>
          <reference field="23" count="1">
            <x v="2"/>
          </reference>
        </references>
      </pivotArea>
    </format>
    <format dxfId="11118">
      <pivotArea dataOnly="0" labelOnly="1" outline="0" fieldPosition="0">
        <references count="4">
          <reference field="1" count="1" selected="0">
            <x v="21"/>
          </reference>
          <reference field="2" count="1" selected="0">
            <x v="5"/>
          </reference>
          <reference field="5" count="1" selected="0">
            <x v="5"/>
          </reference>
          <reference field="23" count="1">
            <x v="0"/>
          </reference>
        </references>
      </pivotArea>
    </format>
    <format dxfId="11117">
      <pivotArea dataOnly="0" labelOnly="1" outline="0" fieldPosition="0">
        <references count="4">
          <reference field="1" count="1" selected="0">
            <x v="21"/>
          </reference>
          <reference field="2" count="1" selected="0">
            <x v="6"/>
          </reference>
          <reference field="5" count="1" selected="0">
            <x v="7"/>
          </reference>
          <reference field="23" count="1">
            <x v="2"/>
          </reference>
        </references>
      </pivotArea>
    </format>
    <format dxfId="11116">
      <pivotArea dataOnly="0" labelOnly="1" outline="0" fieldPosition="0">
        <references count="4">
          <reference field="1" count="1" selected="0">
            <x v="25"/>
          </reference>
          <reference field="2" count="1" selected="0">
            <x v="10"/>
          </reference>
          <reference field="5" count="1" selected="0">
            <x v="5"/>
          </reference>
          <reference field="23" count="1">
            <x v="0"/>
          </reference>
        </references>
      </pivotArea>
    </format>
    <format dxfId="11115">
      <pivotArea dataOnly="0" labelOnly="1" outline="0" fieldPosition="0">
        <references count="4">
          <reference field="1" count="1" selected="0">
            <x v="27"/>
          </reference>
          <reference field="2" count="1" selected="0">
            <x v="10"/>
          </reference>
          <reference field="5" count="1" selected="0">
            <x v="4"/>
          </reference>
          <reference field="23" count="1">
            <x v="2"/>
          </reference>
        </references>
      </pivotArea>
    </format>
    <format dxfId="11114">
      <pivotArea dataOnly="0" labelOnly="1" outline="0" fieldPosition="0">
        <references count="4">
          <reference field="1" count="1" selected="0">
            <x v="29"/>
          </reference>
          <reference field="2" count="1" selected="0">
            <x v="2"/>
          </reference>
          <reference field="5" count="1" selected="0">
            <x v="5"/>
          </reference>
          <reference field="23" count="1">
            <x v="0"/>
          </reference>
        </references>
      </pivotArea>
    </format>
    <format dxfId="11113">
      <pivotArea dataOnly="0" labelOnly="1" outline="0" fieldPosition="0">
        <references count="4">
          <reference field="1" count="1" selected="0">
            <x v="29"/>
          </reference>
          <reference field="2" count="1" selected="0">
            <x v="2"/>
          </reference>
          <reference field="5" count="1" selected="0">
            <x v="7"/>
          </reference>
          <reference field="23" count="1">
            <x v="2"/>
          </reference>
        </references>
      </pivotArea>
    </format>
    <format dxfId="11112">
      <pivotArea dataOnly="0" labelOnly="1" outline="0" fieldPosition="0">
        <references count="4">
          <reference field="1" count="1" selected="0">
            <x v="30"/>
          </reference>
          <reference field="2" count="1" selected="0">
            <x v="0"/>
          </reference>
          <reference field="5" count="1" selected="0">
            <x v="8"/>
          </reference>
          <reference field="23" count="1">
            <x v="0"/>
          </reference>
        </references>
      </pivotArea>
    </format>
    <format dxfId="11111">
      <pivotArea dataOnly="0" labelOnly="1" outline="0" fieldPosition="0">
        <references count="4">
          <reference field="1" count="1" selected="0">
            <x v="30"/>
          </reference>
          <reference field="2" count="1" selected="0">
            <x v="0"/>
          </reference>
          <reference field="5" count="1" selected="0">
            <x v="11"/>
          </reference>
          <reference field="23" count="1">
            <x v="3"/>
          </reference>
        </references>
      </pivotArea>
    </format>
    <format dxfId="11110">
      <pivotArea dataOnly="0" labelOnly="1" outline="0" fieldPosition="0">
        <references count="4">
          <reference field="1" count="1" selected="0">
            <x v="30"/>
          </reference>
          <reference field="2" count="1" selected="0">
            <x v="14"/>
          </reference>
          <reference field="5" count="1" selected="0">
            <x v="10"/>
          </reference>
          <reference field="23" count="1">
            <x v="0"/>
          </reference>
        </references>
      </pivotArea>
    </format>
    <format dxfId="11109">
      <pivotArea dataOnly="0" labelOnly="1" outline="0" fieldPosition="0">
        <references count="4">
          <reference field="1" count="1" selected="0">
            <x v="30"/>
          </reference>
          <reference field="2" count="1" selected="0">
            <x v="14"/>
          </reference>
          <reference field="5" count="1" selected="0">
            <x v="11"/>
          </reference>
          <reference field="23" count="1">
            <x v="3"/>
          </reference>
        </references>
      </pivotArea>
    </format>
    <format dxfId="11108">
      <pivotArea dataOnly="0" labelOnly="1" outline="0" fieldPosition="0">
        <references count="4">
          <reference field="1" count="1" selected="0">
            <x v="31"/>
          </reference>
          <reference field="2" count="1" selected="0">
            <x v="0"/>
          </reference>
          <reference field="5" count="1" selected="0">
            <x v="8"/>
          </reference>
          <reference field="23" count="1">
            <x v="0"/>
          </reference>
        </references>
      </pivotArea>
    </format>
    <format dxfId="11107">
      <pivotArea dataOnly="0" labelOnly="1" outline="0" fieldPosition="0">
        <references count="4">
          <reference field="1" count="1" selected="0">
            <x v="32"/>
          </reference>
          <reference field="2" count="1" selected="0">
            <x v="0"/>
          </reference>
          <reference field="5" count="1" selected="0">
            <x v="11"/>
          </reference>
          <reference field="23" count="1">
            <x v="3"/>
          </reference>
        </references>
      </pivotArea>
    </format>
    <format dxfId="11106">
      <pivotArea dataOnly="0" labelOnly="1" outline="0" fieldPosition="0">
        <references count="4">
          <reference field="1" count="1" selected="0">
            <x v="32"/>
          </reference>
          <reference field="2" count="1" selected="0">
            <x v="0"/>
          </reference>
          <reference field="5" count="1" selected="0">
            <x v="12"/>
          </reference>
          <reference field="23" count="1">
            <x v="2"/>
          </reference>
        </references>
      </pivotArea>
    </format>
    <format dxfId="11105">
      <pivotArea dataOnly="0" labelOnly="1" outline="0" fieldPosition="0">
        <references count="4">
          <reference field="1" count="1" selected="0">
            <x v="32"/>
          </reference>
          <reference field="2" count="1" selected="0">
            <x v="14"/>
          </reference>
          <reference field="5" count="1" selected="0">
            <x v="11"/>
          </reference>
          <reference field="23" count="1">
            <x v="3"/>
          </reference>
        </references>
      </pivotArea>
    </format>
    <format dxfId="11104">
      <pivotArea dataOnly="0" labelOnly="1" outline="0" fieldPosition="0">
        <references count="4">
          <reference field="1" count="1" selected="0">
            <x v="33"/>
          </reference>
          <reference field="2" count="1" selected="0">
            <x v="1"/>
          </reference>
          <reference field="5" count="1" selected="0">
            <x v="8"/>
          </reference>
          <reference field="23" count="1">
            <x v="0"/>
          </reference>
        </references>
      </pivotArea>
    </format>
    <format dxfId="11103">
      <pivotArea dataOnly="0" labelOnly="1" outline="0" fieldPosition="0">
        <references count="4">
          <reference field="1" count="1" selected="0">
            <x v="35"/>
          </reference>
          <reference field="2" count="1" selected="0">
            <x v="10"/>
          </reference>
          <reference field="5" count="1" selected="0">
            <x v="5"/>
          </reference>
          <reference field="23" count="1">
            <x v="0"/>
          </reference>
        </references>
      </pivotArea>
    </format>
    <format dxfId="11102">
      <pivotArea dataOnly="0" labelOnly="1" outline="0" fieldPosition="0">
        <references count="4">
          <reference field="1" count="1" selected="0">
            <x v="35"/>
          </reference>
          <reference field="2" count="1" selected="0">
            <x v="13"/>
          </reference>
          <reference field="5" count="1" selected="0">
            <x v="9"/>
          </reference>
          <reference field="23" count="1">
            <x v="4"/>
          </reference>
        </references>
      </pivotArea>
    </format>
    <format dxfId="11101">
      <pivotArea dataOnly="0" labelOnly="1" outline="0" fieldPosition="0">
        <references count="4">
          <reference field="1" count="1" selected="0">
            <x v="36"/>
          </reference>
          <reference field="2" count="1" selected="0">
            <x v="0"/>
          </reference>
          <reference field="5" count="1" selected="0">
            <x v="8"/>
          </reference>
          <reference field="23" count="1">
            <x v="0"/>
          </reference>
        </references>
      </pivotArea>
    </format>
    <format dxfId="11100">
      <pivotArea dataOnly="0" labelOnly="1" outline="0" fieldPosition="0">
        <references count="4">
          <reference field="1" count="1" selected="0">
            <x v="38"/>
          </reference>
          <reference field="2" count="1" selected="0">
            <x v="3"/>
          </reference>
          <reference field="5" count="1" selected="0">
            <x v="12"/>
          </reference>
          <reference field="23" count="1">
            <x v="1"/>
          </reference>
        </references>
      </pivotArea>
    </format>
    <format dxfId="11099">
      <pivotArea dataOnly="0" labelOnly="1" outline="0" fieldPosition="0">
        <references count="4">
          <reference field="1" count="1" selected="0">
            <x v="38"/>
          </reference>
          <reference field="2" count="1" selected="0">
            <x v="5"/>
          </reference>
          <reference field="5" count="1" selected="0">
            <x v="4"/>
          </reference>
          <reference field="23" count="1">
            <x v="2"/>
          </reference>
        </references>
      </pivotArea>
    </format>
    <format dxfId="11098">
      <pivotArea dataOnly="0" labelOnly="1" outline="0" fieldPosition="0">
        <references count="5">
          <reference field="1" count="1" selected="0">
            <x v="0"/>
          </reference>
          <reference field="2" count="1" selected="0">
            <x v="6"/>
          </reference>
          <reference field="5" count="1" selected="0">
            <x v="1"/>
          </reference>
          <reference field="23" count="1" selected="0">
            <x v="1"/>
          </reference>
          <reference field="72" count="1">
            <x v="123"/>
          </reference>
        </references>
      </pivotArea>
    </format>
    <format dxfId="11097">
      <pivotArea dataOnly="0" labelOnly="1" outline="0" fieldPosition="0">
        <references count="5">
          <reference field="1" count="1" selected="0">
            <x v="0"/>
          </reference>
          <reference field="2" count="1" selected="0">
            <x v="6"/>
          </reference>
          <reference field="5" count="1" selected="0">
            <x v="1"/>
          </reference>
          <reference field="23" count="1" selected="0">
            <x v="2"/>
          </reference>
          <reference field="72" count="1">
            <x v="15"/>
          </reference>
        </references>
      </pivotArea>
    </format>
    <format dxfId="11096">
      <pivotArea dataOnly="0" labelOnly="1" outline="0" fieldPosition="0">
        <references count="5">
          <reference field="1" count="1" selected="0">
            <x v="0"/>
          </reference>
          <reference field="2" count="1" selected="0">
            <x v="6"/>
          </reference>
          <reference field="5" count="1" selected="0">
            <x v="3"/>
          </reference>
          <reference field="23" count="1" selected="0">
            <x v="2"/>
          </reference>
          <reference field="72" count="3">
            <x v="44"/>
            <x v="46"/>
            <x v="52"/>
          </reference>
        </references>
      </pivotArea>
    </format>
    <format dxfId="11095">
      <pivotArea dataOnly="0" labelOnly="1" outline="0" fieldPosition="0">
        <references count="5">
          <reference field="1" count="1" selected="0">
            <x v="0"/>
          </reference>
          <reference field="2" count="1" selected="0">
            <x v="6"/>
          </reference>
          <reference field="5" count="1" selected="0">
            <x v="5"/>
          </reference>
          <reference field="23" count="1" selected="0">
            <x v="0"/>
          </reference>
          <reference field="72" count="1">
            <x v="121"/>
          </reference>
        </references>
      </pivotArea>
    </format>
    <format dxfId="11094">
      <pivotArea dataOnly="0" labelOnly="1" outline="0" fieldPosition="0">
        <references count="5">
          <reference field="1" count="1" selected="0">
            <x v="0"/>
          </reference>
          <reference field="2" count="1" selected="0">
            <x v="6"/>
          </reference>
          <reference field="5" count="1" selected="0">
            <x v="6"/>
          </reference>
          <reference field="23" count="1" selected="0">
            <x v="1"/>
          </reference>
          <reference field="72" count="1">
            <x v="119"/>
          </reference>
        </references>
      </pivotArea>
    </format>
    <format dxfId="11093">
      <pivotArea dataOnly="0" labelOnly="1" outline="0" fieldPosition="0">
        <references count="5">
          <reference field="1" count="1" selected="0">
            <x v="0"/>
          </reference>
          <reference field="2" count="1" selected="0">
            <x v="6"/>
          </reference>
          <reference field="5" count="1" selected="0">
            <x v="6"/>
          </reference>
          <reference field="23" count="1" selected="0">
            <x v="2"/>
          </reference>
          <reference field="72" count="1">
            <x v="12"/>
          </reference>
        </references>
      </pivotArea>
    </format>
    <format dxfId="11092">
      <pivotArea dataOnly="0" labelOnly="1" outline="0" fieldPosition="0">
        <references count="5">
          <reference field="1" count="1" selected="0">
            <x v="0"/>
          </reference>
          <reference field="2" count="1" selected="0">
            <x v="6"/>
          </reference>
          <reference field="5" count="1" selected="0">
            <x v="7"/>
          </reference>
          <reference field="23" count="1" selected="0">
            <x v="2"/>
          </reference>
          <reference field="72" count="4">
            <x v="60"/>
            <x v="64"/>
            <x v="67"/>
            <x v="74"/>
          </reference>
        </references>
      </pivotArea>
    </format>
    <format dxfId="11091">
      <pivotArea dataOnly="0" labelOnly="1" outline="0" fieldPosition="0">
        <references count="5">
          <reference field="1" count="1" selected="0">
            <x v="0"/>
          </reference>
          <reference field="2" count="1" selected="0">
            <x v="6"/>
          </reference>
          <reference field="5" count="1" selected="0">
            <x v="12"/>
          </reference>
          <reference field="23" count="1" selected="0">
            <x v="1"/>
          </reference>
          <reference field="72" count="1">
            <x v="117"/>
          </reference>
        </references>
      </pivotArea>
    </format>
    <format dxfId="11090">
      <pivotArea dataOnly="0" labelOnly="1" outline="0" fieldPosition="0">
        <references count="5">
          <reference field="1" count="1" selected="0">
            <x v="0"/>
          </reference>
          <reference field="2" count="1" selected="0">
            <x v="10"/>
          </reference>
          <reference field="5" count="1" selected="0">
            <x v="2"/>
          </reference>
          <reference field="23" count="1" selected="0">
            <x v="2"/>
          </reference>
          <reference field="72" count="8">
            <x v="49"/>
            <x v="50"/>
            <x v="51"/>
            <x v="53"/>
            <x v="55"/>
            <x v="56"/>
            <x v="58"/>
            <x v="61"/>
          </reference>
        </references>
      </pivotArea>
    </format>
    <format dxfId="11089">
      <pivotArea dataOnly="0" labelOnly="1" outline="0" fieldPosition="0">
        <references count="5">
          <reference field="1" count="1" selected="0">
            <x v="0"/>
          </reference>
          <reference field="2" count="1" selected="0">
            <x v="10"/>
          </reference>
          <reference field="5" count="1" selected="0">
            <x v="3"/>
          </reference>
          <reference field="23" count="1" selected="0">
            <x v="2"/>
          </reference>
          <reference field="72" count="4">
            <x v="44"/>
            <x v="46"/>
            <x v="52"/>
            <x v="54"/>
          </reference>
        </references>
      </pivotArea>
    </format>
    <format dxfId="11088">
      <pivotArea dataOnly="0" labelOnly="1" outline="0" fieldPosition="0">
        <references count="5">
          <reference field="1" count="1" selected="0">
            <x v="0"/>
          </reference>
          <reference field="2" count="1" selected="0">
            <x v="10"/>
          </reference>
          <reference field="5" count="1" selected="0">
            <x v="5"/>
          </reference>
          <reference field="23" count="1" selected="0">
            <x v="0"/>
          </reference>
          <reference field="72" count="1">
            <x v="121"/>
          </reference>
        </references>
      </pivotArea>
    </format>
    <format dxfId="11087">
      <pivotArea dataOnly="0" labelOnly="1" outline="0" fieldPosition="0">
        <references count="5">
          <reference field="1" count="1" selected="0">
            <x v="0"/>
          </reference>
          <reference field="2" count="1" selected="0">
            <x v="10"/>
          </reference>
          <reference field="5" count="1" selected="0">
            <x v="6"/>
          </reference>
          <reference field="23" count="1" selected="0">
            <x v="1"/>
          </reference>
          <reference field="72" count="1">
            <x v="116"/>
          </reference>
        </references>
      </pivotArea>
    </format>
    <format dxfId="11086">
      <pivotArea dataOnly="0" labelOnly="1" outline="0" fieldPosition="0">
        <references count="5">
          <reference field="1" count="1" selected="0">
            <x v="0"/>
          </reference>
          <reference field="2" count="1" selected="0">
            <x v="10"/>
          </reference>
          <reference field="5" count="1" selected="0">
            <x v="6"/>
          </reference>
          <reference field="23" count="1" selected="0">
            <x v="2"/>
          </reference>
          <reference field="72" count="1">
            <x v="10"/>
          </reference>
        </references>
      </pivotArea>
    </format>
    <format dxfId="11085">
      <pivotArea dataOnly="0" labelOnly="1" outline="0" fieldPosition="0">
        <references count="5">
          <reference field="1" count="1" selected="0">
            <x v="0"/>
          </reference>
          <reference field="2" count="1" selected="0">
            <x v="10"/>
          </reference>
          <reference field="5" count="1" selected="0">
            <x v="12"/>
          </reference>
          <reference field="23" count="1" selected="0">
            <x v="1"/>
          </reference>
          <reference field="72" count="1">
            <x v="117"/>
          </reference>
        </references>
      </pivotArea>
    </format>
    <format dxfId="11084">
      <pivotArea dataOnly="0" labelOnly="1" outline="0" fieldPosition="0">
        <references count="5">
          <reference field="1" count="1" selected="0">
            <x v="1"/>
          </reference>
          <reference field="2" count="1" selected="0">
            <x v="3"/>
          </reference>
          <reference field="5" count="1" selected="0">
            <x v="1"/>
          </reference>
          <reference field="23" count="1" selected="0">
            <x v="1"/>
          </reference>
          <reference field="72" count="1">
            <x v="114"/>
          </reference>
        </references>
      </pivotArea>
    </format>
    <format dxfId="11083">
      <pivotArea dataOnly="0" labelOnly="1" outline="0" fieldPosition="0">
        <references count="5">
          <reference field="1" count="1" selected="0">
            <x v="1"/>
          </reference>
          <reference field="2" count="1" selected="0">
            <x v="3"/>
          </reference>
          <reference field="5" count="1" selected="0">
            <x v="1"/>
          </reference>
          <reference field="23" count="1" selected="0">
            <x v="2"/>
          </reference>
          <reference field="72" count="1">
            <x v="7"/>
          </reference>
        </references>
      </pivotArea>
    </format>
    <format dxfId="11082">
      <pivotArea dataOnly="0" labelOnly="1" outline="0" fieldPosition="0">
        <references count="5">
          <reference field="1" count="1" selected="0">
            <x v="1"/>
          </reference>
          <reference field="2" count="1" selected="0">
            <x v="3"/>
          </reference>
          <reference field="5" count="1" selected="0">
            <x v="3"/>
          </reference>
          <reference field="23" count="1" selected="0">
            <x v="2"/>
          </reference>
          <reference field="72" count="6">
            <x v="35"/>
            <x v="37"/>
            <x v="39"/>
            <x v="50"/>
            <x v="52"/>
            <x v="56"/>
          </reference>
        </references>
      </pivotArea>
    </format>
    <format dxfId="11081">
      <pivotArea dataOnly="0" labelOnly="1" outline="0" fieldPosition="0">
        <references count="5">
          <reference field="1" count="1" selected="0">
            <x v="1"/>
          </reference>
          <reference field="2" count="1" selected="0">
            <x v="3"/>
          </reference>
          <reference field="5" count="1" selected="0">
            <x v="6"/>
          </reference>
          <reference field="23" count="1" selected="0">
            <x v="1"/>
          </reference>
          <reference field="72" count="1">
            <x v="117"/>
          </reference>
        </references>
      </pivotArea>
    </format>
    <format dxfId="11080">
      <pivotArea dataOnly="0" labelOnly="1" outline="0" fieldPosition="0">
        <references count="5">
          <reference field="1" count="1" selected="0">
            <x v="1"/>
          </reference>
          <reference field="2" count="1" selected="0">
            <x v="3"/>
          </reference>
          <reference field="5" count="1" selected="0">
            <x v="6"/>
          </reference>
          <reference field="23" count="1" selected="0">
            <x v="2"/>
          </reference>
          <reference field="72" count="1">
            <x v="8"/>
          </reference>
        </references>
      </pivotArea>
    </format>
    <format dxfId="11079">
      <pivotArea dataOnly="0" labelOnly="1" outline="0" fieldPosition="0">
        <references count="5">
          <reference field="1" count="1" selected="0">
            <x v="1"/>
          </reference>
          <reference field="2" count="1" selected="0">
            <x v="3"/>
          </reference>
          <reference field="5" count="1" selected="0">
            <x v="12"/>
          </reference>
          <reference field="23" count="1" selected="0">
            <x v="1"/>
          </reference>
          <reference field="72" count="1">
            <x v="113"/>
          </reference>
        </references>
      </pivotArea>
    </format>
    <format dxfId="11078">
      <pivotArea dataOnly="0" labelOnly="1" outline="0" fieldPosition="0">
        <references count="5">
          <reference field="1" count="1" selected="0">
            <x v="1"/>
          </reference>
          <reference field="2" count="1" selected="0">
            <x v="6"/>
          </reference>
          <reference field="5" count="1" selected="0">
            <x v="1"/>
          </reference>
          <reference field="23" count="1" selected="0">
            <x v="2"/>
          </reference>
          <reference field="72" count="1">
            <x v="1"/>
          </reference>
        </references>
      </pivotArea>
    </format>
    <format dxfId="11077">
      <pivotArea dataOnly="0" labelOnly="1" outline="0" fieldPosition="0">
        <references count="5">
          <reference field="1" count="1" selected="0">
            <x v="2"/>
          </reference>
          <reference field="2" count="1" selected="0">
            <x v="3"/>
          </reference>
          <reference field="5" count="1" selected="0">
            <x v="1"/>
          </reference>
          <reference field="23" count="1" selected="0">
            <x v="1"/>
          </reference>
          <reference field="72" count="1">
            <x v="120"/>
          </reference>
        </references>
      </pivotArea>
    </format>
    <format dxfId="11076">
      <pivotArea dataOnly="0" labelOnly="1" outline="0" fieldPosition="0">
        <references count="5">
          <reference field="1" count="1" selected="0">
            <x v="2"/>
          </reference>
          <reference field="2" count="1" selected="0">
            <x v="3"/>
          </reference>
          <reference field="5" count="1" selected="0">
            <x v="1"/>
          </reference>
          <reference field="23" count="1" selected="0">
            <x v="2"/>
          </reference>
          <reference field="72" count="1">
            <x v="15"/>
          </reference>
        </references>
      </pivotArea>
    </format>
    <format dxfId="11075">
      <pivotArea dataOnly="0" labelOnly="1" outline="0" fieldPosition="0">
        <references count="5">
          <reference field="1" count="1" selected="0">
            <x v="2"/>
          </reference>
          <reference field="2" count="1" selected="0">
            <x v="3"/>
          </reference>
          <reference field="5" count="1" selected="0">
            <x v="2"/>
          </reference>
          <reference field="23" count="1" selected="0">
            <x v="2"/>
          </reference>
          <reference field="72" count="4">
            <x v="50"/>
            <x v="52"/>
            <x v="55"/>
            <x v="58"/>
          </reference>
        </references>
      </pivotArea>
    </format>
    <format dxfId="11074">
      <pivotArea dataOnly="0" labelOnly="1" outline="0" fieldPosition="0">
        <references count="5">
          <reference field="1" count="1" selected="0">
            <x v="2"/>
          </reference>
          <reference field="2" count="1" selected="0">
            <x v="3"/>
          </reference>
          <reference field="5" count="1" selected="0">
            <x v="3"/>
          </reference>
          <reference field="23" count="1" selected="0">
            <x v="2"/>
          </reference>
          <reference field="72" count="6">
            <x v="32"/>
            <x v="34"/>
            <x v="38"/>
            <x v="46"/>
            <x v="49"/>
            <x v="54"/>
          </reference>
        </references>
      </pivotArea>
    </format>
    <format dxfId="11073">
      <pivotArea dataOnly="0" labelOnly="1" outline="0" fieldPosition="0">
        <references count="5">
          <reference field="1" count="1" selected="0">
            <x v="3"/>
          </reference>
          <reference field="2" count="1" selected="0">
            <x v="3"/>
          </reference>
          <reference field="5" count="1" selected="0">
            <x v="1"/>
          </reference>
          <reference field="23" count="1" selected="0">
            <x v="2"/>
          </reference>
          <reference field="72" count="1">
            <x v="5"/>
          </reference>
        </references>
      </pivotArea>
    </format>
    <format dxfId="11072">
      <pivotArea dataOnly="0" labelOnly="1" outline="0" fieldPosition="0">
        <references count="5">
          <reference field="1" count="1" selected="0">
            <x v="3"/>
          </reference>
          <reference field="2" count="1" selected="0">
            <x v="3"/>
          </reference>
          <reference field="5" count="1" selected="0">
            <x v="2"/>
          </reference>
          <reference field="23" count="1" selected="0">
            <x v="2"/>
          </reference>
          <reference field="72" count="4">
            <x v="62"/>
            <x v="63"/>
            <x v="66"/>
            <x v="69"/>
          </reference>
        </references>
      </pivotArea>
    </format>
    <format dxfId="11071">
      <pivotArea dataOnly="0" labelOnly="1" outline="0" fieldPosition="0">
        <references count="5">
          <reference field="1" count="1" selected="0">
            <x v="3"/>
          </reference>
          <reference field="2" count="1" selected="0">
            <x v="3"/>
          </reference>
          <reference field="5" count="1" selected="0">
            <x v="3"/>
          </reference>
          <reference field="23" count="1" selected="0">
            <x v="2"/>
          </reference>
          <reference field="72" count="6">
            <x v="71"/>
            <x v="73"/>
            <x v="78"/>
            <x v="86"/>
            <x v="87"/>
            <x v="89"/>
          </reference>
        </references>
      </pivotArea>
    </format>
    <format dxfId="11070">
      <pivotArea dataOnly="0" labelOnly="1" outline="0" fieldPosition="0">
        <references count="5">
          <reference field="1" count="1" selected="0">
            <x v="3"/>
          </reference>
          <reference field="2" count="1" selected="0">
            <x v="3"/>
          </reference>
          <reference field="5" count="1" selected="0">
            <x v="6"/>
          </reference>
          <reference field="23" count="1" selected="0">
            <x v="2"/>
          </reference>
          <reference field="72" count="1">
            <x v="15"/>
          </reference>
        </references>
      </pivotArea>
    </format>
    <format dxfId="11069">
      <pivotArea dataOnly="0" labelOnly="1" outline="0" fieldPosition="0">
        <references count="5">
          <reference field="1" count="1" selected="0">
            <x v="4"/>
          </reference>
          <reference field="2" count="1" selected="0">
            <x v="3"/>
          </reference>
          <reference field="5" count="1" selected="0">
            <x v="1"/>
          </reference>
          <reference field="23" count="1" selected="0">
            <x v="1"/>
          </reference>
          <reference field="72" count="1">
            <x v="122"/>
          </reference>
        </references>
      </pivotArea>
    </format>
    <format dxfId="11068">
      <pivotArea dataOnly="0" labelOnly="1" outline="0" fieldPosition="0">
        <references count="5">
          <reference field="1" count="1" selected="0">
            <x v="4"/>
          </reference>
          <reference field="2" count="1" selected="0">
            <x v="3"/>
          </reference>
          <reference field="5" count="1" selected="0">
            <x v="1"/>
          </reference>
          <reference field="23" count="1" selected="0">
            <x v="2"/>
          </reference>
          <reference field="72" count="1">
            <x v="15"/>
          </reference>
        </references>
      </pivotArea>
    </format>
    <format dxfId="11067">
      <pivotArea dataOnly="0" labelOnly="1" outline="0" fieldPosition="0">
        <references count="5">
          <reference field="1" count="1" selected="0">
            <x v="4"/>
          </reference>
          <reference field="2" count="1" selected="0">
            <x v="3"/>
          </reference>
          <reference field="5" count="1" selected="0">
            <x v="3"/>
          </reference>
          <reference field="23" count="1" selected="0">
            <x v="2"/>
          </reference>
          <reference field="72" count="6">
            <x v="57"/>
            <x v="59"/>
            <x v="62"/>
            <x v="71"/>
            <x v="73"/>
            <x v="78"/>
          </reference>
        </references>
      </pivotArea>
    </format>
    <format dxfId="11066">
      <pivotArea dataOnly="0" labelOnly="1" outline="0" fieldPosition="0">
        <references count="5">
          <reference field="1" count="1" selected="0">
            <x v="5"/>
          </reference>
          <reference field="2" count="1" selected="0">
            <x v="8"/>
          </reference>
          <reference field="5" count="1" selected="0">
            <x v="6"/>
          </reference>
          <reference field="23" count="1" selected="0">
            <x v="2"/>
          </reference>
          <reference field="72" count="1">
            <x v="7"/>
          </reference>
        </references>
      </pivotArea>
    </format>
    <format dxfId="11065">
      <pivotArea dataOnly="0" labelOnly="1" outline="0" fieldPosition="0">
        <references count="5">
          <reference field="1" count="1" selected="0">
            <x v="6"/>
          </reference>
          <reference field="2" count="1" selected="0">
            <x v="5"/>
          </reference>
          <reference field="5" count="1" selected="0">
            <x v="7"/>
          </reference>
          <reference field="23" count="1" selected="0">
            <x v="2"/>
          </reference>
          <reference field="72" count="4">
            <x v="60"/>
            <x v="64"/>
            <x v="67"/>
            <x v="74"/>
          </reference>
        </references>
      </pivotArea>
    </format>
    <format dxfId="11064">
      <pivotArea dataOnly="0" labelOnly="1" outline="0" fieldPosition="0">
        <references count="5">
          <reference field="1" count="1" selected="0">
            <x v="7"/>
          </reference>
          <reference field="2" count="1" selected="0">
            <x v="4"/>
          </reference>
          <reference field="5" count="1" selected="0">
            <x v="5"/>
          </reference>
          <reference field="23" count="1" selected="0">
            <x v="0"/>
          </reference>
          <reference field="72" count="1">
            <x v="128"/>
          </reference>
        </references>
      </pivotArea>
    </format>
    <format dxfId="11063">
      <pivotArea dataOnly="0" labelOnly="1" outline="0" fieldPosition="0">
        <references count="5">
          <reference field="1" count="1" selected="0">
            <x v="7"/>
          </reference>
          <reference field="2" count="1" selected="0">
            <x v="5"/>
          </reference>
          <reference field="5" count="1" selected="0">
            <x v="0"/>
          </reference>
          <reference field="23" count="1" selected="0">
            <x v="2"/>
          </reference>
          <reference field="72" count="2">
            <x v="62"/>
            <x v="67"/>
          </reference>
        </references>
      </pivotArea>
    </format>
    <format dxfId="11062">
      <pivotArea dataOnly="0" labelOnly="1" outline="0" fieldPosition="0">
        <references count="5">
          <reference field="1" count="1" selected="0">
            <x v="7"/>
          </reference>
          <reference field="2" count="1" selected="0">
            <x v="5"/>
          </reference>
          <reference field="5" count="1" selected="0">
            <x v="7"/>
          </reference>
          <reference field="23" count="1" selected="0">
            <x v="2"/>
          </reference>
          <reference field="72" count="4">
            <x v="80"/>
            <x v="84"/>
            <x v="85"/>
            <x v="89"/>
          </reference>
        </references>
      </pivotArea>
    </format>
    <format dxfId="11061">
      <pivotArea dataOnly="0" labelOnly="1" outline="0" fieldPosition="0">
        <references count="5">
          <reference field="1" count="1" selected="0">
            <x v="8"/>
          </reference>
          <reference field="2" count="1" selected="0">
            <x v="3"/>
          </reference>
          <reference field="5" count="1" selected="0">
            <x v="3"/>
          </reference>
          <reference field="23" count="1" selected="0">
            <x v="2"/>
          </reference>
          <reference field="72" count="3">
            <x v="21"/>
            <x v="23"/>
            <x v="28"/>
          </reference>
        </references>
      </pivotArea>
    </format>
    <format dxfId="11060">
      <pivotArea dataOnly="0" labelOnly="1" outline="0" fieldPosition="0">
        <references count="5">
          <reference field="1" count="1" selected="0">
            <x v="9"/>
          </reference>
          <reference field="2" count="1" selected="0">
            <x v="5"/>
          </reference>
          <reference field="5" count="1" selected="0">
            <x v="1"/>
          </reference>
          <reference field="23" count="1" selected="0">
            <x v="1"/>
          </reference>
          <reference field="72" count="1">
            <x v="118"/>
          </reference>
        </references>
      </pivotArea>
    </format>
    <format dxfId="11059">
      <pivotArea dataOnly="0" labelOnly="1" outline="0" fieldPosition="0">
        <references count="5">
          <reference field="1" count="1" selected="0">
            <x v="9"/>
          </reference>
          <reference field="2" count="1" selected="0">
            <x v="5"/>
          </reference>
          <reference field="5" count="1" selected="0">
            <x v="1"/>
          </reference>
          <reference field="23" count="1" selected="0">
            <x v="2"/>
          </reference>
          <reference field="72" count="2">
            <x v="9"/>
            <x v="15"/>
          </reference>
        </references>
      </pivotArea>
    </format>
    <format dxfId="11058">
      <pivotArea dataOnly="0" labelOnly="1" outline="0" fieldPosition="0">
        <references count="5">
          <reference field="1" count="1" selected="0">
            <x v="9"/>
          </reference>
          <reference field="2" count="1" selected="0">
            <x v="5"/>
          </reference>
          <reference field="5" count="1" selected="0">
            <x v="2"/>
          </reference>
          <reference field="23" count="1" selected="0">
            <x v="2"/>
          </reference>
          <reference field="72" count="4">
            <x v="26"/>
            <x v="28"/>
            <x v="31"/>
            <x v="40"/>
          </reference>
        </references>
      </pivotArea>
    </format>
    <format dxfId="11057">
      <pivotArea dataOnly="0" labelOnly="1" outline="0" fieldPosition="0">
        <references count="5">
          <reference field="1" count="1" selected="0">
            <x v="9"/>
          </reference>
          <reference field="2" count="1" selected="0">
            <x v="5"/>
          </reference>
          <reference field="5" count="1" selected="0">
            <x v="3"/>
          </reference>
          <reference field="23" count="1" selected="0">
            <x v="2"/>
          </reference>
          <reference field="72" count="3">
            <x v="21"/>
            <x v="23"/>
            <x v="28"/>
          </reference>
        </references>
      </pivotArea>
    </format>
    <format dxfId="11056">
      <pivotArea dataOnly="0" labelOnly="1" outline="0" fieldPosition="0">
        <references count="5">
          <reference field="1" count="1" selected="0">
            <x v="9"/>
          </reference>
          <reference field="2" count="1" selected="0">
            <x v="5"/>
          </reference>
          <reference field="5" count="1" selected="0">
            <x v="6"/>
          </reference>
          <reference field="23" count="1" selected="0">
            <x v="1"/>
          </reference>
          <reference field="72" count="1">
            <x v="116"/>
          </reference>
        </references>
      </pivotArea>
    </format>
    <format dxfId="11055">
      <pivotArea dataOnly="0" labelOnly="1" outline="0" fieldPosition="0">
        <references count="5">
          <reference field="1" count="1" selected="0">
            <x v="9"/>
          </reference>
          <reference field="2" count="1" selected="0">
            <x v="5"/>
          </reference>
          <reference field="5" count="1" selected="0">
            <x v="6"/>
          </reference>
          <reference field="23" count="1" selected="0">
            <x v="2"/>
          </reference>
          <reference field="72" count="1">
            <x v="7"/>
          </reference>
        </references>
      </pivotArea>
    </format>
    <format dxfId="11054">
      <pivotArea dataOnly="0" labelOnly="1" outline="0" fieldPosition="0">
        <references count="5">
          <reference field="1" count="1" selected="0">
            <x v="10"/>
          </reference>
          <reference field="2" count="1" selected="0">
            <x v="10"/>
          </reference>
          <reference field="5" count="1" selected="0">
            <x v="5"/>
          </reference>
          <reference field="23" count="1" selected="0">
            <x v="0"/>
          </reference>
          <reference field="72" count="1">
            <x v="140"/>
          </reference>
        </references>
      </pivotArea>
    </format>
    <format dxfId="11053">
      <pivotArea dataOnly="0" labelOnly="1" outline="0" fieldPosition="0">
        <references count="5">
          <reference field="1" count="1" selected="0">
            <x v="11"/>
          </reference>
          <reference field="2" count="1" selected="0">
            <x v="10"/>
          </reference>
          <reference field="5" count="1" selected="0">
            <x v="5"/>
          </reference>
          <reference field="23" count="1" selected="0">
            <x v="0"/>
          </reference>
          <reference field="72" count="1">
            <x v="141"/>
          </reference>
        </references>
      </pivotArea>
    </format>
    <format dxfId="11052">
      <pivotArea dataOnly="0" labelOnly="1" outline="0" fieldPosition="0">
        <references count="5">
          <reference field="1" count="1" selected="0">
            <x v="12"/>
          </reference>
          <reference field="2" count="1" selected="0">
            <x v="5"/>
          </reference>
          <reference field="5" count="1" selected="0">
            <x v="1"/>
          </reference>
          <reference field="23" count="1" selected="0">
            <x v="1"/>
          </reference>
          <reference field="72" count="1">
            <x v="118"/>
          </reference>
        </references>
      </pivotArea>
    </format>
    <format dxfId="11051">
      <pivotArea dataOnly="0" labelOnly="1" outline="0" fieldPosition="0">
        <references count="5">
          <reference field="1" count="1" selected="0">
            <x v="12"/>
          </reference>
          <reference field="2" count="1" selected="0">
            <x v="5"/>
          </reference>
          <reference field="5" count="1" selected="0">
            <x v="1"/>
          </reference>
          <reference field="23" count="1" selected="0">
            <x v="2"/>
          </reference>
          <reference field="72" count="2">
            <x v="9"/>
            <x v="15"/>
          </reference>
        </references>
      </pivotArea>
    </format>
    <format dxfId="11050">
      <pivotArea dataOnly="0" labelOnly="1" outline="0" fieldPosition="0">
        <references count="5">
          <reference field="1" count="1" selected="0">
            <x v="12"/>
          </reference>
          <reference field="2" count="1" selected="0">
            <x v="5"/>
          </reference>
          <reference field="5" count="1" selected="0">
            <x v="2"/>
          </reference>
          <reference field="23" count="1" selected="0">
            <x v="2"/>
          </reference>
          <reference field="72" count="4">
            <x v="20"/>
            <x v="22"/>
            <x v="25"/>
            <x v="30"/>
          </reference>
        </references>
      </pivotArea>
    </format>
    <format dxfId="11049">
      <pivotArea dataOnly="0" labelOnly="1" outline="0" fieldPosition="0">
        <references count="5">
          <reference field="1" count="1" selected="0">
            <x v="12"/>
          </reference>
          <reference field="2" count="1" selected="0">
            <x v="5"/>
          </reference>
          <reference field="5" count="1" selected="0">
            <x v="3"/>
          </reference>
          <reference field="23" count="1" selected="0">
            <x v="2"/>
          </reference>
          <reference field="72" count="3">
            <x v="11"/>
            <x v="13"/>
            <x v="17"/>
          </reference>
        </references>
      </pivotArea>
    </format>
    <format dxfId="11048">
      <pivotArea dataOnly="0" labelOnly="1" outline="0" fieldPosition="0">
        <references count="5">
          <reference field="1" count="1" selected="0">
            <x v="13"/>
          </reference>
          <reference field="2" count="1" selected="0">
            <x v="10"/>
          </reference>
          <reference field="5" count="1" selected="0">
            <x v="0"/>
          </reference>
          <reference field="23" count="1" selected="0">
            <x v="2"/>
          </reference>
          <reference field="72" count="4">
            <x v="67"/>
            <x v="76"/>
            <x v="93"/>
            <x v="106"/>
          </reference>
        </references>
      </pivotArea>
    </format>
    <format dxfId="11047">
      <pivotArea dataOnly="0" labelOnly="1" outline="0" fieldPosition="0">
        <references count="5">
          <reference field="1" count="1" selected="0">
            <x v="13"/>
          </reference>
          <reference field="2" count="1" selected="0">
            <x v="10"/>
          </reference>
          <reference field="5" count="1" selected="0">
            <x v="5"/>
          </reference>
          <reference field="23" count="1" selected="0">
            <x v="0"/>
          </reference>
          <reference field="72" count="1">
            <x v="139"/>
          </reference>
        </references>
      </pivotArea>
    </format>
    <format dxfId="11046">
      <pivotArea dataOnly="0" labelOnly="1" outline="0" fieldPosition="0">
        <references count="5">
          <reference field="1" count="1" selected="0">
            <x v="14"/>
          </reference>
          <reference field="2" count="1" selected="0">
            <x v="10"/>
          </reference>
          <reference field="5" count="1" selected="0">
            <x v="5"/>
          </reference>
          <reference field="23" count="1" selected="0">
            <x v="0"/>
          </reference>
          <reference field="72" count="1">
            <x v="137"/>
          </reference>
        </references>
      </pivotArea>
    </format>
    <format dxfId="11045">
      <pivotArea dataOnly="0" labelOnly="1" outline="0" fieldPosition="0">
        <references count="5">
          <reference field="1" count="1" selected="0">
            <x v="15"/>
          </reference>
          <reference field="2" count="1" selected="0">
            <x v="5"/>
          </reference>
          <reference field="5" count="1" selected="0">
            <x v="2"/>
          </reference>
          <reference field="23" count="1" selected="0">
            <x v="2"/>
          </reference>
          <reference field="72" count="1">
            <x v="65"/>
          </reference>
        </references>
      </pivotArea>
    </format>
    <format dxfId="11044">
      <pivotArea dataOnly="0" labelOnly="1" outline="0" fieldPosition="0">
        <references count="5">
          <reference field="1" count="1" selected="0">
            <x v="15"/>
          </reference>
          <reference field="2" count="1" selected="0">
            <x v="5"/>
          </reference>
          <reference field="5" count="1" selected="0">
            <x v="3"/>
          </reference>
          <reference field="23" count="1" selected="0">
            <x v="2"/>
          </reference>
          <reference field="72" count="3">
            <x v="16"/>
            <x v="18"/>
            <x v="23"/>
          </reference>
        </references>
      </pivotArea>
    </format>
    <format dxfId="11043">
      <pivotArea dataOnly="0" labelOnly="1" outline="0" fieldPosition="0">
        <references count="5">
          <reference field="1" count="1" selected="0">
            <x v="15"/>
          </reference>
          <reference field="2" count="1" selected="0">
            <x v="5"/>
          </reference>
          <reference field="5" count="1" selected="0">
            <x v="4"/>
          </reference>
          <reference field="23" count="1" selected="0">
            <x v="2"/>
          </reference>
          <reference field="72" count="3">
            <x v="29"/>
            <x v="33"/>
            <x v="42"/>
          </reference>
        </references>
      </pivotArea>
    </format>
    <format dxfId="11042">
      <pivotArea dataOnly="0" labelOnly="1" outline="0" fieldPosition="0">
        <references count="5">
          <reference field="1" count="1" selected="0">
            <x v="16"/>
          </reference>
          <reference field="2" count="1" selected="0">
            <x v="5"/>
          </reference>
          <reference field="5" count="1" selected="0">
            <x v="2"/>
          </reference>
          <reference field="23" count="1" selected="0">
            <x v="2"/>
          </reference>
          <reference field="72" count="1">
            <x v="65"/>
          </reference>
        </references>
      </pivotArea>
    </format>
    <format dxfId="11041">
      <pivotArea dataOnly="0" labelOnly="1" outline="0" fieldPosition="0">
        <references count="5">
          <reference field="1" count="1" selected="0">
            <x v="16"/>
          </reference>
          <reference field="2" count="1" selected="0">
            <x v="5"/>
          </reference>
          <reference field="5" count="1" selected="0">
            <x v="3"/>
          </reference>
          <reference field="23" count="1" selected="0">
            <x v="2"/>
          </reference>
          <reference field="72" count="3">
            <x v="24"/>
            <x v="26"/>
            <x v="31"/>
          </reference>
        </references>
      </pivotArea>
    </format>
    <format dxfId="11040">
      <pivotArea dataOnly="0" labelOnly="1" outline="0" fieldPosition="0">
        <references count="5">
          <reference field="1" count="1" selected="0">
            <x v="16"/>
          </reference>
          <reference field="2" count="1" selected="0">
            <x v="5"/>
          </reference>
          <reference field="5" count="1" selected="0">
            <x v="4"/>
          </reference>
          <reference field="23" count="1" selected="0">
            <x v="2"/>
          </reference>
          <reference field="72" count="5">
            <x v="29"/>
            <x v="33"/>
            <x v="42"/>
            <x v="77"/>
            <x v="104"/>
          </reference>
        </references>
      </pivotArea>
    </format>
    <format dxfId="11039">
      <pivotArea dataOnly="0" labelOnly="1" outline="0" fieldPosition="0">
        <references count="5">
          <reference field="1" count="1" selected="0">
            <x v="17"/>
          </reference>
          <reference field="2" count="1" selected="0">
            <x v="4"/>
          </reference>
          <reference field="5" count="1" selected="0">
            <x v="5"/>
          </reference>
          <reference field="23" count="1" selected="0">
            <x v="0"/>
          </reference>
          <reference field="72" count="1">
            <x v="130"/>
          </reference>
        </references>
      </pivotArea>
    </format>
    <format dxfId="11038">
      <pivotArea dataOnly="0" labelOnly="1" outline="0" fieldPosition="0">
        <references count="5">
          <reference field="1" count="1" selected="0">
            <x v="17"/>
          </reference>
          <reference field="2" count="1" selected="0">
            <x v="5"/>
          </reference>
          <reference field="5" count="1" selected="0">
            <x v="6"/>
          </reference>
          <reference field="23" count="1" selected="0">
            <x v="1"/>
          </reference>
          <reference field="72" count="1">
            <x v="124"/>
          </reference>
        </references>
      </pivotArea>
    </format>
    <format dxfId="11037">
      <pivotArea dataOnly="0" labelOnly="1" outline="0" fieldPosition="0">
        <references count="5">
          <reference field="1" count="1" selected="0">
            <x v="17"/>
          </reference>
          <reference field="2" count="1" selected="0">
            <x v="5"/>
          </reference>
          <reference field="5" count="1" selected="0">
            <x v="6"/>
          </reference>
          <reference field="23" count="1" selected="0">
            <x v="2"/>
          </reference>
          <reference field="72" count="1">
            <x v="14"/>
          </reference>
        </references>
      </pivotArea>
    </format>
    <format dxfId="11036">
      <pivotArea dataOnly="0" labelOnly="1" outline="0" fieldPosition="0">
        <references count="5">
          <reference field="1" count="1" selected="0">
            <x v="17"/>
          </reference>
          <reference field="2" count="1" selected="0">
            <x v="5"/>
          </reference>
          <reference field="5" count="1" selected="0">
            <x v="7"/>
          </reference>
          <reference field="23" count="1" selected="0">
            <x v="2"/>
          </reference>
          <reference field="72" count="4">
            <x v="72"/>
            <x v="77"/>
            <x v="82"/>
            <x v="85"/>
          </reference>
        </references>
      </pivotArea>
    </format>
    <format dxfId="11035">
      <pivotArea dataOnly="0" labelOnly="1" outline="0" fieldPosition="0">
        <references count="5">
          <reference field="1" count="1" selected="0">
            <x v="18"/>
          </reference>
          <reference field="2" count="1" selected="0">
            <x v="3"/>
          </reference>
          <reference field="5" count="1" selected="0">
            <x v="7"/>
          </reference>
          <reference field="23" count="1" selected="0">
            <x v="2"/>
          </reference>
          <reference field="72" count="4">
            <x v="72"/>
            <x v="77"/>
            <x v="82"/>
            <x v="85"/>
          </reference>
        </references>
      </pivotArea>
    </format>
    <format dxfId="11034">
      <pivotArea dataOnly="0" labelOnly="1" outline="0" fieldPosition="0">
        <references count="5">
          <reference field="1" count="1" selected="0">
            <x v="18"/>
          </reference>
          <reference field="2" count="1" selected="0">
            <x v="6"/>
          </reference>
          <reference field="5" count="1" selected="0">
            <x v="7"/>
          </reference>
          <reference field="23" count="1" selected="0">
            <x v="2"/>
          </reference>
          <reference field="72" count="4">
            <x v="68"/>
            <x v="72"/>
            <x v="77"/>
            <x v="84"/>
          </reference>
        </references>
      </pivotArea>
    </format>
    <format dxfId="11033">
      <pivotArea dataOnly="0" labelOnly="1" outline="0" fieldPosition="0">
        <references count="5">
          <reference field="1" count="1" selected="0">
            <x v="19"/>
          </reference>
          <reference field="2" count="1" selected="0">
            <x v="3"/>
          </reference>
          <reference field="5" count="1" selected="0">
            <x v="1"/>
          </reference>
          <reference field="23" count="1" selected="0">
            <x v="2"/>
          </reference>
          <reference field="72" count="1">
            <x v="4"/>
          </reference>
        </references>
      </pivotArea>
    </format>
    <format dxfId="11032">
      <pivotArea dataOnly="0" labelOnly="1" outline="0" fieldPosition="0">
        <references count="5">
          <reference field="1" count="1" selected="0">
            <x v="19"/>
          </reference>
          <reference field="2" count="1" selected="0">
            <x v="6"/>
          </reference>
          <reference field="5" count="1" selected="0">
            <x v="5"/>
          </reference>
          <reference field="23" count="1" selected="0">
            <x v="0"/>
          </reference>
          <reference field="72" count="1">
            <x v="134"/>
          </reference>
        </references>
      </pivotArea>
    </format>
    <format dxfId="11031">
      <pivotArea dataOnly="0" labelOnly="1" outline="0" fieldPosition="0">
        <references count="5">
          <reference field="1" count="1" selected="0">
            <x v="19"/>
          </reference>
          <reference field="2" count="1" selected="0">
            <x v="6"/>
          </reference>
          <reference field="5" count="1" selected="0">
            <x v="7"/>
          </reference>
          <reference field="23" count="1" selected="0">
            <x v="2"/>
          </reference>
          <reference field="72" count="1">
            <x v="50"/>
          </reference>
        </references>
      </pivotArea>
    </format>
    <format dxfId="11030">
      <pivotArea dataOnly="0" labelOnly="1" outline="0" fieldPosition="0">
        <references count="5">
          <reference field="1" count="1" selected="0">
            <x v="19"/>
          </reference>
          <reference field="2" count="1" selected="0">
            <x v="10"/>
          </reference>
          <reference field="5" count="1" selected="0">
            <x v="4"/>
          </reference>
          <reference field="23" count="1" selected="0">
            <x v="2"/>
          </reference>
          <reference field="72" count="1">
            <x v="92"/>
          </reference>
        </references>
      </pivotArea>
    </format>
    <format dxfId="11029">
      <pivotArea dataOnly="0" labelOnly="1" outline="0" fieldPosition="0">
        <references count="5">
          <reference field="1" count="1" selected="0">
            <x v="19"/>
          </reference>
          <reference field="2" count="1" selected="0">
            <x v="10"/>
          </reference>
          <reference field="5" count="1" selected="0">
            <x v="7"/>
          </reference>
          <reference field="23" count="1" selected="0">
            <x v="2"/>
          </reference>
          <reference field="72" count="1">
            <x v="36"/>
          </reference>
        </references>
      </pivotArea>
    </format>
    <format dxfId="11028">
      <pivotArea dataOnly="0" labelOnly="1" outline="0" fieldPosition="0">
        <references count="5">
          <reference field="1" count="1" selected="0">
            <x v="20"/>
          </reference>
          <reference field="2" count="1" selected="0">
            <x v="10"/>
          </reference>
          <reference field="5" count="1" selected="0">
            <x v="7"/>
          </reference>
          <reference field="23" count="1" selected="0">
            <x v="2"/>
          </reference>
          <reference field="72" count="1">
            <x v="98"/>
          </reference>
        </references>
      </pivotArea>
    </format>
    <format dxfId="11027">
      <pivotArea dataOnly="0" labelOnly="1" outline="0" fieldPosition="0">
        <references count="5">
          <reference field="1" count="1" selected="0">
            <x v="21"/>
          </reference>
          <reference field="2" count="1" selected="0">
            <x v="5"/>
          </reference>
          <reference field="5" count="1" selected="0">
            <x v="2"/>
          </reference>
          <reference field="23" count="1" selected="0">
            <x v="2"/>
          </reference>
          <reference field="72" count="4">
            <x v="41"/>
            <x v="42"/>
            <x v="45"/>
            <x v="51"/>
          </reference>
        </references>
      </pivotArea>
    </format>
    <format dxfId="11026">
      <pivotArea dataOnly="0" labelOnly="1" outline="0" fieldPosition="0">
        <references count="5">
          <reference field="1" count="1" selected="0">
            <x v="21"/>
          </reference>
          <reference field="2" count="1" selected="0">
            <x v="5"/>
          </reference>
          <reference field="5" count="1" selected="0">
            <x v="5"/>
          </reference>
          <reference field="23" count="1" selected="0">
            <x v="0"/>
          </reference>
          <reference field="72" count="1">
            <x v="132"/>
          </reference>
        </references>
      </pivotArea>
    </format>
    <format dxfId="11025">
      <pivotArea dataOnly="0" labelOnly="1" outline="0" fieldPosition="0">
        <references count="5">
          <reference field="1" count="1" selected="0">
            <x v="21"/>
          </reference>
          <reference field="2" count="1" selected="0">
            <x v="6"/>
          </reference>
          <reference field="5" count="1" selected="0">
            <x v="7"/>
          </reference>
          <reference field="23" count="1" selected="0">
            <x v="2"/>
          </reference>
          <reference field="72" count="5">
            <x v="11"/>
            <x v="57"/>
            <x v="60"/>
            <x v="64"/>
            <x v="70"/>
          </reference>
        </references>
      </pivotArea>
    </format>
    <format dxfId="11024">
      <pivotArea dataOnly="0" labelOnly="1" outline="0" fieldPosition="0">
        <references count="5">
          <reference field="1" count="1" selected="0">
            <x v="22"/>
          </reference>
          <reference field="2" count="1" selected="0">
            <x v="8"/>
          </reference>
          <reference field="5" count="1" selected="0">
            <x v="7"/>
          </reference>
          <reference field="23" count="1" selected="0">
            <x v="2"/>
          </reference>
          <reference field="72" count="4">
            <x v="61"/>
            <x v="65"/>
            <x v="68"/>
            <x v="75"/>
          </reference>
        </references>
      </pivotArea>
    </format>
    <format dxfId="11023">
      <pivotArea dataOnly="0" labelOnly="1" outline="0" fieldPosition="0">
        <references count="5">
          <reference field="1" count="1" selected="0">
            <x v="23"/>
          </reference>
          <reference field="2" count="1" selected="0">
            <x v="6"/>
          </reference>
          <reference field="5" count="1" selected="0">
            <x v="7"/>
          </reference>
          <reference field="23" count="1" selected="0">
            <x v="2"/>
          </reference>
          <reference field="72" count="4">
            <x v="64"/>
            <x v="67"/>
            <x v="71"/>
            <x v="79"/>
          </reference>
        </references>
      </pivotArea>
    </format>
    <format dxfId="11022">
      <pivotArea dataOnly="0" labelOnly="1" outline="0" fieldPosition="0">
        <references count="5">
          <reference field="1" count="1" selected="0">
            <x v="24"/>
          </reference>
          <reference field="2" count="1" selected="0">
            <x v="12"/>
          </reference>
          <reference field="5" count="1" selected="0">
            <x v="7"/>
          </reference>
          <reference field="23" count="1" selected="0">
            <x v="2"/>
          </reference>
          <reference field="72" count="4">
            <x v="92"/>
            <x v="95"/>
            <x v="97"/>
            <x v="99"/>
          </reference>
        </references>
      </pivotArea>
    </format>
    <format dxfId="11021">
      <pivotArea dataOnly="0" labelOnly="1" outline="0" fieldPosition="0">
        <references count="5">
          <reference field="1" count="1" selected="0">
            <x v="25"/>
          </reference>
          <reference field="2" count="1" selected="0">
            <x v="10"/>
          </reference>
          <reference field="5" count="1" selected="0">
            <x v="5"/>
          </reference>
          <reference field="23" count="1" selected="0">
            <x v="0"/>
          </reference>
          <reference field="72" count="1">
            <x v="131"/>
          </reference>
        </references>
      </pivotArea>
    </format>
    <format dxfId="11020">
      <pivotArea dataOnly="0" labelOnly="1" outline="0" fieldPosition="0">
        <references count="5">
          <reference field="1" count="1" selected="0">
            <x v="26"/>
          </reference>
          <reference field="2" count="1" selected="0">
            <x v="10"/>
          </reference>
          <reference field="5" count="1" selected="0">
            <x v="5"/>
          </reference>
          <reference field="23" count="1" selected="0">
            <x v="0"/>
          </reference>
          <reference field="72" count="1">
            <x v="138"/>
          </reference>
        </references>
      </pivotArea>
    </format>
    <format dxfId="11019">
      <pivotArea dataOnly="0" labelOnly="1" outline="0" fieldPosition="0">
        <references count="5">
          <reference field="1" count="1" selected="0">
            <x v="27"/>
          </reference>
          <reference field="2" count="1" selected="0">
            <x v="10"/>
          </reference>
          <reference field="5" count="1" selected="0">
            <x v="4"/>
          </reference>
          <reference field="23" count="1" selected="0">
            <x v="2"/>
          </reference>
          <reference field="72" count="3">
            <x v="94"/>
            <x v="96"/>
            <x v="101"/>
          </reference>
        </references>
      </pivotArea>
    </format>
    <format dxfId="11018">
      <pivotArea dataOnly="0" labelOnly="1" outline="0" fieldPosition="0">
        <references count="5">
          <reference field="1" count="1" selected="0">
            <x v="28"/>
          </reference>
          <reference field="2" count="1" selected="0">
            <x v="5"/>
          </reference>
          <reference field="5" count="1" selected="0">
            <x v="2"/>
          </reference>
          <reference field="23" count="1" selected="0">
            <x v="2"/>
          </reference>
          <reference field="72" count="4">
            <x v="41"/>
            <x v="42"/>
            <x v="45"/>
            <x v="51"/>
          </reference>
        </references>
      </pivotArea>
    </format>
    <format dxfId="11017">
      <pivotArea dataOnly="0" labelOnly="1" outline="0" fieldPosition="0">
        <references count="5">
          <reference field="1" count="1" selected="0">
            <x v="29"/>
          </reference>
          <reference field="2" count="1" selected="0">
            <x v="2"/>
          </reference>
          <reference field="5" count="1" selected="0">
            <x v="0"/>
          </reference>
          <reference field="23" count="1" selected="0">
            <x v="2"/>
          </reference>
          <reference field="72" count="1">
            <x v="0"/>
          </reference>
        </references>
      </pivotArea>
    </format>
    <format dxfId="11016">
      <pivotArea dataOnly="0" labelOnly="1" outline="0" fieldPosition="0">
        <references count="5">
          <reference field="1" count="1" selected="0">
            <x v="29"/>
          </reference>
          <reference field="2" count="1" selected="0">
            <x v="2"/>
          </reference>
          <reference field="5" count="1" selected="0">
            <x v="5"/>
          </reference>
          <reference field="23" count="1" selected="0">
            <x v="0"/>
          </reference>
          <reference field="72" count="1">
            <x v="112"/>
          </reference>
        </references>
      </pivotArea>
    </format>
    <format dxfId="11015">
      <pivotArea dataOnly="0" labelOnly="1" outline="0" fieldPosition="0">
        <references count="5">
          <reference field="1" count="1" selected="0">
            <x v="29"/>
          </reference>
          <reference field="2" count="1" selected="0">
            <x v="2"/>
          </reference>
          <reference field="5" count="1" selected="0">
            <x v="7"/>
          </reference>
          <reference field="23" count="1" selected="0">
            <x v="2"/>
          </reference>
          <reference field="72" count="1">
            <x v="3"/>
          </reference>
        </references>
      </pivotArea>
    </format>
    <format dxfId="11014">
      <pivotArea dataOnly="0" labelOnly="1" outline="0" fieldPosition="0">
        <references count="5">
          <reference field="1" count="1" selected="0">
            <x v="30"/>
          </reference>
          <reference field="2" count="1" selected="0">
            <x v="0"/>
          </reference>
          <reference field="5" count="1" selected="0">
            <x v="8"/>
          </reference>
          <reference field="23" count="1" selected="0">
            <x v="0"/>
          </reference>
          <reference field="72" count="2">
            <x v="109"/>
            <x v="125"/>
          </reference>
        </references>
      </pivotArea>
    </format>
    <format dxfId="11013">
      <pivotArea dataOnly="0" labelOnly="1" outline="0" fieldPosition="0">
        <references count="5">
          <reference field="1" count="1" selected="0">
            <x v="30"/>
          </reference>
          <reference field="2" count="1" selected="0">
            <x v="0"/>
          </reference>
          <reference field="5" count="1" selected="0">
            <x v="11"/>
          </reference>
          <reference field="23" count="1" selected="0">
            <x v="3"/>
          </reference>
          <reference field="72" count="1">
            <x v="48"/>
          </reference>
        </references>
      </pivotArea>
    </format>
    <format dxfId="11012">
      <pivotArea dataOnly="0" labelOnly="1" outline="0" fieldPosition="0">
        <references count="5">
          <reference field="1" count="1" selected="0">
            <x v="30"/>
          </reference>
          <reference field="2" count="1" selected="0">
            <x v="14"/>
          </reference>
          <reference field="5" count="1" selected="0">
            <x v="10"/>
          </reference>
          <reference field="23" count="1" selected="0">
            <x v="0"/>
          </reference>
          <reference field="72" count="1">
            <x v="110"/>
          </reference>
        </references>
      </pivotArea>
    </format>
    <format dxfId="11011">
      <pivotArea dataOnly="0" labelOnly="1" outline="0" fieldPosition="0">
        <references count="5">
          <reference field="1" count="1" selected="0">
            <x v="30"/>
          </reference>
          <reference field="2" count="1" selected="0">
            <x v="14"/>
          </reference>
          <reference field="5" count="1" selected="0">
            <x v="11"/>
          </reference>
          <reference field="23" count="1" selected="0">
            <x v="3"/>
          </reference>
          <reference field="72" count="1">
            <x v="33"/>
          </reference>
        </references>
      </pivotArea>
    </format>
    <format dxfId="11010">
      <pivotArea dataOnly="0" labelOnly="1" outline="0" fieldPosition="0">
        <references count="5">
          <reference field="1" count="1" selected="0">
            <x v="31"/>
          </reference>
          <reference field="2" count="1" selected="0">
            <x v="0"/>
          </reference>
          <reference field="5" count="1" selected="0">
            <x v="8"/>
          </reference>
          <reference field="23" count="1" selected="0">
            <x v="0"/>
          </reference>
          <reference field="72" count="1">
            <x v="133"/>
          </reference>
        </references>
      </pivotArea>
    </format>
    <format dxfId="11009">
      <pivotArea dataOnly="0" labelOnly="1" outline="0" fieldPosition="0">
        <references count="5">
          <reference field="1" count="1" selected="0">
            <x v="32"/>
          </reference>
          <reference field="2" count="1" selected="0">
            <x v="0"/>
          </reference>
          <reference field="5" count="1" selected="0">
            <x v="8"/>
          </reference>
          <reference field="23" count="1" selected="0">
            <x v="0"/>
          </reference>
          <reference field="72" count="1">
            <x v="115"/>
          </reference>
        </references>
      </pivotArea>
    </format>
    <format dxfId="11008">
      <pivotArea dataOnly="0" labelOnly="1" outline="0" fieldPosition="0">
        <references count="5">
          <reference field="1" count="1" selected="0">
            <x v="32"/>
          </reference>
          <reference field="2" count="1" selected="0">
            <x v="0"/>
          </reference>
          <reference field="5" count="1" selected="0">
            <x v="11"/>
          </reference>
          <reference field="23" count="1" selected="0">
            <x v="3"/>
          </reference>
          <reference field="72" count="1">
            <x v="43"/>
          </reference>
        </references>
      </pivotArea>
    </format>
    <format dxfId="11007">
      <pivotArea dataOnly="0" labelOnly="1" outline="0" fieldPosition="0">
        <references count="5">
          <reference field="1" count="1" selected="0">
            <x v="32"/>
          </reference>
          <reference field="2" count="1" selected="0">
            <x v="0"/>
          </reference>
          <reference field="5" count="1" selected="0">
            <x v="12"/>
          </reference>
          <reference field="23" count="1" selected="0">
            <x v="2"/>
          </reference>
          <reference field="72" count="1">
            <x v="81"/>
          </reference>
        </references>
      </pivotArea>
    </format>
    <format dxfId="11006">
      <pivotArea dataOnly="0" labelOnly="1" outline="0" fieldPosition="0">
        <references count="5">
          <reference field="1" count="1" selected="0">
            <x v="32"/>
          </reference>
          <reference field="2" count="1" selected="0">
            <x v="14"/>
          </reference>
          <reference field="5" count="1" selected="0">
            <x v="11"/>
          </reference>
          <reference field="23" count="1" selected="0">
            <x v="3"/>
          </reference>
          <reference field="72" count="1">
            <x v="33"/>
          </reference>
        </references>
      </pivotArea>
    </format>
    <format dxfId="11005">
      <pivotArea dataOnly="0" labelOnly="1" outline="0" fieldPosition="0">
        <references count="5">
          <reference field="1" count="1" selected="0">
            <x v="33"/>
          </reference>
          <reference field="2" count="1" selected="0">
            <x v="1"/>
          </reference>
          <reference field="5" count="1" selected="0">
            <x v="8"/>
          </reference>
          <reference field="23" count="1" selected="0">
            <x v="0"/>
          </reference>
          <reference field="72" count="1">
            <x v="127"/>
          </reference>
        </references>
      </pivotArea>
    </format>
    <format dxfId="11004">
      <pivotArea dataOnly="0" labelOnly="1" outline="0" fieldPosition="0">
        <references count="5">
          <reference field="1" count="1" selected="0">
            <x v="34"/>
          </reference>
          <reference field="2" count="1" selected="0">
            <x v="0"/>
          </reference>
          <reference field="5" count="1" selected="0">
            <x v="8"/>
          </reference>
          <reference field="23" count="1" selected="0">
            <x v="0"/>
          </reference>
          <reference field="72" count="1">
            <x v="129"/>
          </reference>
        </references>
      </pivotArea>
    </format>
    <format dxfId="11003">
      <pivotArea dataOnly="0" labelOnly="1" outline="0" fieldPosition="0">
        <references count="5">
          <reference field="1" count="1" selected="0">
            <x v="35"/>
          </reference>
          <reference field="2" count="1" selected="0">
            <x v="10"/>
          </reference>
          <reference field="5" count="1" selected="0">
            <x v="5"/>
          </reference>
          <reference field="23" count="1" selected="0">
            <x v="0"/>
          </reference>
          <reference field="72" count="1">
            <x v="142"/>
          </reference>
        </references>
      </pivotArea>
    </format>
    <format dxfId="11002">
      <pivotArea dataOnly="0" labelOnly="1" outline="0" fieldPosition="0">
        <references count="5">
          <reference field="1" count="1" selected="0">
            <x v="35"/>
          </reference>
          <reference field="2" count="1" selected="0">
            <x v="11"/>
          </reference>
          <reference field="5" count="1" selected="0">
            <x v="5"/>
          </reference>
          <reference field="23" count="1" selected="0">
            <x v="0"/>
          </reference>
          <reference field="72" count="1">
            <x v="135"/>
          </reference>
        </references>
      </pivotArea>
    </format>
    <format dxfId="11001">
      <pivotArea dataOnly="0" labelOnly="1" outline="0" fieldPosition="0">
        <references count="5">
          <reference field="1" count="1" selected="0">
            <x v="35"/>
          </reference>
          <reference field="2" count="1" selected="0">
            <x v="13"/>
          </reference>
          <reference field="5" count="1" selected="0">
            <x v="9"/>
          </reference>
          <reference field="23" count="1" selected="0">
            <x v="4"/>
          </reference>
          <reference field="72" count="1">
            <x v="143"/>
          </reference>
        </references>
      </pivotArea>
    </format>
    <format dxfId="11000">
      <pivotArea dataOnly="0" labelOnly="1" outline="0" fieldPosition="0">
        <references count="5">
          <reference field="1" count="1" selected="0">
            <x v="36"/>
          </reference>
          <reference field="2" count="1" selected="0">
            <x v="0"/>
          </reference>
          <reference field="5" count="1" selected="0">
            <x v="8"/>
          </reference>
          <reference field="23" count="1" selected="0">
            <x v="0"/>
          </reference>
          <reference field="72" count="1">
            <x v="107"/>
          </reference>
        </references>
      </pivotArea>
    </format>
    <format dxfId="10999">
      <pivotArea dataOnly="0" labelOnly="1" outline="0" fieldPosition="0">
        <references count="5">
          <reference field="1" count="1" selected="0">
            <x v="36"/>
          </reference>
          <reference field="2" count="1" selected="0">
            <x v="0"/>
          </reference>
          <reference field="5" count="1" selected="0">
            <x v="10"/>
          </reference>
          <reference field="23" count="1" selected="0">
            <x v="0"/>
          </reference>
          <reference field="72" count="1">
            <x v="108"/>
          </reference>
        </references>
      </pivotArea>
    </format>
    <format dxfId="10998">
      <pivotArea dataOnly="0" labelOnly="1" outline="0" fieldPosition="0">
        <references count="5">
          <reference field="1" count="1" selected="0">
            <x v="36"/>
          </reference>
          <reference field="2" count="1" selected="0">
            <x v="15"/>
          </reference>
          <reference field="5" count="1" selected="0">
            <x v="10"/>
          </reference>
          <reference field="23" count="1" selected="0">
            <x v="0"/>
          </reference>
          <reference field="72" count="1">
            <x v="110"/>
          </reference>
        </references>
      </pivotArea>
    </format>
    <format dxfId="10997">
      <pivotArea dataOnly="0" labelOnly="1" outline="0" fieldPosition="0">
        <references count="5">
          <reference field="1" count="1" selected="0">
            <x v="37"/>
          </reference>
          <reference field="2" count="1" selected="0">
            <x v="10"/>
          </reference>
          <reference field="5" count="1" selected="0">
            <x v="0"/>
          </reference>
          <reference field="23" count="1" selected="0">
            <x v="2"/>
          </reference>
          <reference field="72" count="1">
            <x v="83"/>
          </reference>
        </references>
      </pivotArea>
    </format>
    <format dxfId="10996">
      <pivotArea dataOnly="0" labelOnly="1" outline="0" fieldPosition="0">
        <references count="5">
          <reference field="1" count="1" selected="0">
            <x v="37"/>
          </reference>
          <reference field="2" count="1" selected="0">
            <x v="10"/>
          </reference>
          <reference field="5" count="1" selected="0">
            <x v="7"/>
          </reference>
          <reference field="23" count="1" selected="0">
            <x v="2"/>
          </reference>
          <reference field="72" count="1">
            <x v="47"/>
          </reference>
        </references>
      </pivotArea>
    </format>
    <format dxfId="10995">
      <pivotArea dataOnly="0" labelOnly="1" outline="0" fieldPosition="0">
        <references count="5">
          <reference field="1" count="1" selected="0">
            <x v="38"/>
          </reference>
          <reference field="2" count="1" selected="0">
            <x v="3"/>
          </reference>
          <reference field="5" count="1" selected="0">
            <x v="12"/>
          </reference>
          <reference field="23" count="1" selected="0">
            <x v="1"/>
          </reference>
          <reference field="72" count="1">
            <x v="136"/>
          </reference>
        </references>
      </pivotArea>
    </format>
    <format dxfId="10994">
      <pivotArea dataOnly="0" labelOnly="1" outline="0" fieldPosition="0">
        <references count="5">
          <reference field="1" count="1" selected="0">
            <x v="38"/>
          </reference>
          <reference field="2" count="1" selected="0">
            <x v="5"/>
          </reference>
          <reference field="5" count="1" selected="0">
            <x v="4"/>
          </reference>
          <reference field="23" count="1" selected="0">
            <x v="2"/>
          </reference>
          <reference field="72" count="8">
            <x v="88"/>
            <x v="91"/>
            <x v="94"/>
            <x v="98"/>
            <x v="100"/>
            <x v="102"/>
            <x v="103"/>
            <x v="105"/>
          </reference>
        </references>
      </pivotArea>
    </format>
    <format dxfId="10993">
      <pivotArea dataOnly="0" labelOnly="1" outline="0" fieldPosition="0">
        <references count="5">
          <reference field="1" count="1" selected="0">
            <x v="38"/>
          </reference>
          <reference field="2" count="1" selected="0">
            <x v="5"/>
          </reference>
          <reference field="5" count="1" selected="0">
            <x v="7"/>
          </reference>
          <reference field="23" count="1" selected="0">
            <x v="2"/>
          </reference>
          <reference field="72" count="1">
            <x v="90"/>
          </reference>
        </references>
      </pivotArea>
    </format>
    <format dxfId="10992">
      <pivotArea dataOnly="0" labelOnly="1" outline="0" fieldPosition="0">
        <references count="5">
          <reference field="1" count="1" selected="0">
            <x v="38"/>
          </reference>
          <reference field="2" count="1" selected="0">
            <x v="5"/>
          </reference>
          <reference field="5" count="1" selected="0">
            <x v="12"/>
          </reference>
          <reference field="23" count="1" selected="0">
            <x v="2"/>
          </reference>
          <reference field="72" count="1">
            <x v="71"/>
          </reference>
        </references>
      </pivotArea>
    </format>
    <format dxfId="10991">
      <pivotArea dataOnly="0" labelOnly="1" outline="0" fieldPosition="0">
        <references count="6">
          <reference field="1" count="1" selected="0">
            <x v="0"/>
          </reference>
          <reference field="2" count="1" selected="0">
            <x v="6"/>
          </reference>
          <reference field="5" count="1" selected="0">
            <x v="1"/>
          </reference>
          <reference field="13" count="1">
            <x v="4"/>
          </reference>
          <reference field="23" count="1" selected="0">
            <x v="1"/>
          </reference>
          <reference field="72" count="1" selected="0">
            <x v="123"/>
          </reference>
        </references>
      </pivotArea>
    </format>
    <format dxfId="10990">
      <pivotArea dataOnly="0" labelOnly="1" outline="0" fieldPosition="0">
        <references count="6">
          <reference field="1" count="1" selected="0">
            <x v="0"/>
          </reference>
          <reference field="2" count="1" selected="0">
            <x v="6"/>
          </reference>
          <reference field="5" count="1" selected="0">
            <x v="1"/>
          </reference>
          <reference field="13" count="1">
            <x v="2"/>
          </reference>
          <reference field="23" count="1" selected="0">
            <x v="2"/>
          </reference>
          <reference field="72" count="1" selected="0">
            <x v="15"/>
          </reference>
        </references>
      </pivotArea>
    </format>
    <format dxfId="10989">
      <pivotArea dataOnly="0" labelOnly="1" outline="0" fieldPosition="0">
        <references count="6">
          <reference field="1" count="1" selected="0">
            <x v="0"/>
          </reference>
          <reference field="2" count="1" selected="0">
            <x v="6"/>
          </reference>
          <reference field="5" count="1" selected="0">
            <x v="3"/>
          </reference>
          <reference field="13" count="1">
            <x v="1"/>
          </reference>
          <reference field="23" count="1" selected="0">
            <x v="2"/>
          </reference>
          <reference field="72" count="1" selected="0">
            <x v="44"/>
          </reference>
        </references>
      </pivotArea>
    </format>
    <format dxfId="10988">
      <pivotArea dataOnly="0" labelOnly="1" outline="0" fieldPosition="0">
        <references count="6">
          <reference field="1" count="1" selected="0">
            <x v="0"/>
          </reference>
          <reference field="2" count="1" selected="0">
            <x v="6"/>
          </reference>
          <reference field="5" count="1" selected="0">
            <x v="5"/>
          </reference>
          <reference field="13" count="1">
            <x v="2"/>
          </reference>
          <reference field="23" count="1" selected="0">
            <x v="0"/>
          </reference>
          <reference field="72" count="1" selected="0">
            <x v="121"/>
          </reference>
        </references>
      </pivotArea>
    </format>
    <format dxfId="10987">
      <pivotArea dataOnly="0" labelOnly="1" outline="0" fieldPosition="0">
        <references count="6">
          <reference field="1" count="1" selected="0">
            <x v="0"/>
          </reference>
          <reference field="2" count="1" selected="0">
            <x v="6"/>
          </reference>
          <reference field="5" count="1" selected="0">
            <x v="6"/>
          </reference>
          <reference field="13" count="1">
            <x v="4"/>
          </reference>
          <reference field="23" count="1" selected="0">
            <x v="1"/>
          </reference>
          <reference field="72" count="1" selected="0">
            <x v="119"/>
          </reference>
        </references>
      </pivotArea>
    </format>
    <format dxfId="10986">
      <pivotArea dataOnly="0" labelOnly="1" outline="0" fieldPosition="0">
        <references count="6">
          <reference field="1" count="1" selected="0">
            <x v="0"/>
          </reference>
          <reference field="2" count="1" selected="0">
            <x v="6"/>
          </reference>
          <reference field="5" count="1" selected="0">
            <x v="6"/>
          </reference>
          <reference field="13" count="1">
            <x v="2"/>
          </reference>
          <reference field="23" count="1" selected="0">
            <x v="2"/>
          </reference>
          <reference field="72" count="1" selected="0">
            <x v="12"/>
          </reference>
        </references>
      </pivotArea>
    </format>
    <format dxfId="10985">
      <pivotArea dataOnly="0" labelOnly="1" outline="0" fieldPosition="0">
        <references count="6">
          <reference field="1" count="1" selected="0">
            <x v="0"/>
          </reference>
          <reference field="2" count="1" selected="0">
            <x v="6"/>
          </reference>
          <reference field="5" count="1" selected="0">
            <x v="7"/>
          </reference>
          <reference field="13" count="1">
            <x v="0"/>
          </reference>
          <reference field="23" count="1" selected="0">
            <x v="2"/>
          </reference>
          <reference field="72" count="1" selected="0">
            <x v="60"/>
          </reference>
        </references>
      </pivotArea>
    </format>
    <format dxfId="10984">
      <pivotArea dataOnly="0" labelOnly="1" outline="0" fieldPosition="0">
        <references count="6">
          <reference field="1" count="1" selected="0">
            <x v="0"/>
          </reference>
          <reference field="2" count="1" selected="0">
            <x v="6"/>
          </reference>
          <reference field="5" count="1" selected="0">
            <x v="12"/>
          </reference>
          <reference field="13" count="1">
            <x v="2"/>
          </reference>
          <reference field="23" count="1" selected="0">
            <x v="1"/>
          </reference>
          <reference field="72" count="1" selected="0">
            <x v="117"/>
          </reference>
        </references>
      </pivotArea>
    </format>
    <format dxfId="10983">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44"/>
          </reference>
        </references>
      </pivotArea>
    </format>
    <format dxfId="10982">
      <pivotArea dataOnly="0" labelOnly="1" outline="0" fieldPosition="0">
        <references count="6">
          <reference field="1" count="1" selected="0">
            <x v="0"/>
          </reference>
          <reference field="2" count="1" selected="0">
            <x v="10"/>
          </reference>
          <reference field="5" count="1" selected="0">
            <x v="5"/>
          </reference>
          <reference field="13" count="1">
            <x v="2"/>
          </reference>
          <reference field="23" count="1" selected="0">
            <x v="0"/>
          </reference>
          <reference field="72" count="1" selected="0">
            <x v="121"/>
          </reference>
        </references>
      </pivotArea>
    </format>
    <format dxfId="10981">
      <pivotArea dataOnly="0" labelOnly="1" outline="0" fieldPosition="0">
        <references count="6">
          <reference field="1" count="1" selected="0">
            <x v="0"/>
          </reference>
          <reference field="2" count="1" selected="0">
            <x v="10"/>
          </reference>
          <reference field="5" count="1" selected="0">
            <x v="6"/>
          </reference>
          <reference field="13" count="1">
            <x v="4"/>
          </reference>
          <reference field="23" count="1" selected="0">
            <x v="1"/>
          </reference>
          <reference field="72" count="1" selected="0">
            <x v="116"/>
          </reference>
        </references>
      </pivotArea>
    </format>
    <format dxfId="10980">
      <pivotArea dataOnly="0" labelOnly="1" outline="0" fieldPosition="0">
        <references count="6">
          <reference field="1" count="1" selected="0">
            <x v="0"/>
          </reference>
          <reference field="2" count="1" selected="0">
            <x v="10"/>
          </reference>
          <reference field="5" count="1" selected="0">
            <x v="6"/>
          </reference>
          <reference field="13" count="1">
            <x v="2"/>
          </reference>
          <reference field="23" count="1" selected="0">
            <x v="2"/>
          </reference>
          <reference field="72" count="1" selected="0">
            <x v="10"/>
          </reference>
        </references>
      </pivotArea>
    </format>
    <format dxfId="10979">
      <pivotArea dataOnly="0" labelOnly="1" outline="0" fieldPosition="0">
        <references count="6">
          <reference field="1" count="1" selected="0">
            <x v="1"/>
          </reference>
          <reference field="2" count="1" selected="0">
            <x v="3"/>
          </reference>
          <reference field="5" count="1" selected="0">
            <x v="1"/>
          </reference>
          <reference field="13" count="1">
            <x v="4"/>
          </reference>
          <reference field="23" count="1" selected="0">
            <x v="1"/>
          </reference>
          <reference field="72" count="1" selected="0">
            <x v="114"/>
          </reference>
        </references>
      </pivotArea>
    </format>
    <format dxfId="10978">
      <pivotArea dataOnly="0" labelOnly="1" outline="0" fieldPosition="0">
        <references count="6">
          <reference field="1" count="1" selected="0">
            <x v="1"/>
          </reference>
          <reference field="2" count="1" selected="0">
            <x v="3"/>
          </reference>
          <reference field="5" count="1" selected="0">
            <x v="1"/>
          </reference>
          <reference field="13" count="1">
            <x v="2"/>
          </reference>
          <reference field="23" count="1" selected="0">
            <x v="2"/>
          </reference>
          <reference field="72" count="1" selected="0">
            <x v="7"/>
          </reference>
        </references>
      </pivotArea>
    </format>
    <format dxfId="10977">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35"/>
          </reference>
        </references>
      </pivotArea>
    </format>
    <format dxfId="10976">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17"/>
          </reference>
        </references>
      </pivotArea>
    </format>
    <format dxfId="10975">
      <pivotArea dataOnly="0" labelOnly="1" outline="0" fieldPosition="0">
        <references count="6">
          <reference field="1" count="1" selected="0">
            <x v="1"/>
          </reference>
          <reference field="2" count="1" selected="0">
            <x v="3"/>
          </reference>
          <reference field="5" count="1" selected="0">
            <x v="6"/>
          </reference>
          <reference field="13" count="1">
            <x v="2"/>
          </reference>
          <reference field="23" count="1" selected="0">
            <x v="2"/>
          </reference>
          <reference field="72" count="1" selected="0">
            <x v="8"/>
          </reference>
        </references>
      </pivotArea>
    </format>
    <format dxfId="10974">
      <pivotArea dataOnly="0" labelOnly="1" outline="0" fieldPosition="0">
        <references count="6">
          <reference field="1" count="1" selected="0">
            <x v="2"/>
          </reference>
          <reference field="2" count="1" selected="0">
            <x v="3"/>
          </reference>
          <reference field="5" count="1" selected="0">
            <x v="1"/>
          </reference>
          <reference field="13" count="1">
            <x v="4"/>
          </reference>
          <reference field="23" count="1" selected="0">
            <x v="1"/>
          </reference>
          <reference field="72" count="1" selected="0">
            <x v="120"/>
          </reference>
        </references>
      </pivotArea>
    </format>
    <format dxfId="10973">
      <pivotArea dataOnly="0" labelOnly="1" outline="0" fieldPosition="0">
        <references count="6">
          <reference field="1" count="1" selected="0">
            <x v="2"/>
          </reference>
          <reference field="2" count="1" selected="0">
            <x v="3"/>
          </reference>
          <reference field="5" count="1" selected="0">
            <x v="1"/>
          </reference>
          <reference field="13" count="1">
            <x v="2"/>
          </reference>
          <reference field="23" count="1" selected="0">
            <x v="2"/>
          </reference>
          <reference field="72" count="1" selected="0">
            <x v="15"/>
          </reference>
        </references>
      </pivotArea>
    </format>
    <format dxfId="10972">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32"/>
          </reference>
        </references>
      </pivotArea>
    </format>
    <format dxfId="10971">
      <pivotArea dataOnly="0" labelOnly="1" outline="0" fieldPosition="0">
        <references count="6">
          <reference field="1" count="1" selected="0">
            <x v="3"/>
          </reference>
          <reference field="2" count="1" selected="0">
            <x v="3"/>
          </reference>
          <reference field="5" count="1" selected="0">
            <x v="1"/>
          </reference>
          <reference field="13" count="1">
            <x v="2"/>
          </reference>
          <reference field="23" count="1" selected="0">
            <x v="2"/>
          </reference>
          <reference field="72" count="1" selected="0">
            <x v="5"/>
          </reference>
        </references>
      </pivotArea>
    </format>
    <format dxfId="10970">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71"/>
          </reference>
        </references>
      </pivotArea>
    </format>
    <format dxfId="10969">
      <pivotArea dataOnly="0" labelOnly="1" outline="0" fieldPosition="0">
        <references count="6">
          <reference field="1" count="1" selected="0">
            <x v="3"/>
          </reference>
          <reference field="2" count="1" selected="0">
            <x v="3"/>
          </reference>
          <reference field="5" count="1" selected="0">
            <x v="6"/>
          </reference>
          <reference field="13" count="1">
            <x v="2"/>
          </reference>
          <reference field="23" count="1" selected="0">
            <x v="2"/>
          </reference>
          <reference field="72" count="1" selected="0">
            <x v="15"/>
          </reference>
        </references>
      </pivotArea>
    </format>
    <format dxfId="10968">
      <pivotArea dataOnly="0" labelOnly="1" outline="0" fieldPosition="0">
        <references count="6">
          <reference field="1" count="1" selected="0">
            <x v="4"/>
          </reference>
          <reference field="2" count="1" selected="0">
            <x v="3"/>
          </reference>
          <reference field="5" count="1" selected="0">
            <x v="1"/>
          </reference>
          <reference field="13" count="1">
            <x v="4"/>
          </reference>
          <reference field="23" count="1" selected="0">
            <x v="1"/>
          </reference>
          <reference field="72" count="1" selected="0">
            <x v="122"/>
          </reference>
        </references>
      </pivotArea>
    </format>
    <format dxfId="10967">
      <pivotArea dataOnly="0" labelOnly="1" outline="0" fieldPosition="0">
        <references count="6">
          <reference field="1" count="1" selected="0">
            <x v="4"/>
          </reference>
          <reference field="2" count="1" selected="0">
            <x v="3"/>
          </reference>
          <reference field="5" count="1" selected="0">
            <x v="1"/>
          </reference>
          <reference field="13" count="1">
            <x v="2"/>
          </reference>
          <reference field="23" count="1" selected="0">
            <x v="2"/>
          </reference>
          <reference field="72" count="1" selected="0">
            <x v="15"/>
          </reference>
        </references>
      </pivotArea>
    </format>
    <format dxfId="10966">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57"/>
          </reference>
        </references>
      </pivotArea>
    </format>
    <format dxfId="10965">
      <pivotArea dataOnly="0" labelOnly="1" outline="0" fieldPosition="0">
        <references count="6">
          <reference field="1" count="1" selected="0">
            <x v="5"/>
          </reference>
          <reference field="2" count="1" selected="0">
            <x v="8"/>
          </reference>
          <reference field="5" count="1" selected="0">
            <x v="6"/>
          </reference>
          <reference field="13" count="1">
            <x v="2"/>
          </reference>
          <reference field="23" count="1" selected="0">
            <x v="2"/>
          </reference>
          <reference field="72" count="1" selected="0">
            <x v="7"/>
          </reference>
        </references>
      </pivotArea>
    </format>
    <format dxfId="10964">
      <pivotArea dataOnly="0" labelOnly="1" outline="0" fieldPosition="0">
        <references count="6">
          <reference field="1" count="1" selected="0">
            <x v="6"/>
          </reference>
          <reference field="2" count="1" selected="0">
            <x v="5"/>
          </reference>
          <reference field="5" count="1" selected="0">
            <x v="7"/>
          </reference>
          <reference field="13" count="1">
            <x v="0"/>
          </reference>
          <reference field="23" count="1" selected="0">
            <x v="2"/>
          </reference>
          <reference field="72" count="1" selected="0">
            <x v="60"/>
          </reference>
        </references>
      </pivotArea>
    </format>
    <format dxfId="10963">
      <pivotArea dataOnly="0" labelOnly="1" outline="0" fieldPosition="0">
        <references count="6">
          <reference field="1" count="1" selected="0">
            <x v="7"/>
          </reference>
          <reference field="2" count="1" selected="0">
            <x v="4"/>
          </reference>
          <reference field="5" count="1" selected="0">
            <x v="5"/>
          </reference>
          <reference field="13" count="1">
            <x v="2"/>
          </reference>
          <reference field="23" count="1" selected="0">
            <x v="0"/>
          </reference>
          <reference field="72" count="1" selected="0">
            <x v="128"/>
          </reference>
        </references>
      </pivotArea>
    </format>
    <format dxfId="10962">
      <pivotArea dataOnly="0" labelOnly="1" outline="0" fieldPosition="0">
        <references count="6">
          <reference field="1" count="1" selected="0">
            <x v="7"/>
          </reference>
          <reference field="2" count="1" selected="0">
            <x v="5"/>
          </reference>
          <reference field="5" count="1" selected="0">
            <x v="7"/>
          </reference>
          <reference field="13" count="1">
            <x v="0"/>
          </reference>
          <reference field="23" count="1" selected="0">
            <x v="2"/>
          </reference>
          <reference field="72" count="1" selected="0">
            <x v="80"/>
          </reference>
        </references>
      </pivotArea>
    </format>
    <format dxfId="10961">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21"/>
          </reference>
        </references>
      </pivotArea>
    </format>
    <format dxfId="10960">
      <pivotArea dataOnly="0" labelOnly="1" outline="0" fieldPosition="0">
        <references count="6">
          <reference field="1" count="1" selected="0">
            <x v="9"/>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10959">
      <pivotArea dataOnly="0" labelOnly="1" outline="0" fieldPosition="0">
        <references count="6">
          <reference field="1" count="1" selected="0">
            <x v="9"/>
          </reference>
          <reference field="2" count="1" selected="0">
            <x v="5"/>
          </reference>
          <reference field="5" count="1" selected="0">
            <x v="1"/>
          </reference>
          <reference field="13" count="1">
            <x v="2"/>
          </reference>
          <reference field="23" count="1" selected="0">
            <x v="2"/>
          </reference>
          <reference field="72" count="1" selected="0">
            <x v="9"/>
          </reference>
        </references>
      </pivotArea>
    </format>
    <format dxfId="10958">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21"/>
          </reference>
        </references>
      </pivotArea>
    </format>
    <format dxfId="10957">
      <pivotArea dataOnly="0" labelOnly="1" outline="0" fieldPosition="0">
        <references count="6">
          <reference field="1" count="1" selected="0">
            <x v="9"/>
          </reference>
          <reference field="2" count="1" selected="0">
            <x v="5"/>
          </reference>
          <reference field="5" count="1" selected="0">
            <x v="6"/>
          </reference>
          <reference field="13" count="1">
            <x v="4"/>
          </reference>
          <reference field="23" count="1" selected="0">
            <x v="1"/>
          </reference>
          <reference field="72" count="1" selected="0">
            <x v="116"/>
          </reference>
        </references>
      </pivotArea>
    </format>
    <format dxfId="10956">
      <pivotArea dataOnly="0" labelOnly="1" outline="0" fieldPosition="0">
        <references count="6">
          <reference field="1" count="1" selected="0">
            <x v="9"/>
          </reference>
          <reference field="2" count="1" selected="0">
            <x v="5"/>
          </reference>
          <reference field="5" count="1" selected="0">
            <x v="6"/>
          </reference>
          <reference field="13" count="1">
            <x v="2"/>
          </reference>
          <reference field="23" count="1" selected="0">
            <x v="2"/>
          </reference>
          <reference field="72" count="1" selected="0">
            <x v="7"/>
          </reference>
        </references>
      </pivotArea>
    </format>
    <format dxfId="10955">
      <pivotArea dataOnly="0" labelOnly="1" outline="0" fieldPosition="0">
        <references count="6">
          <reference field="1" count="1" selected="0">
            <x v="12"/>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10954">
      <pivotArea dataOnly="0" labelOnly="1" outline="0" fieldPosition="0">
        <references count="6">
          <reference field="1" count="1" selected="0">
            <x v="12"/>
          </reference>
          <reference field="2" count="1" selected="0">
            <x v="5"/>
          </reference>
          <reference field="5" count="1" selected="0">
            <x v="1"/>
          </reference>
          <reference field="13" count="1">
            <x v="2"/>
          </reference>
          <reference field="23" count="1" selected="0">
            <x v="2"/>
          </reference>
          <reference field="72" count="1" selected="0">
            <x v="9"/>
          </reference>
        </references>
      </pivotArea>
    </format>
    <format dxfId="10953">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11"/>
          </reference>
        </references>
      </pivotArea>
    </format>
    <format dxfId="10952">
      <pivotArea dataOnly="0" labelOnly="1" outline="0" fieldPosition="0">
        <references count="6">
          <reference field="1" count="1" selected="0">
            <x v="13"/>
          </reference>
          <reference field="2" count="1" selected="0">
            <x v="10"/>
          </reference>
          <reference field="5" count="1" selected="0">
            <x v="0"/>
          </reference>
          <reference field="13" count="1">
            <x v="2"/>
          </reference>
          <reference field="23" count="1" selected="0">
            <x v="2"/>
          </reference>
          <reference field="72" count="1" selected="0">
            <x v="67"/>
          </reference>
        </references>
      </pivotArea>
    </format>
    <format dxfId="10951">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16"/>
          </reference>
        </references>
      </pivotArea>
    </format>
    <format dxfId="10950">
      <pivotArea dataOnly="0" labelOnly="1" outline="0" fieldPosition="0">
        <references count="6">
          <reference field="1" count="1" selected="0">
            <x v="15"/>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10949">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24"/>
          </reference>
        </references>
      </pivotArea>
    </format>
    <format dxfId="10948">
      <pivotArea dataOnly="0" labelOnly="1" outline="0" fieldPosition="0">
        <references count="6">
          <reference field="1" count="1" selected="0">
            <x v="16"/>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10947">
      <pivotArea dataOnly="0" labelOnly="1" outline="0" fieldPosition="0">
        <references count="6">
          <reference field="1" count="1" selected="0">
            <x v="17"/>
          </reference>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10946">
      <pivotArea dataOnly="0" labelOnly="1" outline="0" fieldPosition="0">
        <references count="6">
          <reference field="1" count="1" selected="0">
            <x v="17"/>
          </reference>
          <reference field="2" count="1" selected="0">
            <x v="5"/>
          </reference>
          <reference field="5" count="1" selected="0">
            <x v="6"/>
          </reference>
          <reference field="13" count="1">
            <x v="2"/>
          </reference>
          <reference field="23" count="1" selected="0">
            <x v="2"/>
          </reference>
          <reference field="72" count="1" selected="0">
            <x v="14"/>
          </reference>
        </references>
      </pivotArea>
    </format>
    <format dxfId="10945">
      <pivotArea dataOnly="0" labelOnly="1" outline="0" fieldPosition="0">
        <references count="6">
          <reference field="1" count="1" selected="0">
            <x v="17"/>
          </reference>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10944">
      <pivotArea dataOnly="0" labelOnly="1" outline="0" fieldPosition="0">
        <references count="6">
          <reference field="1" count="1" selected="0">
            <x v="18"/>
          </reference>
          <reference field="2" count="1" selected="0">
            <x v="3"/>
          </reference>
          <reference field="5" count="1" selected="0">
            <x v="7"/>
          </reference>
          <reference field="13" count="1">
            <x v="0"/>
          </reference>
          <reference field="23" count="1" selected="0">
            <x v="2"/>
          </reference>
          <reference field="72" count="1" selected="0">
            <x v="72"/>
          </reference>
        </references>
      </pivotArea>
    </format>
    <format dxfId="10943">
      <pivotArea dataOnly="0" labelOnly="1" outline="0" fieldPosition="0">
        <references count="6">
          <reference field="1" count="1" selected="0">
            <x v="19"/>
          </reference>
          <reference field="2" count="1" selected="0">
            <x v="3"/>
          </reference>
          <reference field="5" count="1" selected="0">
            <x v="1"/>
          </reference>
          <reference field="13" count="1">
            <x v="2"/>
          </reference>
          <reference field="23" count="1" selected="0">
            <x v="2"/>
          </reference>
          <reference field="72" count="1" selected="0">
            <x v="4"/>
          </reference>
        </references>
      </pivotArea>
    </format>
    <format dxfId="10942">
      <pivotArea dataOnly="0" labelOnly="1" outline="0" fieldPosition="0">
        <references count="6">
          <reference field="1" count="1" selected="0">
            <x v="19"/>
          </reference>
          <reference field="2" count="1" selected="0">
            <x v="6"/>
          </reference>
          <reference field="5" count="1" selected="0">
            <x v="7"/>
          </reference>
          <reference field="13" count="1">
            <x v="0"/>
          </reference>
          <reference field="23" count="1" selected="0">
            <x v="2"/>
          </reference>
          <reference field="72" count="1" selected="0">
            <x v="50"/>
          </reference>
        </references>
      </pivotArea>
    </format>
    <format dxfId="10941">
      <pivotArea dataOnly="0" labelOnly="1" outline="0" fieldPosition="0">
        <references count="6">
          <reference field="1" count="1" selected="0">
            <x v="19"/>
          </reference>
          <reference field="2" count="1" selected="0">
            <x v="10"/>
          </reference>
          <reference field="5" count="1" selected="0">
            <x v="4"/>
          </reference>
          <reference field="13" count="1">
            <x v="2"/>
          </reference>
          <reference field="23" count="1" selected="0">
            <x v="2"/>
          </reference>
          <reference field="72" count="1" selected="0">
            <x v="92"/>
          </reference>
        </references>
      </pivotArea>
    </format>
    <format dxfId="10940">
      <pivotArea dataOnly="0" labelOnly="1" outline="0" fieldPosition="0">
        <references count="6">
          <reference field="1" count="1" selected="0">
            <x v="19"/>
          </reference>
          <reference field="2" count="1" selected="0">
            <x v="10"/>
          </reference>
          <reference field="5" count="1" selected="0">
            <x v="7"/>
          </reference>
          <reference field="13" count="1">
            <x v="0"/>
          </reference>
          <reference field="23" count="1" selected="0">
            <x v="2"/>
          </reference>
          <reference field="72" count="1" selected="0">
            <x v="36"/>
          </reference>
        </references>
      </pivotArea>
    </format>
    <format dxfId="10939">
      <pivotArea dataOnly="0" labelOnly="1" outline="0" fieldPosition="0">
        <references count="6">
          <reference field="1" count="1" selected="0">
            <x v="21"/>
          </reference>
          <reference field="2" count="1" selected="0">
            <x v="5"/>
          </reference>
          <reference field="5" count="1" selected="0">
            <x v="2"/>
          </reference>
          <reference field="13" count="1">
            <x v="2"/>
          </reference>
          <reference field="23" count="1" selected="0">
            <x v="2"/>
          </reference>
          <reference field="72" count="1" selected="0">
            <x v="41"/>
          </reference>
        </references>
      </pivotArea>
    </format>
    <format dxfId="10938">
      <pivotArea dataOnly="0" labelOnly="1" outline="0" fieldPosition="0">
        <references count="6">
          <reference field="1" count="1" selected="0">
            <x v="21"/>
          </reference>
          <reference field="2" count="1" selected="0">
            <x v="6"/>
          </reference>
          <reference field="5" count="1" selected="0">
            <x v="7"/>
          </reference>
          <reference field="13" count="1">
            <x v="0"/>
          </reference>
          <reference field="23" count="1" selected="0">
            <x v="2"/>
          </reference>
          <reference field="72" count="1" selected="0">
            <x v="11"/>
          </reference>
        </references>
      </pivotArea>
    </format>
    <format dxfId="10937">
      <pivotArea dataOnly="0" labelOnly="1" outline="0" fieldPosition="0">
        <references count="6">
          <reference field="1" count="1" selected="0">
            <x v="25"/>
          </reference>
          <reference field="2" count="1" selected="0">
            <x v="10"/>
          </reference>
          <reference field="5" count="1" selected="0">
            <x v="5"/>
          </reference>
          <reference field="13" count="1">
            <x v="2"/>
          </reference>
          <reference field="23" count="1" selected="0">
            <x v="0"/>
          </reference>
          <reference field="72" count="1" selected="0">
            <x v="131"/>
          </reference>
        </references>
      </pivotArea>
    </format>
    <format dxfId="10936">
      <pivotArea dataOnly="0" labelOnly="1" outline="0" fieldPosition="0">
        <references count="6">
          <reference field="1" count="1" selected="0">
            <x v="29"/>
          </reference>
          <reference field="2" count="1" selected="0">
            <x v="2"/>
          </reference>
          <reference field="5" count="1" selected="0">
            <x v="7"/>
          </reference>
          <reference field="13" count="1">
            <x v="0"/>
          </reference>
          <reference field="23" count="1" selected="0">
            <x v="2"/>
          </reference>
          <reference field="72" count="1" selected="0">
            <x v="3"/>
          </reference>
        </references>
      </pivotArea>
    </format>
    <format dxfId="10935">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09"/>
          </reference>
        </references>
      </pivotArea>
    </format>
    <format dxfId="10934">
      <pivotArea dataOnly="0" labelOnly="1" outline="0" fieldPosition="0">
        <references count="6">
          <reference field="1" count="1" selected="0">
            <x v="37"/>
          </reference>
          <reference field="2" count="1" selected="0">
            <x v="10"/>
          </reference>
          <reference field="5" count="1" selected="0">
            <x v="7"/>
          </reference>
          <reference field="13" count="1">
            <x v="0"/>
          </reference>
          <reference field="23" count="1" selected="0">
            <x v="2"/>
          </reference>
          <reference field="72" count="1" selected="0">
            <x v="47"/>
          </reference>
        </references>
      </pivotArea>
    </format>
    <format dxfId="10933">
      <pivotArea dataOnly="0" labelOnly="1" outline="0" fieldPosition="0">
        <references count="6">
          <reference field="1" count="1" selected="0">
            <x v="38"/>
          </reference>
          <reference field="2" count="1" selected="0">
            <x v="3"/>
          </reference>
          <reference field="5" count="1" selected="0">
            <x v="12"/>
          </reference>
          <reference field="13" count="1">
            <x v="2"/>
          </reference>
          <reference field="23" count="1" selected="0">
            <x v="1"/>
          </reference>
          <reference field="72" count="1" selected="0">
            <x v="136"/>
          </reference>
        </references>
      </pivotArea>
    </format>
    <format dxfId="10932">
      <pivotArea dataOnly="0" labelOnly="1" outline="0" fieldPosition="0">
        <references count="6">
          <reference field="1" count="1" selected="0">
            <x v="38"/>
          </reference>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10931">
      <pivotArea dataOnly="0" labelOnly="1" outline="0" fieldPosition="0">
        <references count="6">
          <reference field="1" count="1" selected="0">
            <x v="38"/>
          </reference>
          <reference field="2" count="1" selected="0">
            <x v="5"/>
          </reference>
          <reference field="5" count="1" selected="0">
            <x v="12"/>
          </reference>
          <reference field="13" count="1">
            <x v="2"/>
          </reference>
          <reference field="23" count="1" selected="0">
            <x v="2"/>
          </reference>
          <reference field="72" count="1" selected="0">
            <x v="71"/>
          </reference>
        </references>
      </pivotArea>
    </format>
    <format dxfId="10930">
      <pivotArea dataOnly="0" labelOnly="1" outline="0" fieldPosition="0">
        <references count="7">
          <reference field="1" count="1" selected="0">
            <x v="0"/>
          </reference>
          <reference field="2" count="1" selected="0">
            <x v="6"/>
          </reference>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10929">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10928">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0927">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0926">
      <pivotArea dataOnly="0" labelOnly="1" outline="0" fieldPosition="0">
        <references count="7">
          <reference field="1" count="1" selected="0">
            <x v="0"/>
          </reference>
          <reference field="2" count="1" selected="0">
            <x v="6"/>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10925">
      <pivotArea dataOnly="0" labelOnly="1" outline="0" fieldPosition="0">
        <references count="7">
          <reference field="1" count="1" selected="0">
            <x v="0"/>
          </reference>
          <reference field="2" count="1" selected="0">
            <x v="6"/>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0924">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0923">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0922">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0921">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0920">
      <pivotArea dataOnly="0" labelOnly="1" outline="0" fieldPosition="0">
        <references count="7">
          <reference field="1" count="1" selected="0">
            <x v="0"/>
          </reference>
          <reference field="2" count="1" selected="0">
            <x v="6"/>
          </reference>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10919">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5"/>
          </reference>
          <reference field="23" count="1" selected="0">
            <x v="2"/>
          </reference>
          <reference field="72" count="1" selected="0">
            <x v="49"/>
          </reference>
        </references>
      </pivotArea>
    </format>
    <format dxfId="10918">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4"/>
          </reference>
          <reference field="23" count="1" selected="0">
            <x v="2"/>
          </reference>
          <reference field="72" count="1" selected="0">
            <x v="50"/>
          </reference>
        </references>
      </pivotArea>
    </format>
    <format dxfId="10917">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2"/>
          </reference>
          <reference field="23" count="1" selected="0">
            <x v="2"/>
          </reference>
          <reference field="72" count="1" selected="0">
            <x v="51"/>
          </reference>
        </references>
      </pivotArea>
    </format>
    <format dxfId="10916">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1"/>
          </reference>
          <reference field="23" count="1" selected="0">
            <x v="2"/>
          </reference>
          <reference field="72" count="1" selected="0">
            <x v="53"/>
          </reference>
        </references>
      </pivotArea>
    </format>
    <format dxfId="10915">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0"/>
          </reference>
          <reference field="23" count="1" selected="0">
            <x v="2"/>
          </reference>
          <reference field="72" count="1" selected="0">
            <x v="55"/>
          </reference>
        </references>
      </pivotArea>
    </format>
    <format dxfId="10914">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8"/>
          </reference>
          <reference field="23" count="1" selected="0">
            <x v="2"/>
          </reference>
          <reference field="72" count="1" selected="0">
            <x v="56"/>
          </reference>
        </references>
      </pivotArea>
    </format>
    <format dxfId="10913">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7"/>
          </reference>
          <reference field="23" count="1" selected="0">
            <x v="2"/>
          </reference>
          <reference field="72" count="1" selected="0">
            <x v="58"/>
          </reference>
        </references>
      </pivotArea>
    </format>
    <format dxfId="10912">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5"/>
          </reference>
          <reference field="23" count="1" selected="0">
            <x v="2"/>
          </reference>
          <reference field="72" count="1" selected="0">
            <x v="61"/>
          </reference>
        </references>
      </pivotArea>
    </format>
    <format dxfId="10911">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2">
            <x v="9"/>
            <x v="13"/>
          </reference>
          <reference field="23" count="1" selected="0">
            <x v="2"/>
          </reference>
          <reference field="72" count="1" selected="0">
            <x v="44"/>
          </reference>
        </references>
      </pivotArea>
    </format>
    <format dxfId="10910">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0909">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0908">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54"/>
          </reference>
        </references>
      </pivotArea>
    </format>
    <format dxfId="10907">
      <pivotArea dataOnly="0" labelOnly="1" outline="0" fieldPosition="0">
        <references count="7">
          <reference field="1" count="1" selected="0">
            <x v="0"/>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10906">
      <pivotArea dataOnly="0" labelOnly="1" outline="0" fieldPosition="0">
        <references count="7">
          <reference field="1" count="1" selected="0">
            <x v="0"/>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0905">
      <pivotArea dataOnly="0" labelOnly="1" outline="0" fieldPosition="0">
        <references count="7">
          <reference field="1" count="1" selected="0">
            <x v="0"/>
          </reference>
          <reference field="2" count="1" selected="0">
            <x v="10"/>
          </reference>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10904">
      <pivotArea dataOnly="0" labelOnly="1" outline="0" fieldPosition="0">
        <references count="7">
          <reference field="1" count="1" selected="0">
            <x v="1"/>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14"/>
          </reference>
        </references>
      </pivotArea>
    </format>
    <format dxfId="10903">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10902">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10901">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10900">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0"/>
          </reference>
        </references>
      </pivotArea>
    </format>
    <format dxfId="10899">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2"/>
          </reference>
        </references>
      </pivotArea>
    </format>
    <format dxfId="10898">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6"/>
          </reference>
        </references>
      </pivotArea>
    </format>
    <format dxfId="10897">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17"/>
          </reference>
        </references>
      </pivotArea>
    </format>
    <format dxfId="10896">
      <pivotArea dataOnly="0" labelOnly="1" outline="0" fieldPosition="0">
        <references count="7">
          <reference field="1" count="1" selected="0">
            <x v="1"/>
          </reference>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13"/>
          </reference>
        </references>
      </pivotArea>
    </format>
    <format dxfId="10895">
      <pivotArea dataOnly="0" labelOnly="1" outline="0" fieldPosition="0">
        <references count="7">
          <reference field="1" count="1" selected="0">
            <x v="1"/>
          </reference>
          <reference field="2" count="1" selected="0">
            <x v="6"/>
          </reference>
          <reference field="5" count="1" selected="0">
            <x v="1"/>
          </reference>
          <reference field="13" count="1" selected="0">
            <x v="2"/>
          </reference>
          <reference field="22" count="1">
            <x v="10"/>
          </reference>
          <reference field="23" count="1" selected="0">
            <x v="2"/>
          </reference>
          <reference field="72" count="1" selected="0">
            <x v="1"/>
          </reference>
        </references>
      </pivotArea>
    </format>
    <format dxfId="10894">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52"/>
          </reference>
        </references>
      </pivotArea>
    </format>
    <format dxfId="10893">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55"/>
          </reference>
        </references>
      </pivotArea>
    </format>
    <format dxfId="10892">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58"/>
          </reference>
        </references>
      </pivotArea>
    </format>
    <format dxfId="10891">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2"/>
          </reference>
        </references>
      </pivotArea>
    </format>
    <format dxfId="10890">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4"/>
          </reference>
        </references>
      </pivotArea>
    </format>
    <format dxfId="10889">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8"/>
          </reference>
        </references>
      </pivotArea>
    </format>
    <format dxfId="10888">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6"/>
          </reference>
        </references>
      </pivotArea>
    </format>
    <format dxfId="10887">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9"/>
          </reference>
        </references>
      </pivotArea>
    </format>
    <format dxfId="10886">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4"/>
          </reference>
        </references>
      </pivotArea>
    </format>
    <format dxfId="10885">
      <pivotArea dataOnly="0" labelOnly="1" outline="0" fieldPosition="0">
        <references count="7">
          <reference field="1" count="1" selected="0">
            <x v="3"/>
          </reference>
          <reference field="2" count="1" selected="0">
            <x v="3"/>
          </reference>
          <reference field="5" count="1" selected="0">
            <x v="1"/>
          </reference>
          <reference field="13" count="1" selected="0">
            <x v="2"/>
          </reference>
          <reference field="22" count="1">
            <x v="10"/>
          </reference>
          <reference field="23" count="1" selected="0">
            <x v="2"/>
          </reference>
          <reference field="72" count="1" selected="0">
            <x v="5"/>
          </reference>
        </references>
      </pivotArea>
    </format>
    <format dxfId="10884">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10883">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10882">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10881">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10880">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10879">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10878">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6"/>
          </reference>
        </references>
      </pivotArea>
    </format>
    <format dxfId="10877">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87"/>
          </reference>
        </references>
      </pivotArea>
    </format>
    <format dxfId="10876">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9"/>
          </reference>
        </references>
      </pivotArea>
    </format>
    <format dxfId="10875">
      <pivotArea dataOnly="0" labelOnly="1" outline="0" fieldPosition="0">
        <references count="7">
          <reference field="1" count="1" selected="0">
            <x v="3"/>
          </reference>
          <reference field="2" count="1" selected="0">
            <x v="3"/>
          </reference>
          <reference field="5" count="1" selected="0">
            <x v="6"/>
          </reference>
          <reference field="13" count="1" selected="0">
            <x v="2"/>
          </reference>
          <reference field="22" count="1">
            <x v="10"/>
          </reference>
          <reference field="23" count="1" selected="0">
            <x v="2"/>
          </reference>
          <reference field="72" count="1" selected="0">
            <x v="15"/>
          </reference>
        </references>
      </pivotArea>
    </format>
    <format dxfId="10874">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7"/>
          </reference>
        </references>
      </pivotArea>
    </format>
    <format dxfId="10873">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9"/>
          </reference>
        </references>
      </pivotArea>
    </format>
    <format dxfId="10872">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2"/>
          </reference>
        </references>
      </pivotArea>
    </format>
    <format dxfId="10871">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10870">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10869">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10868">
      <pivotArea dataOnly="0" labelOnly="1" outline="0" fieldPosition="0">
        <references count="7">
          <reference field="1" count="1" selected="0">
            <x v="5"/>
          </reference>
          <reference field="2" count="1" selected="0">
            <x v="8"/>
          </reference>
          <reference field="5" count="1" selected="0">
            <x v="6"/>
          </reference>
          <reference field="13" count="1" selected="0">
            <x v="2"/>
          </reference>
          <reference field="22" count="1">
            <x v="10"/>
          </reference>
          <reference field="23" count="1" selected="0">
            <x v="2"/>
          </reference>
          <reference field="72" count="1" selected="0">
            <x v="7"/>
          </reference>
        </references>
      </pivotArea>
    </format>
    <format dxfId="10867">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0866">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0865">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0864">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0863">
      <pivotArea dataOnly="0" labelOnly="1" outline="0" fieldPosition="0">
        <references count="7">
          <reference field="1" count="1" selected="0">
            <x v="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10862">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10861">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10860">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84"/>
          </reference>
        </references>
      </pivotArea>
    </format>
    <format dxfId="10859">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5"/>
          </reference>
        </references>
      </pivotArea>
    </format>
    <format dxfId="10858">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9"/>
          </reference>
        </references>
      </pivotArea>
    </format>
    <format dxfId="10857">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10856">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10855">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10854">
      <pivotArea dataOnly="0" labelOnly="1" outline="0" fieldPosition="0">
        <references count="7">
          <reference field="1" count="1" selected="0">
            <x v="9"/>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0853">
      <pivotArea dataOnly="0" labelOnly="1" outline="0" fieldPosition="0">
        <references count="7">
          <reference field="1" count="1" selected="0">
            <x v="9"/>
          </reference>
          <reference field="2" count="1" selected="0">
            <x v="5"/>
          </reference>
          <reference field="5" count="1" selected="0">
            <x v="1"/>
          </reference>
          <reference field="13" count="1" selected="0">
            <x v="2"/>
          </reference>
          <reference field="22" count="1">
            <x v="11"/>
          </reference>
          <reference field="23" count="1" selected="0">
            <x v="2"/>
          </reference>
          <reference field="72" count="1" selected="0">
            <x v="9"/>
          </reference>
        </references>
      </pivotArea>
    </format>
    <format dxfId="10852">
      <pivotArea dataOnly="0" labelOnly="1" outline="0" fieldPosition="0">
        <references count="7">
          <reference field="1" count="1" selected="0">
            <x v="9"/>
          </reference>
          <reference field="2" count="1" selected="0">
            <x v="5"/>
          </reference>
          <reference field="5" count="1" selected="0">
            <x v="1"/>
          </reference>
          <reference field="13" count="1" selected="0">
            <x v="2"/>
          </reference>
          <reference field="22" count="1">
            <x v="10"/>
          </reference>
          <reference field="23" count="1" selected="0">
            <x v="2"/>
          </reference>
          <reference field="72" count="1" selected="0">
            <x v="15"/>
          </reference>
        </references>
      </pivotArea>
    </format>
    <format dxfId="10851">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8"/>
          </reference>
        </references>
      </pivotArea>
    </format>
    <format dxfId="10850">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31"/>
          </reference>
        </references>
      </pivotArea>
    </format>
    <format dxfId="10849">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40"/>
          </reference>
        </references>
      </pivotArea>
    </format>
    <format dxfId="10848">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10847">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10846">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10845">
      <pivotArea dataOnly="0" labelOnly="1" outline="0" fieldPosition="0">
        <references count="7">
          <reference field="1" count="1" selected="0">
            <x v="9"/>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0844">
      <pivotArea dataOnly="0" labelOnly="1" outline="0" fieldPosition="0">
        <references count="7">
          <reference field="1" count="1" selected="0">
            <x v="10"/>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10843">
      <pivotArea dataOnly="0" labelOnly="1" outline="0" fieldPosition="0">
        <references count="7">
          <reference field="1" count="1" selected="0">
            <x v="11"/>
          </reference>
          <reference field="2" count="1" selected="0">
            <x v="10"/>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10842">
      <pivotArea dataOnly="0" labelOnly="1" outline="0" fieldPosition="0">
        <references count="7">
          <reference field="1" count="1" selected="0">
            <x v="12"/>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0841">
      <pivotArea dataOnly="0" labelOnly="1" outline="0" fieldPosition="0">
        <references count="7">
          <reference field="1" count="1" selected="0">
            <x v="12"/>
          </reference>
          <reference field="2" count="1" selected="0">
            <x v="5"/>
          </reference>
          <reference field="5" count="1" selected="0">
            <x v="1"/>
          </reference>
          <reference field="13" count="1" selected="0">
            <x v="2"/>
          </reference>
          <reference field="22" count="1">
            <x v="11"/>
          </reference>
          <reference field="23" count="1" selected="0">
            <x v="2"/>
          </reference>
          <reference field="72" count="1" selected="0">
            <x v="9"/>
          </reference>
        </references>
      </pivotArea>
    </format>
    <format dxfId="10840">
      <pivotArea dataOnly="0" labelOnly="1" outline="0" fieldPosition="0">
        <references count="7">
          <reference field="1" count="1" selected="0">
            <x v="12"/>
          </reference>
          <reference field="2" count="1" selected="0">
            <x v="5"/>
          </reference>
          <reference field="5" count="1" selected="0">
            <x v="1"/>
          </reference>
          <reference field="13" count="1" selected="0">
            <x v="2"/>
          </reference>
          <reference field="22" count="1">
            <x v="10"/>
          </reference>
          <reference field="23" count="1" selected="0">
            <x v="2"/>
          </reference>
          <reference field="72" count="1" selected="0">
            <x v="15"/>
          </reference>
        </references>
      </pivotArea>
    </format>
    <format dxfId="10839">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2"/>
          </reference>
        </references>
      </pivotArea>
    </format>
    <format dxfId="10838">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25"/>
          </reference>
        </references>
      </pivotArea>
    </format>
    <format dxfId="10837">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0"/>
          </reference>
        </references>
      </pivotArea>
    </format>
    <format dxfId="10836">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1"/>
          </reference>
        </references>
      </pivotArea>
    </format>
    <format dxfId="10835">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3"/>
          </reference>
        </references>
      </pivotArea>
    </format>
    <format dxfId="10834">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7"/>
          </reference>
        </references>
      </pivotArea>
    </format>
    <format dxfId="10833">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67"/>
          </reference>
        </references>
      </pivotArea>
    </format>
    <format dxfId="10832">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10831">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10830">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10829">
      <pivotArea dataOnly="0" labelOnly="1" outline="0" fieldPosition="0">
        <references count="7">
          <reference field="1" count="1" selected="0">
            <x v="13"/>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10828">
      <pivotArea dataOnly="0" labelOnly="1" outline="0" fieldPosition="0">
        <references count="7">
          <reference field="1" count="1" selected="0">
            <x v="14"/>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10827">
      <pivotArea dataOnly="0" labelOnly="1" outline="0" fieldPosition="0">
        <references count="7">
          <reference field="1" count="1" selected="0">
            <x v="15"/>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10826">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6"/>
          </reference>
        </references>
      </pivotArea>
    </format>
    <format dxfId="10825">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8"/>
          </reference>
        </references>
      </pivotArea>
    </format>
    <format dxfId="10824">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3"/>
          </reference>
        </references>
      </pivotArea>
    </format>
    <format dxfId="10823">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10822">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10821">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10820">
      <pivotArea dataOnly="0" labelOnly="1" outline="0" fieldPosition="0">
        <references count="7">
          <reference field="1" count="1" selected="0">
            <x v="16"/>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10819">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4"/>
          </reference>
        </references>
      </pivotArea>
    </format>
    <format dxfId="10818">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6"/>
          </reference>
        </references>
      </pivotArea>
    </format>
    <format dxfId="10817">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1"/>
          </reference>
        </references>
      </pivotArea>
    </format>
    <format dxfId="10816">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10815">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10814">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10813">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
          </reference>
          <reference field="23" count="1" selected="0">
            <x v="2"/>
          </reference>
          <reference field="72" count="1" selected="0">
            <x v="77"/>
          </reference>
        </references>
      </pivotArea>
    </format>
    <format dxfId="10812">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0"/>
          </reference>
          <reference field="23" count="1" selected="0">
            <x v="2"/>
          </reference>
          <reference field="72" count="1" selected="0">
            <x v="104"/>
          </reference>
        </references>
      </pivotArea>
    </format>
    <format dxfId="10811">
      <pivotArea dataOnly="0" labelOnly="1" outline="0" fieldPosition="0">
        <references count="7">
          <reference field="1" count="1" selected="0">
            <x v="1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10810">
      <pivotArea dataOnly="0" labelOnly="1" outline="0" fieldPosition="0">
        <references count="7">
          <reference field="1" count="1" selected="0">
            <x v="17"/>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10809">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10808">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0807">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0806">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0805">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10804">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0803">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0802">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0801">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10800">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10799">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10798">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10797">
      <pivotArea dataOnly="0" labelOnly="1" outline="0" fieldPosition="0">
        <references count="7">
          <reference field="1" count="1" selected="0">
            <x v="19"/>
          </reference>
          <reference field="2" count="1" selected="0">
            <x v="3"/>
          </reference>
          <reference field="5" count="1" selected="0">
            <x v="1"/>
          </reference>
          <reference field="13" count="1" selected="0">
            <x v="2"/>
          </reference>
          <reference field="22" count="1">
            <x v="10"/>
          </reference>
          <reference field="23" count="1" selected="0">
            <x v="2"/>
          </reference>
          <reference field="72" count="1" selected="0">
            <x v="4"/>
          </reference>
        </references>
      </pivotArea>
    </format>
    <format dxfId="10796">
      <pivotArea dataOnly="0" labelOnly="1" outline="0" fieldPosition="0">
        <references count="7">
          <reference field="1" count="1" selected="0">
            <x v="19"/>
          </reference>
          <reference field="2" count="1" selected="0">
            <x v="6"/>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10795">
      <pivotArea dataOnly="0" labelOnly="1" outline="0" fieldPosition="0">
        <references count="7">
          <reference field="1" count="1" selected="0">
            <x v="19"/>
          </reference>
          <reference field="2" count="1" selected="0">
            <x v="6"/>
          </reference>
          <reference field="5" count="1" selected="0">
            <x v="7"/>
          </reference>
          <reference field="13" count="1" selected="0">
            <x v="0"/>
          </reference>
          <reference field="22" count="1">
            <x v="17"/>
          </reference>
          <reference field="23" count="1" selected="0">
            <x v="2"/>
          </reference>
          <reference field="72" count="1" selected="0">
            <x v="50"/>
          </reference>
        </references>
      </pivotArea>
    </format>
    <format dxfId="10794">
      <pivotArea dataOnly="0" labelOnly="1" outline="0" fieldPosition="0">
        <references count="7">
          <reference field="1" count="1" selected="0">
            <x v="19"/>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2"/>
          </reference>
        </references>
      </pivotArea>
    </format>
    <format dxfId="10793">
      <pivotArea dataOnly="0" labelOnly="1" outline="0" fieldPosition="0">
        <references count="7">
          <reference field="1" count="1" selected="0">
            <x v="19"/>
          </reference>
          <reference field="2" count="1" selected="0">
            <x v="10"/>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10792">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10791">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10790">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10789">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10788">
      <pivotArea dataOnly="0" labelOnly="1" outline="0" fieldPosition="0">
        <references count="7">
          <reference field="1" count="1" selected="0">
            <x v="21"/>
          </reference>
          <reference field="2" count="1" selected="0">
            <x v="5"/>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10787">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10786">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10785">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10784">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10783">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10782">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7"/>
          </reference>
          <reference field="23" count="1" selected="0">
            <x v="2"/>
          </reference>
          <reference field="72" count="1" selected="0">
            <x v="61"/>
          </reference>
        </references>
      </pivotArea>
    </format>
    <format dxfId="10781">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5"/>
          </reference>
          <reference field="23" count="1" selected="0">
            <x v="2"/>
          </reference>
          <reference field="72" count="1" selected="0">
            <x v="65"/>
          </reference>
        </references>
      </pivotArea>
    </format>
    <format dxfId="10780">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3"/>
          </reference>
          <reference field="23" count="1" selected="0">
            <x v="2"/>
          </reference>
          <reference field="72" count="1" selected="0">
            <x v="68"/>
          </reference>
        </references>
      </pivotArea>
    </format>
    <format dxfId="10779">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1"/>
          </reference>
          <reference field="23" count="1" selected="0">
            <x v="2"/>
          </reference>
          <reference field="72" count="1" selected="0">
            <x v="75"/>
          </reference>
        </references>
      </pivotArea>
    </format>
    <format dxfId="10778">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4"/>
          </reference>
        </references>
      </pivotArea>
    </format>
    <format dxfId="10777">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7"/>
          </reference>
        </references>
      </pivotArea>
    </format>
    <format dxfId="10776">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1"/>
          </reference>
        </references>
      </pivotArea>
    </format>
    <format dxfId="10775">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9"/>
          </reference>
        </references>
      </pivotArea>
    </format>
    <format dxfId="10774">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7"/>
          </reference>
          <reference field="23" count="1" selected="0">
            <x v="2"/>
          </reference>
          <reference field="72" count="1" selected="0">
            <x v="92"/>
          </reference>
        </references>
      </pivotArea>
    </format>
    <format dxfId="10773">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5"/>
          </reference>
          <reference field="23" count="1" selected="0">
            <x v="2"/>
          </reference>
          <reference field="72" count="1" selected="0">
            <x v="95"/>
          </reference>
        </references>
      </pivotArea>
    </format>
    <format dxfId="10772">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3"/>
          </reference>
          <reference field="23" count="1" selected="0">
            <x v="2"/>
          </reference>
          <reference field="72" count="1" selected="0">
            <x v="97"/>
          </reference>
        </references>
      </pivotArea>
    </format>
    <format dxfId="10771">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1"/>
          </reference>
          <reference field="23" count="1" selected="0">
            <x v="2"/>
          </reference>
          <reference field="72" count="1" selected="0">
            <x v="99"/>
          </reference>
        </references>
      </pivotArea>
    </format>
    <format dxfId="10770">
      <pivotArea dataOnly="0" labelOnly="1" outline="0" fieldPosition="0">
        <references count="7">
          <reference field="1" count="1" selected="0">
            <x v="25"/>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10769">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10"/>
          </reference>
          <reference field="23" count="1" selected="0">
            <x v="2"/>
          </reference>
          <reference field="72" count="1" selected="0">
            <x v="94"/>
          </reference>
        </references>
      </pivotArea>
    </format>
    <format dxfId="10768">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6"/>
          </reference>
        </references>
      </pivotArea>
    </format>
    <format dxfId="10767">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3"/>
          </reference>
          <reference field="23" count="1" selected="0">
            <x v="2"/>
          </reference>
          <reference field="72" count="1" selected="0">
            <x v="101"/>
          </reference>
        </references>
      </pivotArea>
    </format>
    <format dxfId="10766">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10765">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10764">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10763">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10762">
      <pivotArea dataOnly="0" labelOnly="1" outline="0" fieldPosition="0">
        <references count="7">
          <reference field="1" count="1" selected="0">
            <x v="29"/>
          </reference>
          <reference field="2" count="1" selected="0">
            <x v="2"/>
          </reference>
          <reference field="5" count="1" selected="0">
            <x v="0"/>
          </reference>
          <reference field="13" count="1" selected="0">
            <x v="2"/>
          </reference>
          <reference field="22" count="1">
            <x v="17"/>
          </reference>
          <reference field="23" count="1" selected="0">
            <x v="2"/>
          </reference>
          <reference field="72" count="1" selected="0">
            <x v="0"/>
          </reference>
        </references>
      </pivotArea>
    </format>
    <format dxfId="10761">
      <pivotArea dataOnly="0" labelOnly="1" outline="0" fieldPosition="0">
        <references count="7">
          <reference field="1" count="1" selected="0">
            <x v="29"/>
          </reference>
          <reference field="2" count="1" selected="0">
            <x v="2"/>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10760">
      <pivotArea dataOnly="0" labelOnly="1" outline="0" fieldPosition="0">
        <references count="7">
          <reference field="1" count="1" selected="0">
            <x v="29"/>
          </reference>
          <reference field="2" count="1" selected="0">
            <x v="2"/>
          </reference>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10759">
      <pivotArea dataOnly="0" labelOnly="1" outline="0" fieldPosition="0">
        <references count="7">
          <reference field="1" count="1" selected="0">
            <x v="32"/>
          </reference>
          <reference field="2" count="1" selected="0">
            <x v="0"/>
          </reference>
          <reference field="5" count="1" selected="0">
            <x v="12"/>
          </reference>
          <reference field="13" count="1" selected="0">
            <x v="2"/>
          </reference>
          <reference field="22" count="1">
            <x v="21"/>
          </reference>
          <reference field="23" count="1" selected="0">
            <x v="2"/>
          </reference>
          <reference field="72" count="1" selected="0">
            <x v="81"/>
          </reference>
        </references>
      </pivotArea>
    </format>
    <format dxfId="10758">
      <pivotArea dataOnly="0" labelOnly="1" outline="0" fieldPosition="0">
        <references count="7">
          <reference field="1" count="1" selected="0">
            <x v="32"/>
          </reference>
          <reference field="2" count="1" selected="0">
            <x v="14"/>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10757">
      <pivotArea dataOnly="0" labelOnly="1" outline="0" fieldPosition="0">
        <references count="7">
          <reference field="1" count="1" selected="0">
            <x v="35"/>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10756">
      <pivotArea dataOnly="0" labelOnly="1" outline="0" fieldPosition="0">
        <references count="7">
          <reference field="1" count="1" selected="0">
            <x v="35"/>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10755">
      <pivotArea dataOnly="0" labelOnly="1" outline="0" fieldPosition="0">
        <references count="7">
          <reference field="1" count="1" selected="0">
            <x v="35"/>
          </reference>
          <reference field="2" count="1" selected="0">
            <x v="13"/>
          </reference>
          <reference field="5" count="1" selected="0">
            <x v="9"/>
          </reference>
          <reference field="13" count="1" selected="0">
            <x v="2"/>
          </reference>
          <reference field="22" count="1">
            <x v="17"/>
          </reference>
          <reference field="23" count="1" selected="0">
            <x v="4"/>
          </reference>
          <reference field="72" count="1" selected="0">
            <x v="143"/>
          </reference>
        </references>
      </pivotArea>
    </format>
    <format dxfId="10754">
      <pivotArea dataOnly="0" labelOnly="1" outline="0" fieldPosition="0">
        <references count="7">
          <reference field="1" count="1" selected="0">
            <x v="38"/>
          </reference>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10753">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10752">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10751">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10750">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10749">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10748">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10747">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10746">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10745">
      <pivotArea dataOnly="0" labelOnly="1" outline="0" fieldPosition="0">
        <references count="7">
          <reference field="1" count="1" selected="0">
            <x v="38"/>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10744">
      <pivotArea dataOnly="0" labelOnly="1" outline="0" fieldPosition="0">
        <references count="7">
          <reference field="1" count="1" selected="0">
            <x v="38"/>
          </reference>
          <reference field="2" count="1" selected="0">
            <x v="5"/>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10743">
      <pivotArea dataOnly="0" labelOnly="1" outline="0" fieldPosition="0">
        <references count="8">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10742">
      <pivotArea dataOnly="0" labelOnly="1" outline="0" fieldPosition="0">
        <references count="9">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10741">
      <pivotArea dataOnly="0" labelOnly="1" outline="0" fieldPosition="0">
        <references count="10">
          <reference field="1" count="1" selected="0">
            <x v="35"/>
          </reference>
          <reference field="2" count="1" selected="0">
            <x v="13"/>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10740">
      <pivotArea dataOnly="0" labelOnly="1" outline="0" fieldPosition="0">
        <references count="11">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10739">
      <pivotArea dataOnly="0" labelOnly="1" outline="0" fieldPosition="0">
        <references count="12">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10738">
      <pivotArea dataOnly="0" labelOnly="1" outline="0" fieldPosition="0">
        <references count="13">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10737">
      <pivotArea field="72" type="button" dataOnly="0" labelOnly="1" outline="0" axis="axisRow" fieldPosition="5"/>
    </format>
    <format dxfId="10736">
      <pivotArea field="72" type="button" dataOnly="0" labelOnly="1" outline="0" axis="axisRow" fieldPosition="5"/>
    </format>
    <format dxfId="10735">
      <pivotArea field="72" type="button" dataOnly="0" labelOnly="1" outline="0" axis="axisRow" fieldPosition="5"/>
    </format>
    <format dxfId="10734">
      <pivotArea field="72" type="button" dataOnly="0" labelOnly="1" outline="0" axis="axisRow" fieldPosition="5"/>
    </format>
    <format dxfId="10733">
      <pivotArea field="72" type="button" dataOnly="0" labelOnly="1" outline="0" axis="axisRow" fieldPosition="5"/>
    </format>
    <format dxfId="10732">
      <pivotArea field="72" type="button" dataOnly="0" labelOnly="1" outline="0" axis="axisRow" fieldPosition="5"/>
    </format>
    <format dxfId="10731">
      <pivotArea field="72" type="button" dataOnly="0" labelOnly="1" outline="0" axis="axisRow" fieldPosition="5"/>
    </format>
    <format dxfId="10730">
      <pivotArea field="72" type="button" dataOnly="0" labelOnly="1" outline="0" axis="axisRow" fieldPosition="5"/>
    </format>
    <format dxfId="10729">
      <pivotArea field="72" type="button" dataOnly="0" labelOnly="1" outline="0" axis="axisRow" fieldPosition="5"/>
    </format>
    <format dxfId="10728">
      <pivotArea dataOnly="0" labelOnly="1" grandRow="1" outline="0" fieldPosition="0"/>
    </format>
    <format dxfId="10727">
      <pivotArea field="72" type="button" dataOnly="0" labelOnly="1" outline="0" axis="axisRow" fieldPosition="5"/>
    </format>
    <format dxfId="10726">
      <pivotArea field="72" type="button" dataOnly="0" labelOnly="1" outline="0" axis="axisRow" fieldPosition="5"/>
    </format>
    <format dxfId="10725">
      <pivotArea field="13" type="button" dataOnly="0" labelOnly="1" outline="0" axis="axisRow" fieldPosition="6"/>
    </format>
    <format dxfId="10724">
      <pivotArea field="81" type="button" dataOnly="0" labelOnly="1" outline="0" axis="axisRow" fieldPosition="8"/>
    </format>
    <format dxfId="10723">
      <pivotArea field="82" type="button" dataOnly="0" labelOnly="1" outline="0" axis="axisRow" fieldPosition="9"/>
    </format>
    <format dxfId="10722">
      <pivotArea field="87" type="button" dataOnly="0" labelOnly="1" outline="0" axis="axisRow" fieldPosition="12"/>
    </format>
    <format dxfId="10721">
      <pivotArea field="88" type="button" dataOnly="0" labelOnly="1" outline="0" axis="axisRow" fieldPosition="13"/>
    </format>
    <format dxfId="10720">
      <pivotArea field="72" type="button" dataOnly="0" labelOnly="1" outline="0" axis="axisRow" fieldPosition="5"/>
    </format>
    <format dxfId="10719">
      <pivotArea field="13" type="button" dataOnly="0" labelOnly="1" outline="0" axis="axisRow" fieldPosition="6"/>
    </format>
    <format dxfId="10718">
      <pivotArea field="81" type="button" dataOnly="0" labelOnly="1" outline="0" axis="axisRow" fieldPosition="8"/>
    </format>
    <format dxfId="10717">
      <pivotArea field="82" type="button" dataOnly="0" labelOnly="1" outline="0" axis="axisRow" fieldPosition="9"/>
    </format>
    <format dxfId="10716">
      <pivotArea field="87" type="button" dataOnly="0" labelOnly="1" outline="0" axis="axisRow" fieldPosition="12"/>
    </format>
    <format dxfId="10715">
      <pivotArea field="88" type="button" dataOnly="0" labelOnly="1" outline="0" axis="axisRow" fieldPosition="13"/>
    </format>
    <format dxfId="10714">
      <pivotArea field="72" type="button" dataOnly="0" labelOnly="1" outline="0" axis="axisRow" fieldPosition="5"/>
    </format>
    <format dxfId="10713">
      <pivotArea field="13" type="button" dataOnly="0" labelOnly="1" outline="0" axis="axisRow" fieldPosition="6"/>
    </format>
    <format dxfId="10712">
      <pivotArea dataOnly="0" labelOnly="1" outline="0" fieldPosition="0">
        <references count="6">
          <reference field="1" count="0" selected="0"/>
          <reference field="2" count="1" selected="0">
            <x v="2"/>
          </reference>
          <reference field="5" count="1" selected="0">
            <x v="12"/>
          </reference>
          <reference field="13" count="1">
            <x v="2"/>
          </reference>
          <reference field="23" count="1" selected="0">
            <x v="1"/>
          </reference>
          <reference field="72" count="1" selected="0">
            <x v="145"/>
          </reference>
        </references>
      </pivotArea>
    </format>
    <format dxfId="10711">
      <pivotArea field="81" type="button" dataOnly="0" labelOnly="1" outline="0" axis="axisRow" fieldPosition="8"/>
    </format>
    <format dxfId="10710">
      <pivotArea field="82" type="button" dataOnly="0" labelOnly="1" outline="0" axis="axisRow" fieldPosition="9"/>
    </format>
    <format dxfId="10709">
      <pivotArea field="87" type="button" dataOnly="0" labelOnly="1" outline="0" axis="axisRow" fieldPosition="12"/>
    </format>
    <format dxfId="10708">
      <pivotArea field="88" type="button" dataOnly="0" labelOnly="1" outline="0" axis="axisRow" fieldPosition="13"/>
    </format>
    <format dxfId="10707">
      <pivotArea field="72" type="button" dataOnly="0" labelOnly="1" outline="0" axis="axisRow" fieldPosition="5"/>
    </format>
    <format dxfId="10706">
      <pivotArea field="13" type="button" dataOnly="0" labelOnly="1" outline="0" axis="axisRow" fieldPosition="6"/>
    </format>
    <format dxfId="10705">
      <pivotArea field="81" type="button" dataOnly="0" labelOnly="1" outline="0" axis="axisRow" fieldPosition="8"/>
    </format>
    <format dxfId="10704">
      <pivotArea field="82" type="button" dataOnly="0" labelOnly="1" outline="0" axis="axisRow" fieldPosition="9"/>
    </format>
    <format dxfId="10703">
      <pivotArea field="87" type="button" dataOnly="0" labelOnly="1" outline="0" axis="axisRow" fieldPosition="12"/>
    </format>
    <format dxfId="10702">
      <pivotArea field="88" type="button" dataOnly="0" labelOnly="1" outline="0" axis="axisRow" fieldPosition="13"/>
    </format>
    <format dxfId="10701">
      <pivotArea field="72" type="button" dataOnly="0" labelOnly="1" outline="0" axis="axisRow" fieldPosition="5"/>
    </format>
    <format dxfId="10700">
      <pivotArea field="13" type="button" dataOnly="0" labelOnly="1" outline="0" axis="axisRow" fieldPosition="6"/>
    </format>
    <format dxfId="10699">
      <pivotArea field="81" type="button" dataOnly="0" labelOnly="1" outline="0" axis="axisRow" fieldPosition="8"/>
    </format>
    <format dxfId="10698">
      <pivotArea field="82" type="button" dataOnly="0" labelOnly="1" outline="0" axis="axisRow" fieldPosition="9"/>
    </format>
    <format dxfId="10697">
      <pivotArea field="87" type="button" dataOnly="0" labelOnly="1" outline="0" axis="axisRow" fieldPosition="12"/>
    </format>
    <format dxfId="10696">
      <pivotArea field="88" type="button" dataOnly="0" labelOnly="1" outline="0" axis="axisRow" fieldPosition="13"/>
    </format>
    <format dxfId="10695">
      <pivotArea dataOnly="0" labelOnly="1" outline="0" fieldPosition="0">
        <references count="7">
          <reference field="1" count="0" selected="0"/>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10694">
      <pivotArea dataOnly="0" labelOnly="1" outline="0" fieldPosition="0">
        <references count="7">
          <reference field="1" count="0" selected="0"/>
          <reference field="2" count="1" selected="0">
            <x v="5"/>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10693">
      <pivotArea field="72" type="button" dataOnly="0" labelOnly="1" outline="0" axis="axisRow" fieldPosition="5"/>
    </format>
    <format dxfId="10692">
      <pivotArea field="13" type="button" dataOnly="0" labelOnly="1" outline="0" axis="axisRow" fieldPosition="6"/>
    </format>
    <format dxfId="10691">
      <pivotArea dataOnly="0" labelOnly="1" outline="0" fieldPosition="0">
        <references count="6">
          <reference field="1" count="0" selected="0"/>
          <reference field="2" count="1" selected="0">
            <x v="3"/>
          </reference>
          <reference field="5" count="1" selected="0">
            <x v="12"/>
          </reference>
          <reference field="13" count="1">
            <x v="2"/>
          </reference>
          <reference field="23" count="1" selected="0">
            <x v="1"/>
          </reference>
          <reference field="72" count="1" selected="0">
            <x v="136"/>
          </reference>
        </references>
      </pivotArea>
    </format>
    <format dxfId="10690">
      <pivotArea dataOnly="0" labelOnly="1" outline="0" fieldPosition="0">
        <references count="6">
          <reference field="1" count="0" selected="0"/>
          <reference field="2" count="1" selected="0">
            <x v="5"/>
          </reference>
          <reference field="5" count="1" selected="0">
            <x v="12"/>
          </reference>
          <reference field="13" count="1">
            <x v="2"/>
          </reference>
          <reference field="23" count="1" selected="0">
            <x v="2"/>
          </reference>
          <reference field="72" count="1" selected="0">
            <x v="71"/>
          </reference>
        </references>
      </pivotArea>
    </format>
    <format dxfId="10689">
      <pivotArea field="81" type="button" dataOnly="0" labelOnly="1" outline="0" axis="axisRow" fieldPosition="8"/>
    </format>
    <format dxfId="10688">
      <pivotArea field="82" type="button" dataOnly="0" labelOnly="1" outline="0" axis="axisRow" fieldPosition="9"/>
    </format>
    <format dxfId="10687">
      <pivotArea field="87" type="button" dataOnly="0" labelOnly="1" outline="0" axis="axisRow" fieldPosition="12"/>
    </format>
    <format dxfId="10686">
      <pivotArea field="88" type="button" dataOnly="0" labelOnly="1" outline="0" axis="axisRow" fieldPosition="13"/>
    </format>
    <format dxfId="10685">
      <pivotArea field="72" type="button" dataOnly="0" labelOnly="1" outline="0" axis="axisRow" fieldPosition="5"/>
    </format>
    <format dxfId="10684">
      <pivotArea field="13" type="button" dataOnly="0" labelOnly="1" outline="0" axis="axisRow" fieldPosition="6"/>
    </format>
    <format dxfId="10683">
      <pivotArea field="81" type="button" dataOnly="0" labelOnly="1" outline="0" axis="axisRow" fieldPosition="8"/>
    </format>
    <format dxfId="10682">
      <pivotArea field="82" type="button" dataOnly="0" labelOnly="1" outline="0" axis="axisRow" fieldPosition="9"/>
    </format>
    <format dxfId="10681">
      <pivotArea field="87" type="button" dataOnly="0" labelOnly="1" outline="0" axis="axisRow" fieldPosition="12"/>
    </format>
    <format dxfId="10680">
      <pivotArea field="88" type="button" dataOnly="0" labelOnly="1" outline="0" axis="axisRow" fieldPosition="13"/>
    </format>
    <format dxfId="10679">
      <pivotArea field="72" type="button" dataOnly="0" labelOnly="1" outline="0" axis="axisRow" fieldPosition="5"/>
    </format>
    <format dxfId="10678">
      <pivotArea field="13" type="button" dataOnly="0" labelOnly="1" outline="0" axis="axisRow" fieldPosition="6"/>
    </format>
    <format dxfId="10677">
      <pivotArea field="81" type="button" dataOnly="0" labelOnly="1" outline="0" axis="axisRow" fieldPosition="8"/>
    </format>
    <format dxfId="10676">
      <pivotArea field="82" type="button" dataOnly="0" labelOnly="1" outline="0" axis="axisRow" fieldPosition="9"/>
    </format>
    <format dxfId="10675">
      <pivotArea field="87" type="button" dataOnly="0" labelOnly="1" outline="0" axis="axisRow" fieldPosition="12"/>
    </format>
    <format dxfId="10674">
      <pivotArea field="88" type="button" dataOnly="0" labelOnly="1" outline="0" axis="axisRow" fieldPosition="13"/>
    </format>
    <format dxfId="10673">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10672">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10671">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10670">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10669">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10668">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10667">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10666">
      <pivotArea dataOnly="0" labelOnly="1" outline="0" fieldPosition="0">
        <references count="7">
          <reference field="1" count="0" selected="0"/>
          <reference field="2" count="1" selected="0">
            <x v="6"/>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10665">
      <pivotArea field="72" type="button" dataOnly="0" labelOnly="1" outline="0" axis="axisRow" fieldPosition="5"/>
    </format>
    <format dxfId="10664">
      <pivotArea field="13" type="button" dataOnly="0" labelOnly="1" outline="0" axis="axisRow" fieldPosition="6"/>
    </format>
    <format dxfId="10663">
      <pivotArea field="81" type="button" dataOnly="0" labelOnly="1" outline="0" axis="axisRow" fieldPosition="8"/>
    </format>
    <format dxfId="10662">
      <pivotArea field="82" type="button" dataOnly="0" labelOnly="1" outline="0" axis="axisRow" fieldPosition="9"/>
    </format>
    <format dxfId="10661">
      <pivotArea field="87" type="button" dataOnly="0" labelOnly="1" outline="0" axis="axisRow" fieldPosition="12"/>
    </format>
    <format dxfId="10660">
      <pivotArea field="88" type="button" dataOnly="0" labelOnly="1" outline="0" axis="axisRow" fieldPosition="13"/>
    </format>
    <format dxfId="10659">
      <pivotArea field="72" type="button" dataOnly="0" labelOnly="1" outline="0" axis="axisRow" fieldPosition="5"/>
    </format>
    <format dxfId="10658">
      <pivotArea field="13" type="button" dataOnly="0" labelOnly="1" outline="0" axis="axisRow" fieldPosition="6"/>
    </format>
    <format dxfId="10657">
      <pivotArea field="81" type="button" dataOnly="0" labelOnly="1" outline="0" axis="axisRow" fieldPosition="8"/>
    </format>
    <format dxfId="10656">
      <pivotArea field="82" type="button" dataOnly="0" labelOnly="1" outline="0" axis="axisRow" fieldPosition="9"/>
    </format>
    <format dxfId="10655">
      <pivotArea field="87" type="button" dataOnly="0" labelOnly="1" outline="0" axis="axisRow" fieldPosition="12"/>
    </format>
    <format dxfId="10654">
      <pivotArea field="88" type="button" dataOnly="0" labelOnly="1" outline="0" axis="axisRow" fieldPosition="13"/>
    </format>
    <format dxfId="10653">
      <pivotArea field="72" type="button" dataOnly="0" labelOnly="1" outline="0" axis="axisRow" fieldPosition="5"/>
    </format>
    <format dxfId="10652">
      <pivotArea field="13" type="button" dataOnly="0" labelOnly="1" outline="0" axis="axisRow" fieldPosition="6"/>
    </format>
    <format dxfId="10651">
      <pivotArea field="81" type="button" dataOnly="0" labelOnly="1" outline="0" axis="axisRow" fieldPosition="8"/>
    </format>
    <format dxfId="10650">
      <pivotArea field="82" type="button" dataOnly="0" labelOnly="1" outline="0" axis="axisRow" fieldPosition="9"/>
    </format>
    <format dxfId="10649">
      <pivotArea field="87" type="button" dataOnly="0" labelOnly="1" outline="0" axis="axisRow" fieldPosition="12"/>
    </format>
    <format dxfId="10648">
      <pivotArea field="88" type="button" dataOnly="0" labelOnly="1" outline="0" axis="axisRow" fieldPosition="13"/>
    </format>
    <format dxfId="10647">
      <pivotArea dataOnly="0" labelOnly="1" outline="0" fieldPosition="0">
        <references count="7">
          <reference field="1" count="0" selected="0"/>
          <reference field="2" count="1" selected="0">
            <x v="6"/>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10646">
      <pivotArea field="72" type="button" dataOnly="0" labelOnly="1" outline="0" axis="axisRow" fieldPosition="5"/>
    </format>
    <format dxfId="10645">
      <pivotArea field="13" type="button" dataOnly="0" labelOnly="1" outline="0" axis="axisRow" fieldPosition="6"/>
    </format>
    <format dxfId="10644">
      <pivotArea dataOnly="0" labelOnly="1" outline="0" fieldPosition="0">
        <references count="6">
          <reference field="1" count="0" selected="0"/>
          <reference field="2" count="1" selected="0">
            <x v="6"/>
          </reference>
          <reference field="5" count="1" selected="0">
            <x v="12"/>
          </reference>
          <reference field="13" count="1">
            <x v="2"/>
          </reference>
          <reference field="23" count="1" selected="0">
            <x v="1"/>
          </reference>
          <reference field="72" count="1" selected="0">
            <x v="136"/>
          </reference>
        </references>
      </pivotArea>
    </format>
    <format dxfId="10643">
      <pivotArea field="81" type="button" dataOnly="0" labelOnly="1" outline="0" axis="axisRow" fieldPosition="8"/>
    </format>
    <format dxfId="10642">
      <pivotArea field="82" type="button" dataOnly="0" labelOnly="1" outline="0" axis="axisRow" fieldPosition="9"/>
    </format>
    <format dxfId="10641">
      <pivotArea field="87" type="button" dataOnly="0" labelOnly="1" outline="0" axis="axisRow" fieldPosition="12"/>
    </format>
    <format dxfId="10640">
      <pivotArea field="88" type="button" dataOnly="0" labelOnly="1" outline="0" axis="axisRow" fieldPosition="13"/>
    </format>
    <format dxfId="10639">
      <pivotArea field="72" type="button" dataOnly="0" labelOnly="1" outline="0" axis="axisRow" fieldPosition="5"/>
    </format>
    <format dxfId="10638">
      <pivotArea field="13" type="button" dataOnly="0" labelOnly="1" outline="0" axis="axisRow" fieldPosition="6"/>
    </format>
    <format dxfId="10637">
      <pivotArea field="81" type="button" dataOnly="0" labelOnly="1" outline="0" axis="axisRow" fieldPosition="8"/>
    </format>
    <format dxfId="10636">
      <pivotArea field="82" type="button" dataOnly="0" labelOnly="1" outline="0" axis="axisRow" fieldPosition="9"/>
    </format>
    <format dxfId="10635">
      <pivotArea field="87" type="button" dataOnly="0" labelOnly="1" outline="0" axis="axisRow" fieldPosition="12"/>
    </format>
    <format dxfId="10634">
      <pivotArea field="88" type="button" dataOnly="0" labelOnly="1" outline="0" axis="axisRow" fieldPosition="13"/>
    </format>
    <format dxfId="10633">
      <pivotArea field="72" type="button" dataOnly="0" labelOnly="1" outline="0" axis="axisRow" fieldPosition="5"/>
    </format>
    <format dxfId="10632">
      <pivotArea field="13" type="button" dataOnly="0" labelOnly="1" outline="0" axis="axisRow" fieldPosition="6"/>
    </format>
    <format dxfId="10631">
      <pivotArea field="81" type="button" dataOnly="0" labelOnly="1" outline="0" axis="axisRow" fieldPosition="8"/>
    </format>
    <format dxfId="10630">
      <pivotArea field="82" type="button" dataOnly="0" labelOnly="1" outline="0" axis="axisRow" fieldPosition="9"/>
    </format>
    <format dxfId="10629">
      <pivotArea field="87" type="button" dataOnly="0" labelOnly="1" outline="0" axis="axisRow" fieldPosition="12"/>
    </format>
    <format dxfId="10628">
      <pivotArea field="88" type="button" dataOnly="0" labelOnly="1" outline="0" axis="axisRow" fieldPosition="13"/>
    </format>
    <format dxfId="10627">
      <pivotArea dataOnly="0" labelOnly="1" outline="0" fieldPosition="0">
        <references count="7">
          <reference field="1" count="0" selected="0"/>
          <reference field="2" count="0" selected="0"/>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10626">
      <pivotArea dataOnly="0" labelOnly="1" outline="0" fieldPosition="0">
        <references count="7">
          <reference field="1" count="0" selected="0"/>
          <reference field="2" count="0" selected="0"/>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0625">
      <pivotArea dataOnly="0" labelOnly="1" outline="0" fieldPosition="0">
        <references count="7">
          <reference field="1" count="0" selected="0"/>
          <reference field="2" count="0" selected="0"/>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0624">
      <pivotArea dataOnly="0" labelOnly="1" outline="0" fieldPosition="0">
        <references count="7">
          <reference field="1" count="0" selected="0"/>
          <reference field="2" count="0" selected="0"/>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0623">
      <pivotArea dataOnly="0" labelOnly="1" outline="0" fieldPosition="0">
        <references count="7">
          <reference field="1" count="0" selected="0"/>
          <reference field="2" count="0" selected="0"/>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0622">
      <pivotArea dataOnly="0" labelOnly="1" outline="0" fieldPosition="0">
        <references count="7">
          <reference field="1" count="0" selected="0"/>
          <reference field="2" count="0" selected="0"/>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0621">
      <pivotArea dataOnly="0" labelOnly="1" outline="0" fieldPosition="0">
        <references count="7">
          <reference field="1" count="0" selected="0"/>
          <reference field="2" count="0" selected="0"/>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0620">
      <pivotArea dataOnly="0" labelOnly="1" outline="0" fieldPosition="0">
        <references count="7">
          <reference field="1" count="0" selected="0"/>
          <reference field="2" count="0" selected="0"/>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10619">
      <pivotArea field="72" type="button" dataOnly="0" labelOnly="1" outline="0" axis="axisRow" fieldPosition="5"/>
    </format>
    <format dxfId="10618">
      <pivotArea field="13" type="button" dataOnly="0" labelOnly="1" outline="0" axis="axisRow" fieldPosition="6"/>
    </format>
    <format dxfId="10617">
      <pivotArea dataOnly="0" labelOnly="1" outline="0" fieldPosition="0">
        <references count="6">
          <reference field="1" count="0" selected="0"/>
          <reference field="2" count="0" selected="0"/>
          <reference field="5" count="1" selected="0">
            <x v="7"/>
          </reference>
          <reference field="13" count="1">
            <x v="0"/>
          </reference>
          <reference field="23" count="1" selected="0">
            <x v="2"/>
          </reference>
          <reference field="72" count="1" selected="0">
            <x v="60"/>
          </reference>
        </references>
      </pivotArea>
    </format>
    <format dxfId="10616">
      <pivotArea dataOnly="0" labelOnly="1" outline="0" fieldPosition="0">
        <references count="6">
          <reference field="1" count="0" selected="0"/>
          <reference field="2" count="0" selected="0"/>
          <reference field="5" count="1" selected="0">
            <x v="12"/>
          </reference>
          <reference field="13" count="1">
            <x v="2"/>
          </reference>
          <reference field="23" count="1" selected="0">
            <x v="1"/>
          </reference>
          <reference field="72" count="1" selected="0">
            <x v="117"/>
          </reference>
        </references>
      </pivotArea>
    </format>
    <format dxfId="10615">
      <pivotArea field="81" type="button" dataOnly="0" labelOnly="1" outline="0" axis="axisRow" fieldPosition="8"/>
    </format>
    <format dxfId="10614">
      <pivotArea field="82" type="button" dataOnly="0" labelOnly="1" outline="0" axis="axisRow" fieldPosition="9"/>
    </format>
    <format dxfId="10613">
      <pivotArea field="87" type="button" dataOnly="0" labelOnly="1" outline="0" axis="axisRow" fieldPosition="12"/>
    </format>
    <format dxfId="10612">
      <pivotArea field="88" type="button" dataOnly="0" labelOnly="1" outline="0" axis="axisRow" fieldPosition="13"/>
    </format>
    <format dxfId="10611">
      <pivotArea field="72" type="button" dataOnly="0" labelOnly="1" outline="0" axis="axisRow" fieldPosition="5"/>
    </format>
    <format dxfId="10610">
      <pivotArea field="13" type="button" dataOnly="0" labelOnly="1" outline="0" axis="axisRow" fieldPosition="6"/>
    </format>
    <format dxfId="10609">
      <pivotArea field="81" type="button" dataOnly="0" labelOnly="1" outline="0" axis="axisRow" fieldPosition="8"/>
    </format>
    <format dxfId="10608">
      <pivotArea field="82" type="button" dataOnly="0" labelOnly="1" outline="0" axis="axisRow" fieldPosition="9"/>
    </format>
    <format dxfId="10607">
      <pivotArea field="87" type="button" dataOnly="0" labelOnly="1" outline="0" axis="axisRow" fieldPosition="12"/>
    </format>
    <format dxfId="10606">
      <pivotArea field="88" type="button" dataOnly="0" labelOnly="1" outline="0" axis="axisRow" fieldPosition="13"/>
    </format>
    <format dxfId="10605">
      <pivotArea field="72" type="button" dataOnly="0" labelOnly="1" outline="0" axis="axisRow" fieldPosition="5"/>
    </format>
    <format dxfId="10604">
      <pivotArea field="13" type="button" dataOnly="0" labelOnly="1" outline="0" axis="axisRow" fieldPosition="6"/>
    </format>
    <format dxfId="10603">
      <pivotArea field="81" type="button" dataOnly="0" labelOnly="1" outline="0" axis="axisRow" fieldPosition="8"/>
    </format>
    <format dxfId="10602">
      <pivotArea field="82" type="button" dataOnly="0" labelOnly="1" outline="0" axis="axisRow" fieldPosition="9"/>
    </format>
    <format dxfId="10601">
      <pivotArea field="87" type="button" dataOnly="0" labelOnly="1" outline="0" axis="axisRow" fieldPosition="12"/>
    </format>
    <format dxfId="10600">
      <pivotArea field="88" type="button" dataOnly="0" labelOnly="1" outline="0" axis="axisRow" fieldPosition="13"/>
    </format>
    <format dxfId="10599">
      <pivotArea field="72" type="button" dataOnly="0" labelOnly="1" outline="0" axis="axisRow" fieldPosition="5"/>
    </format>
    <format dxfId="10598">
      <pivotArea field="13" type="button" dataOnly="0" labelOnly="1" outline="0" axis="axisRow" fieldPosition="6"/>
    </format>
    <format dxfId="10597">
      <pivotArea dataOnly="0" labelOnly="1" outline="0" fieldPosition="0">
        <references count="6">
          <reference field="1" count="0" selected="0"/>
          <reference field="2" count="0" selected="0"/>
          <reference field="5" count="1" selected="0">
            <x v="1"/>
          </reference>
          <reference field="13" count="1">
            <x v="2"/>
          </reference>
          <reference field="23" count="1" selected="0">
            <x v="2"/>
          </reference>
          <reference field="72" count="1" selected="0">
            <x v="15"/>
          </reference>
        </references>
      </pivotArea>
    </format>
    <format dxfId="10596">
      <pivotArea dataOnly="0" labelOnly="1" outline="0" fieldPosition="0">
        <references count="6">
          <reference field="1" count="0" selected="0"/>
          <reference field="2" count="0" selected="0"/>
          <reference field="5" count="1" selected="0">
            <x v="6"/>
          </reference>
          <reference field="13" count="1">
            <x v="2"/>
          </reference>
          <reference field="23" count="1" selected="0">
            <x v="2"/>
          </reference>
          <reference field="72" count="1" selected="0">
            <x v="12"/>
          </reference>
        </references>
      </pivotArea>
    </format>
    <format dxfId="10595">
      <pivotArea field="81" type="button" dataOnly="0" labelOnly="1" outline="0" axis="axisRow" fieldPosition="8"/>
    </format>
    <format dxfId="10594">
      <pivotArea field="82" type="button" dataOnly="0" labelOnly="1" outline="0" axis="axisRow" fieldPosition="9"/>
    </format>
    <format dxfId="10593">
      <pivotArea field="87" type="button" dataOnly="0" labelOnly="1" outline="0" axis="axisRow" fieldPosition="12"/>
    </format>
    <format dxfId="10592">
      <pivotArea field="88" type="button" dataOnly="0" labelOnly="1" outline="0" axis="axisRow" fieldPosition="13"/>
    </format>
    <format dxfId="10591">
      <pivotArea field="72" type="button" dataOnly="0" labelOnly="1" outline="0" axis="axisRow" fieldPosition="5"/>
    </format>
    <format dxfId="10590">
      <pivotArea field="13" type="button" dataOnly="0" labelOnly="1" outline="0" axis="axisRow" fieldPosition="6"/>
    </format>
    <format dxfId="10589">
      <pivotArea field="81" type="button" dataOnly="0" labelOnly="1" outline="0" axis="axisRow" fieldPosition="8"/>
    </format>
    <format dxfId="10588">
      <pivotArea field="82" type="button" dataOnly="0" labelOnly="1" outline="0" axis="axisRow" fieldPosition="9"/>
    </format>
    <format dxfId="10587">
      <pivotArea field="87" type="button" dataOnly="0" labelOnly="1" outline="0" axis="axisRow" fieldPosition="12"/>
    </format>
    <format dxfId="10586">
      <pivotArea field="88" type="button" dataOnly="0" labelOnly="1" outline="0" axis="axisRow" fieldPosition="13"/>
    </format>
    <format dxfId="10585">
      <pivotArea field="72" type="button" dataOnly="0" labelOnly="1" outline="0" axis="axisRow" fieldPosition="5"/>
    </format>
    <format dxfId="10584">
      <pivotArea field="13" type="button" dataOnly="0" labelOnly="1" outline="0" axis="axisRow" fieldPosition="6"/>
    </format>
    <format dxfId="10583">
      <pivotArea field="81" type="button" dataOnly="0" labelOnly="1" outline="0" axis="axisRow" fieldPosition="8"/>
    </format>
    <format dxfId="10582">
      <pivotArea field="82" type="button" dataOnly="0" labelOnly="1" outline="0" axis="axisRow" fieldPosition="9"/>
    </format>
    <format dxfId="10581">
      <pivotArea field="87" type="button" dataOnly="0" labelOnly="1" outline="0" axis="axisRow" fieldPosition="12"/>
    </format>
    <format dxfId="10580">
      <pivotArea field="88" type="button" dataOnly="0" labelOnly="1" outline="0" axis="axisRow" fieldPosition="13"/>
    </format>
    <format dxfId="10579">
      <pivotArea field="72" type="button" dataOnly="0" labelOnly="1" outline="0" axis="axisRow" fieldPosition="5"/>
    </format>
    <format dxfId="10578">
      <pivotArea field="13" type="button" dataOnly="0" labelOnly="1" outline="0" axis="axisRow" fieldPosition="6"/>
    </format>
    <format dxfId="10577">
      <pivotArea dataOnly="0" labelOnly="1" outline="0" fieldPosition="0">
        <references count="6">
          <reference field="1" count="0" selected="0"/>
          <reference field="2" count="0" selected="0"/>
          <reference field="5" count="1" selected="0">
            <x v="6"/>
          </reference>
          <reference field="13" count="1">
            <x v="2"/>
          </reference>
          <reference field="23" count="1" selected="0">
            <x v="2"/>
          </reference>
          <reference field="72" count="1" selected="0">
            <x v="10"/>
          </reference>
        </references>
      </pivotArea>
    </format>
    <format dxfId="10576">
      <pivotArea field="81" type="button" dataOnly="0" labelOnly="1" outline="0" axis="axisRow" fieldPosition="8"/>
    </format>
    <format dxfId="10575">
      <pivotArea field="82" type="button" dataOnly="0" labelOnly="1" outline="0" axis="axisRow" fieldPosition="9"/>
    </format>
    <format dxfId="10574">
      <pivotArea field="87" type="button" dataOnly="0" labelOnly="1" outline="0" axis="axisRow" fieldPosition="12"/>
    </format>
    <format dxfId="10573">
      <pivotArea field="88" type="button" dataOnly="0" labelOnly="1" outline="0" axis="axisRow" fieldPosition="13"/>
    </format>
    <format dxfId="10572">
      <pivotArea field="72" type="button" dataOnly="0" labelOnly="1" outline="0" axis="axisRow" fieldPosition="5"/>
    </format>
    <format dxfId="10571">
      <pivotArea field="13" type="button" dataOnly="0" labelOnly="1" outline="0" axis="axisRow" fieldPosition="6"/>
    </format>
    <format dxfId="10570">
      <pivotArea field="81" type="button" dataOnly="0" labelOnly="1" outline="0" axis="axisRow" fieldPosition="8"/>
    </format>
    <format dxfId="10569">
      <pivotArea field="82" type="button" dataOnly="0" labelOnly="1" outline="0" axis="axisRow" fieldPosition="9"/>
    </format>
    <format dxfId="10568">
      <pivotArea field="87" type="button" dataOnly="0" labelOnly="1" outline="0" axis="axisRow" fieldPosition="12"/>
    </format>
    <format dxfId="10567">
      <pivotArea field="88" type="button" dataOnly="0" labelOnly="1" outline="0" axis="axisRow" fieldPosition="13"/>
    </format>
    <format dxfId="10566">
      <pivotArea field="72" type="button" dataOnly="0" labelOnly="1" outline="0" axis="axisRow" fieldPosition="5"/>
    </format>
    <format dxfId="10565">
      <pivotArea field="13" type="button" dataOnly="0" labelOnly="1" outline="0" axis="axisRow" fieldPosition="6"/>
    </format>
    <format dxfId="10564">
      <pivotArea field="81" type="button" dataOnly="0" labelOnly="1" outline="0" axis="axisRow" fieldPosition="8"/>
    </format>
    <format dxfId="10563">
      <pivotArea field="82" type="button" dataOnly="0" labelOnly="1" outline="0" axis="axisRow" fieldPosition="9"/>
    </format>
    <format dxfId="10562">
      <pivotArea field="87" type="button" dataOnly="0" labelOnly="1" outline="0" axis="axisRow" fieldPosition="12"/>
    </format>
    <format dxfId="10561">
      <pivotArea field="88" type="button" dataOnly="0" labelOnly="1" outline="0" axis="axisRow" fieldPosition="13"/>
    </format>
    <format dxfId="10560">
      <pivotArea field="72" type="button" dataOnly="0" labelOnly="1" outline="0" axis="axisRow" fieldPosition="5"/>
    </format>
    <format dxfId="10559">
      <pivotArea field="13" type="button" dataOnly="0" labelOnly="1" outline="0" axis="axisRow" fieldPosition="6"/>
    </format>
    <format dxfId="10558">
      <pivotArea field="81" type="button" dataOnly="0" labelOnly="1" outline="0" axis="axisRow" fieldPosition="8"/>
    </format>
    <format dxfId="10557">
      <pivotArea field="82" type="button" dataOnly="0" labelOnly="1" outline="0" axis="axisRow" fieldPosition="9"/>
    </format>
    <format dxfId="10556">
      <pivotArea field="87" type="button" dataOnly="0" labelOnly="1" outline="0" axis="axisRow" fieldPosition="12"/>
    </format>
    <format dxfId="10555">
      <pivotArea field="88" type="button" dataOnly="0" labelOnly="1" outline="0" axis="axisRow" fieldPosition="13"/>
    </format>
    <format dxfId="10554">
      <pivotArea field="72" type="button" dataOnly="0" labelOnly="1" outline="0" axis="axisRow" fieldPosition="5"/>
    </format>
    <format dxfId="10553">
      <pivotArea field="13" type="button" dataOnly="0" labelOnly="1" outline="0" axis="axisRow" fieldPosition="6"/>
    </format>
    <format dxfId="10552">
      <pivotArea field="81" type="button" dataOnly="0" labelOnly="1" outline="0" axis="axisRow" fieldPosition="8"/>
    </format>
    <format dxfId="10551">
      <pivotArea field="82" type="button" dataOnly="0" labelOnly="1" outline="0" axis="axisRow" fieldPosition="9"/>
    </format>
    <format dxfId="10550">
      <pivotArea field="87" type="button" dataOnly="0" labelOnly="1" outline="0" axis="axisRow" fieldPosition="12"/>
    </format>
    <format dxfId="10549">
      <pivotArea field="88" type="button" dataOnly="0" labelOnly="1" outline="0" axis="axisRow" fieldPosition="13"/>
    </format>
    <format dxfId="10548">
      <pivotArea field="72" type="button" dataOnly="0" labelOnly="1" outline="0" axis="axisRow" fieldPosition="5"/>
    </format>
    <format dxfId="10547">
      <pivotArea field="13" type="button" dataOnly="0" labelOnly="1" outline="0" axis="axisRow" fieldPosition="6"/>
    </format>
    <format dxfId="10546">
      <pivotArea field="81" type="button" dataOnly="0" labelOnly="1" outline="0" axis="axisRow" fieldPosition="8"/>
    </format>
    <format dxfId="10545">
      <pivotArea field="82" type="button" dataOnly="0" labelOnly="1" outline="0" axis="axisRow" fieldPosition="9"/>
    </format>
    <format dxfId="10544">
      <pivotArea field="87" type="button" dataOnly="0" labelOnly="1" outline="0" axis="axisRow" fieldPosition="12"/>
    </format>
    <format dxfId="10543">
      <pivotArea field="88" type="button" dataOnly="0" labelOnly="1" outline="0" axis="axisRow" fieldPosition="13"/>
    </format>
    <format dxfId="10542">
      <pivotArea dataOnly="0" labelOnly="1" outline="0" fieldPosition="0">
        <references count="4">
          <reference field="1" count="0" selected="0"/>
          <reference field="2" count="0" selected="0"/>
          <reference field="5" count="1" selected="0">
            <x v="1"/>
          </reference>
          <reference field="23" count="2">
            <x v="1"/>
            <x v="2"/>
          </reference>
        </references>
      </pivotArea>
    </format>
    <format dxfId="10541">
      <pivotArea dataOnly="0" labelOnly="1" outline="0" fieldPosition="0">
        <references count="7">
          <reference field="1" count="0" selected="0"/>
          <reference field="2" count="0" selected="0"/>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10540">
      <pivotArea dataOnly="0" labelOnly="1" outline="0" fieldPosition="0">
        <references count="7">
          <reference field="1" count="0" selected="0"/>
          <reference field="2" count="0" selected="0"/>
          <reference field="5" count="1" selected="0">
            <x v="3"/>
          </reference>
          <reference field="13" count="1" selected="0">
            <x v="1"/>
          </reference>
          <reference field="22" count="1">
            <x v="12"/>
          </reference>
          <reference field="23" count="1" selected="0">
            <x v="2"/>
          </reference>
          <reference field="72" count="1" selected="0">
            <x v="44"/>
          </reference>
        </references>
      </pivotArea>
    </format>
    <format dxfId="10539">
      <pivotArea dataOnly="0" labelOnly="1" outline="0" fieldPosition="0">
        <references count="7">
          <reference field="1" count="0" selected="0"/>
          <reference field="2" count="0" selected="0"/>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10538">
      <pivotArea dataOnly="0" labelOnly="1" outline="0" fieldPosition="0">
        <references count="7">
          <reference field="1" count="0" selected="0"/>
          <reference field="2" count="0" selected="0"/>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0537">
      <pivotArea field="72" type="button" dataOnly="0" labelOnly="1" outline="0" axis="axisRow" fieldPosition="5"/>
    </format>
    <format dxfId="10536">
      <pivotArea field="13" type="button" dataOnly="0" labelOnly="1" outline="0" axis="axisRow" fieldPosition="6"/>
    </format>
    <format dxfId="10535">
      <pivotArea dataOnly="0" labelOnly="1" outline="0" fieldPosition="0">
        <references count="6">
          <reference field="1" count="0" selected="0"/>
          <reference field="2" count="0" selected="0"/>
          <reference field="5" count="1" selected="0">
            <x v="1"/>
          </reference>
          <reference field="13" count="1">
            <x v="4"/>
          </reference>
          <reference field="23" count="1" selected="0">
            <x v="1"/>
          </reference>
          <reference field="72" count="1" selected="0">
            <x v="123"/>
          </reference>
        </references>
      </pivotArea>
    </format>
    <format dxfId="10534">
      <pivotArea dataOnly="0" labelOnly="1" outline="0" fieldPosition="0">
        <references count="6">
          <reference field="1" count="0" selected="0"/>
          <reference field="2" count="0" selected="0"/>
          <reference field="5" count="1" selected="0">
            <x v="1"/>
          </reference>
          <reference field="13" count="1">
            <x v="5"/>
          </reference>
          <reference field="23" count="1" selected="0">
            <x v="2"/>
          </reference>
          <reference field="72" count="1" selected="0">
            <x v="15"/>
          </reference>
        </references>
      </pivotArea>
    </format>
    <format dxfId="10533">
      <pivotArea dataOnly="0" labelOnly="1" outline="0" fieldPosition="0">
        <references count="6">
          <reference field="1" count="0" selected="0"/>
          <reference field="2" count="0" selected="0"/>
          <reference field="5" count="1" selected="0">
            <x v="6"/>
          </reference>
          <reference field="13" count="1">
            <x v="4"/>
          </reference>
          <reference field="23" count="1" selected="0">
            <x v="1"/>
          </reference>
          <reference field="72" count="1" selected="0">
            <x v="119"/>
          </reference>
        </references>
      </pivotArea>
    </format>
    <format dxfId="10532">
      <pivotArea dataOnly="0" labelOnly="1" outline="0" fieldPosition="0">
        <references count="6">
          <reference field="1" count="0" selected="0"/>
          <reference field="2" count="0" selected="0"/>
          <reference field="5" count="1" selected="0">
            <x v="6"/>
          </reference>
          <reference field="13" count="1">
            <x v="5"/>
          </reference>
          <reference field="23" count="1" selected="0">
            <x v="2"/>
          </reference>
          <reference field="72" count="1" selected="0">
            <x v="12"/>
          </reference>
        </references>
      </pivotArea>
    </format>
    <format dxfId="10531">
      <pivotArea field="81" type="button" dataOnly="0" labelOnly="1" outline="0" axis="axisRow" fieldPosition="8"/>
    </format>
    <format dxfId="10530">
      <pivotArea field="82" type="button" dataOnly="0" labelOnly="1" outline="0" axis="axisRow" fieldPosition="9"/>
    </format>
    <format dxfId="10529">
      <pivotArea field="87" type="button" dataOnly="0" labelOnly="1" outline="0" axis="axisRow" fieldPosition="12"/>
    </format>
    <format dxfId="10528">
      <pivotArea field="88" type="button" dataOnly="0" labelOnly="1" outline="0" axis="axisRow" fieldPosition="13"/>
    </format>
    <format dxfId="10527">
      <pivotArea field="72" type="button" dataOnly="0" labelOnly="1" outline="0" axis="axisRow" fieldPosition="5"/>
    </format>
    <format dxfId="10526">
      <pivotArea field="13" type="button" dataOnly="0" labelOnly="1" outline="0" axis="axisRow" fieldPosition="6"/>
    </format>
    <format dxfId="10525">
      <pivotArea field="81" type="button" dataOnly="0" labelOnly="1" outline="0" axis="axisRow" fieldPosition="8"/>
    </format>
    <format dxfId="10524">
      <pivotArea field="82" type="button" dataOnly="0" labelOnly="1" outline="0" axis="axisRow" fieldPosition="9"/>
    </format>
    <format dxfId="10523">
      <pivotArea field="87" type="button" dataOnly="0" labelOnly="1" outline="0" axis="axisRow" fieldPosition="12"/>
    </format>
    <format dxfId="10522">
      <pivotArea field="88" type="button" dataOnly="0" labelOnly="1" outline="0" axis="axisRow" fieldPosition="13"/>
    </format>
    <format dxfId="10521">
      <pivotArea field="72" type="button" dataOnly="0" labelOnly="1" outline="0" axis="axisRow" fieldPosition="5"/>
    </format>
    <format dxfId="10520">
      <pivotArea field="13" type="button" dataOnly="0" labelOnly="1" outline="0" axis="axisRow" fieldPosition="6"/>
    </format>
    <format dxfId="10519">
      <pivotArea field="81" type="button" dataOnly="0" labelOnly="1" outline="0" axis="axisRow" fieldPosition="8"/>
    </format>
    <format dxfId="10518">
      <pivotArea field="82" type="button" dataOnly="0" labelOnly="1" outline="0" axis="axisRow" fieldPosition="9"/>
    </format>
    <format dxfId="10517">
      <pivotArea field="87" type="button" dataOnly="0" labelOnly="1" outline="0" axis="axisRow" fieldPosition="12"/>
    </format>
    <format dxfId="10516">
      <pivotArea field="88" type="button" dataOnly="0" labelOnly="1" outline="0" axis="axisRow" fieldPosition="13"/>
    </format>
    <format dxfId="10515">
      <pivotArea dataOnly="0" labelOnly="1" outline="0" fieldPosition="0">
        <references count="3">
          <reference field="1" count="0" selected="0"/>
          <reference field="2" count="0" selected="0"/>
          <reference field="5" count="0"/>
        </references>
      </pivotArea>
    </format>
    <format dxfId="10514">
      <pivotArea dataOnly="0" labelOnly="1" outline="0" fieldPosition="0">
        <references count="4">
          <reference field="1" count="0" selected="0"/>
          <reference field="2" count="0" selected="0"/>
          <reference field="5" count="1" selected="0">
            <x v="3"/>
          </reference>
          <reference field="23" count="1">
            <x v="2"/>
          </reference>
        </references>
      </pivotArea>
    </format>
    <format dxfId="10513">
      <pivotArea dataOnly="0" labelOnly="1" outline="0" fieldPosition="0">
        <references count="4">
          <reference field="1" count="0" selected="0"/>
          <reference field="2" count="0" selected="0"/>
          <reference field="5" count="1" selected="0">
            <x v="6"/>
          </reference>
          <reference field="23" count="2">
            <x v="1"/>
            <x v="2"/>
          </reference>
        </references>
      </pivotArea>
    </format>
    <format dxfId="10512">
      <pivotArea dataOnly="0" labelOnly="1" outline="0" fieldPosition="0">
        <references count="7">
          <reference field="1" count="0" selected="0"/>
          <reference field="2" count="0" selected="0"/>
          <reference field="5" count="1" selected="0">
            <x v="3"/>
          </reference>
          <reference field="13" count="1" selected="0">
            <x v="1"/>
          </reference>
          <reference field="22" count="1">
            <x v="9"/>
          </reference>
          <reference field="23" count="1" selected="0">
            <x v="2"/>
          </reference>
          <reference field="72" count="1" selected="0">
            <x v="44"/>
          </reference>
        </references>
      </pivotArea>
    </format>
    <format dxfId="10511">
      <pivotArea dataOnly="0" labelOnly="1" outline="0" fieldPosition="0">
        <references count="7">
          <reference field="1" count="0" selected="0"/>
          <reference field="2" count="0" selected="0"/>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10510">
      <pivotArea dataOnly="0" labelOnly="1" outline="0" fieldPosition="0">
        <references count="7">
          <reference field="1" count="0" selected="0"/>
          <reference field="2" count="0" selected="0"/>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0509">
      <pivotArea dataOnly="0" labelOnly="1" outline="0" fieldPosition="0">
        <references count="7">
          <reference field="1" count="0" selected="0"/>
          <reference field="2" count="0" selected="0"/>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10508">
      <pivotArea field="72" type="button" dataOnly="0" labelOnly="1" outline="0" axis="axisRow" fieldPosition="5"/>
    </format>
    <format dxfId="10507">
      <pivotArea field="13" type="button" dataOnly="0" labelOnly="1" outline="0" axis="axisRow" fieldPosition="6"/>
    </format>
    <format dxfId="10506">
      <pivotArea dataOnly="0" labelOnly="1" outline="0" fieldPosition="0">
        <references count="6">
          <reference field="1" count="0" selected="0"/>
          <reference field="2" count="0" selected="0"/>
          <reference field="5" count="1" selected="0">
            <x v="3"/>
          </reference>
          <reference field="13" count="1">
            <x v="1"/>
          </reference>
          <reference field="23" count="1" selected="0">
            <x v="2"/>
          </reference>
          <reference field="72" count="1" selected="0">
            <x v="44"/>
          </reference>
        </references>
      </pivotArea>
    </format>
    <format dxfId="10505">
      <pivotArea dataOnly="0" labelOnly="1" outline="0" fieldPosition="0">
        <references count="6">
          <reference field="1" count="0" selected="0"/>
          <reference field="2" count="0" selected="0"/>
          <reference field="5" count="1" selected="0">
            <x v="5"/>
          </reference>
          <reference field="13" count="1">
            <x v="2"/>
          </reference>
          <reference field="23" count="1" selected="0">
            <x v="0"/>
          </reference>
          <reference field="72" count="1" selected="0">
            <x v="121"/>
          </reference>
        </references>
      </pivotArea>
    </format>
    <format dxfId="10504">
      <pivotArea dataOnly="0" labelOnly="1" outline="0" fieldPosition="0">
        <references count="6">
          <reference field="1" count="0" selected="0"/>
          <reference field="2" count="0" selected="0"/>
          <reference field="5" count="1" selected="0">
            <x v="6"/>
          </reference>
          <reference field="13" count="1">
            <x v="4"/>
          </reference>
          <reference field="23" count="1" selected="0">
            <x v="1"/>
          </reference>
          <reference field="72" count="1" selected="0">
            <x v="116"/>
          </reference>
        </references>
      </pivotArea>
    </format>
    <format dxfId="10503">
      <pivotArea dataOnly="0" labelOnly="1" outline="0" fieldPosition="0">
        <references count="6">
          <reference field="1" count="0" selected="0"/>
          <reference field="2" count="0" selected="0"/>
          <reference field="5" count="1" selected="0">
            <x v="6"/>
          </reference>
          <reference field="13" count="1">
            <x v="5"/>
          </reference>
          <reference field="23" count="1" selected="0">
            <x v="2"/>
          </reference>
          <reference field="72" count="1" selected="0">
            <x v="10"/>
          </reference>
        </references>
      </pivotArea>
    </format>
    <format dxfId="10502">
      <pivotArea dataOnly="0" labelOnly="1" outline="0" fieldPosition="0">
        <references count="6">
          <reference field="1" count="0" selected="0"/>
          <reference field="2" count="0" selected="0"/>
          <reference field="5" count="1" selected="0">
            <x v="12"/>
          </reference>
          <reference field="13" count="1">
            <x v="4"/>
          </reference>
          <reference field="23" count="1" selected="0">
            <x v="1"/>
          </reference>
          <reference field="72" count="1" selected="0">
            <x v="117"/>
          </reference>
        </references>
      </pivotArea>
    </format>
    <format dxfId="10501">
      <pivotArea field="81" type="button" dataOnly="0" labelOnly="1" outline="0" axis="axisRow" fieldPosition="8"/>
    </format>
    <format dxfId="10500">
      <pivotArea field="82" type="button" dataOnly="0" labelOnly="1" outline="0" axis="axisRow" fieldPosition="9"/>
    </format>
    <format dxfId="10499">
      <pivotArea field="87" type="button" dataOnly="0" labelOnly="1" outline="0" axis="axisRow" fieldPosition="12"/>
    </format>
    <format dxfId="10498">
      <pivotArea field="88" type="button" dataOnly="0" labelOnly="1" outline="0" axis="axisRow" fieldPosition="13"/>
    </format>
    <format dxfId="10497">
      <pivotArea field="72" type="button" dataOnly="0" labelOnly="1" outline="0" axis="axisRow" fieldPosition="5"/>
    </format>
    <format dxfId="10496">
      <pivotArea field="13" type="button" dataOnly="0" labelOnly="1" outline="0" axis="axisRow" fieldPosition="6"/>
    </format>
    <format dxfId="10495">
      <pivotArea field="81" type="button" dataOnly="0" labelOnly="1" outline="0" axis="axisRow" fieldPosition="8"/>
    </format>
    <format dxfId="10494">
      <pivotArea field="82" type="button" dataOnly="0" labelOnly="1" outline="0" axis="axisRow" fieldPosition="9"/>
    </format>
    <format dxfId="10493">
      <pivotArea field="87" type="button" dataOnly="0" labelOnly="1" outline="0" axis="axisRow" fieldPosition="12"/>
    </format>
    <format dxfId="10492">
      <pivotArea field="88" type="button" dataOnly="0" labelOnly="1" outline="0" axis="axisRow" fieldPosition="13"/>
    </format>
    <format dxfId="10491">
      <pivotArea field="72" type="button" dataOnly="0" labelOnly="1" outline="0" axis="axisRow" fieldPosition="5"/>
    </format>
    <format dxfId="10490">
      <pivotArea field="13" type="button" dataOnly="0" labelOnly="1" outline="0" axis="axisRow" fieldPosition="6"/>
    </format>
    <format dxfId="10489">
      <pivotArea field="81" type="button" dataOnly="0" labelOnly="1" outline="0" axis="axisRow" fieldPosition="8"/>
    </format>
    <format dxfId="10488">
      <pivotArea field="82" type="button" dataOnly="0" labelOnly="1" outline="0" axis="axisRow" fieldPosition="9"/>
    </format>
    <format dxfId="10487">
      <pivotArea field="87" type="button" dataOnly="0" labelOnly="1" outline="0" axis="axisRow" fieldPosition="12"/>
    </format>
    <format dxfId="10486">
      <pivotArea field="88" type="button" dataOnly="0" labelOnly="1" outline="0" axis="axisRow" fieldPosition="13"/>
    </format>
    <format dxfId="10485">
      <pivotArea field="72" type="button" dataOnly="0" labelOnly="1" outline="0" axis="axisRow" fieldPosition="5"/>
    </format>
    <format dxfId="10484">
      <pivotArea field="13" type="button" dataOnly="0" labelOnly="1" outline="0" axis="axisRow" fieldPosition="6"/>
    </format>
    <format dxfId="10483">
      <pivotArea field="81" type="button" dataOnly="0" labelOnly="1" outline="0" axis="axisRow" fieldPosition="8"/>
    </format>
    <format dxfId="10482">
      <pivotArea field="82" type="button" dataOnly="0" labelOnly="1" outline="0" axis="axisRow" fieldPosition="9"/>
    </format>
    <format dxfId="10481">
      <pivotArea field="87" type="button" dataOnly="0" labelOnly="1" outline="0" axis="axisRow" fieldPosition="12"/>
    </format>
    <format dxfId="10480">
      <pivotArea field="88" type="button" dataOnly="0" labelOnly="1" outline="0" axis="axisRow" fieldPosition="13"/>
    </format>
    <format dxfId="10479">
      <pivotArea field="72" type="button" dataOnly="0" labelOnly="1" outline="0" axis="axisRow" fieldPosition="5"/>
    </format>
    <format dxfId="10478">
      <pivotArea field="13" type="button" dataOnly="0" labelOnly="1" outline="0" axis="axisRow" fieldPosition="6"/>
    </format>
    <format dxfId="10477">
      <pivotArea field="81" type="button" dataOnly="0" labelOnly="1" outline="0" axis="axisRow" fieldPosition="8"/>
    </format>
    <format dxfId="10476">
      <pivotArea field="82" type="button" dataOnly="0" labelOnly="1" outline="0" axis="axisRow" fieldPosition="9"/>
    </format>
    <format dxfId="10475">
      <pivotArea field="87" type="button" dataOnly="0" labelOnly="1" outline="0" axis="axisRow" fieldPosition="12"/>
    </format>
    <format dxfId="10474">
      <pivotArea field="88" type="button" dataOnly="0" labelOnly="1" outline="0" axis="axisRow" fieldPosition="13"/>
    </format>
    <format dxfId="10473">
      <pivotArea field="72" type="button" dataOnly="0" labelOnly="1" outline="0" axis="axisRow" fieldPosition="5"/>
    </format>
    <format dxfId="10472">
      <pivotArea field="13" type="button" dataOnly="0" labelOnly="1" outline="0" axis="axisRow" fieldPosition="6"/>
    </format>
    <format dxfId="10471">
      <pivotArea field="81" type="button" dataOnly="0" labelOnly="1" outline="0" axis="axisRow" fieldPosition="8"/>
    </format>
    <format dxfId="10470">
      <pivotArea field="82" type="button" dataOnly="0" labelOnly="1" outline="0" axis="axisRow" fieldPosition="9"/>
    </format>
    <format dxfId="10469">
      <pivotArea field="87" type="button" dataOnly="0" labelOnly="1" outline="0" axis="axisRow" fieldPosition="12"/>
    </format>
    <format dxfId="10468">
      <pivotArea field="88" type="button" dataOnly="0" labelOnly="1" outline="0" axis="axisRow" fieldPosition="13"/>
    </format>
    <format dxfId="10467">
      <pivotArea dataOnly="0" labelOnly="1" outline="0" fieldPosition="0">
        <references count="3">
          <reference field="1" count="0" selected="0"/>
          <reference field="2" count="1" selected="0">
            <x v="5"/>
          </reference>
          <reference field="5" count="2">
            <x v="4"/>
            <x v="7"/>
          </reference>
        </references>
      </pivotArea>
    </format>
    <format dxfId="10466">
      <pivotArea dataOnly="0" labelOnly="1" outline="0" fieldPosition="0">
        <references count="4">
          <reference field="1" count="0" selected="0"/>
          <reference field="2" count="1" selected="0">
            <x v="5"/>
          </reference>
          <reference field="5" count="1" selected="0">
            <x v="4"/>
          </reference>
          <reference field="23" count="1">
            <x v="2"/>
          </reference>
        </references>
      </pivotArea>
    </format>
    <format dxfId="10465">
      <pivotArea dataOnly="0" labelOnly="1" outline="0" fieldPosition="0">
        <references count="4">
          <reference field="1" count="0" selected="0"/>
          <reference field="2" count="1" selected="0">
            <x v="6"/>
          </reference>
          <reference field="5" count="1" selected="0">
            <x v="12"/>
          </reference>
          <reference field="23" count="2">
            <x v="1"/>
            <x v="2"/>
          </reference>
        </references>
      </pivotArea>
    </format>
    <format dxfId="10464">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10463">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10462">
      <pivotArea dataOnly="0" labelOnly="1" outline="0" fieldPosition="0">
        <references count="7">
          <reference field="1" count="0" selected="0"/>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10461">
      <pivotArea dataOnly="0" labelOnly="1" outline="0" fieldPosition="0">
        <references count="7">
          <reference field="1" count="0" selected="0"/>
          <reference field="2" count="1" selected="0">
            <x v="6"/>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10460">
      <pivotArea field="72" type="button" dataOnly="0" labelOnly="1" outline="0" axis="axisRow" fieldPosition="5"/>
    </format>
    <format dxfId="10459">
      <pivotArea field="13" type="button" dataOnly="0" labelOnly="1" outline="0" axis="axisRow" fieldPosition="6"/>
    </format>
    <format dxfId="10458">
      <pivotArea dataOnly="0" labelOnly="1" outline="0" fieldPosition="0">
        <references count="6">
          <reference field="1" count="0" selected="0"/>
          <reference field="2" count="1" selected="0">
            <x v="5"/>
          </reference>
          <reference field="5" count="1" selected="0">
            <x v="4"/>
          </reference>
          <reference field="13" count="1">
            <x v="2"/>
          </reference>
          <reference field="23" count="1" selected="0">
            <x v="2"/>
          </reference>
          <reference field="72" count="1" selected="0">
            <x v="88"/>
          </reference>
        </references>
      </pivotArea>
    </format>
    <format dxfId="10457">
      <pivotArea dataOnly="0" labelOnly="1" outline="0" fieldPosition="0">
        <references count="6">
          <reference field="1" count="0" selected="0"/>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10456">
      <pivotArea dataOnly="0" labelOnly="1" outline="0" fieldPosition="0">
        <references count="6">
          <reference field="1" count="0" selected="0"/>
          <reference field="2" count="1" selected="0">
            <x v="6"/>
          </reference>
          <reference field="5" count="1" selected="0">
            <x v="12"/>
          </reference>
          <reference field="13" count="1">
            <x v="4"/>
          </reference>
          <reference field="23" count="1" selected="0">
            <x v="1"/>
          </reference>
          <reference field="72" count="1" selected="0">
            <x v="136"/>
          </reference>
        </references>
      </pivotArea>
    </format>
    <format dxfId="10455">
      <pivotArea dataOnly="0" labelOnly="1" outline="0" fieldPosition="0">
        <references count="6">
          <reference field="1" count="0" selected="0"/>
          <reference field="2" count="1" selected="0">
            <x v="6"/>
          </reference>
          <reference field="5" count="1" selected="0">
            <x v="12"/>
          </reference>
          <reference field="13" count="1">
            <x v="5"/>
          </reference>
          <reference field="23" count="1" selected="0">
            <x v="2"/>
          </reference>
          <reference field="72" count="1" selected="0">
            <x v="71"/>
          </reference>
        </references>
      </pivotArea>
    </format>
    <format dxfId="10454">
      <pivotArea field="81" type="button" dataOnly="0" labelOnly="1" outline="0" axis="axisRow" fieldPosition="8"/>
    </format>
    <format dxfId="10453">
      <pivotArea field="82" type="button" dataOnly="0" labelOnly="1" outline="0" axis="axisRow" fieldPosition="9"/>
    </format>
    <format dxfId="10452">
      <pivotArea field="87" type="button" dataOnly="0" labelOnly="1" outline="0" axis="axisRow" fieldPosition="12"/>
    </format>
    <format dxfId="10451">
      <pivotArea field="88" type="button" dataOnly="0" labelOnly="1" outline="0" axis="axisRow" fieldPosition="13"/>
    </format>
    <format dxfId="10450">
      <pivotArea field="72" type="button" dataOnly="0" labelOnly="1" outline="0" axis="axisRow" fieldPosition="5"/>
    </format>
    <format dxfId="10449">
      <pivotArea field="13" type="button" dataOnly="0" labelOnly="1" outline="0" axis="axisRow" fieldPosition="6"/>
    </format>
    <format dxfId="10448">
      <pivotArea field="81" type="button" dataOnly="0" labelOnly="1" outline="0" axis="axisRow" fieldPosition="8"/>
    </format>
    <format dxfId="10447">
      <pivotArea field="82" type="button" dataOnly="0" labelOnly="1" outline="0" axis="axisRow" fieldPosition="9"/>
    </format>
    <format dxfId="10446">
      <pivotArea field="87" type="button" dataOnly="0" labelOnly="1" outline="0" axis="axisRow" fieldPosition="12"/>
    </format>
    <format dxfId="10445">
      <pivotArea field="88" type="button" dataOnly="0" labelOnly="1" outline="0" axis="axisRow" fieldPosition="13"/>
    </format>
    <format dxfId="10444">
      <pivotArea field="72" type="button" dataOnly="0" labelOnly="1" outline="0" axis="axisRow" fieldPosition="5"/>
    </format>
    <format dxfId="10443">
      <pivotArea field="13" type="button" dataOnly="0" labelOnly="1" outline="0" axis="axisRow" fieldPosition="6"/>
    </format>
    <format dxfId="10442">
      <pivotArea field="81" type="button" dataOnly="0" labelOnly="1" outline="0" axis="axisRow" fieldPosition="8"/>
    </format>
    <format dxfId="10441">
      <pivotArea field="82" type="button" dataOnly="0" labelOnly="1" outline="0" axis="axisRow" fieldPosition="9"/>
    </format>
    <format dxfId="10440">
      <pivotArea field="87" type="button" dataOnly="0" labelOnly="1" outline="0" axis="axisRow" fieldPosition="12"/>
    </format>
    <format dxfId="10439">
      <pivotArea field="88" type="button" dataOnly="0" labelOnly="1" outline="0" axis="axisRow" fieldPosition="13"/>
    </format>
    <format dxfId="10438">
      <pivotArea field="72" type="button" dataOnly="0" labelOnly="1" outline="0" axis="axisRow" fieldPosition="5"/>
    </format>
    <format dxfId="10437">
      <pivotArea field="13" type="button" dataOnly="0" labelOnly="1" outline="0" axis="axisRow" fieldPosition="6"/>
    </format>
    <format dxfId="10436">
      <pivotArea field="81" type="button" dataOnly="0" labelOnly="1" outline="0" axis="axisRow" fieldPosition="8"/>
    </format>
    <format dxfId="10435">
      <pivotArea field="82" type="button" dataOnly="0" labelOnly="1" outline="0" axis="axisRow" fieldPosition="9"/>
    </format>
    <format dxfId="10434">
      <pivotArea field="87" type="button" dataOnly="0" labelOnly="1" outline="0" axis="axisRow" fieldPosition="12"/>
    </format>
    <format dxfId="10433">
      <pivotArea field="88" type="button" dataOnly="0" labelOnly="1" outline="0" axis="axisRow" fieldPosition="13"/>
    </format>
    <format dxfId="10432">
      <pivotArea field="72" type="button" dataOnly="0" labelOnly="1" outline="0" axis="axisRow" fieldPosition="5"/>
    </format>
    <format dxfId="10431">
      <pivotArea field="13" type="button" dataOnly="0" labelOnly="1" outline="0" axis="axisRow" fieldPosition="6"/>
    </format>
    <format dxfId="10430">
      <pivotArea field="81" type="button" dataOnly="0" labelOnly="1" outline="0" axis="axisRow" fieldPosition="8"/>
    </format>
    <format dxfId="10429">
      <pivotArea field="82" type="button" dataOnly="0" labelOnly="1" outline="0" axis="axisRow" fieldPosition="9"/>
    </format>
    <format dxfId="10428">
      <pivotArea field="87" type="button" dataOnly="0" labelOnly="1" outline="0" axis="axisRow" fieldPosition="12"/>
    </format>
    <format dxfId="10427">
      <pivotArea field="88" type="button" dataOnly="0" labelOnly="1" outline="0" axis="axisRow" fieldPosition="13"/>
    </format>
    <format dxfId="10426">
      <pivotArea field="72" type="button" dataOnly="0" labelOnly="1" outline="0" axis="axisRow" fieldPosition="5"/>
    </format>
    <format dxfId="10425">
      <pivotArea field="13" type="button" dataOnly="0" labelOnly="1" outline="0" axis="axisRow" fieldPosition="6"/>
    </format>
    <format dxfId="10424">
      <pivotArea field="81" type="button" dataOnly="0" labelOnly="1" outline="0" axis="axisRow" fieldPosition="8"/>
    </format>
    <format dxfId="10423">
      <pivotArea field="82" type="button" dataOnly="0" labelOnly="1" outline="0" axis="axisRow" fieldPosition="9"/>
    </format>
    <format dxfId="10422">
      <pivotArea field="87" type="button" dataOnly="0" labelOnly="1" outline="0" axis="axisRow" fieldPosition="12"/>
    </format>
    <format dxfId="10421">
      <pivotArea field="88" type="button" dataOnly="0" labelOnly="1" outline="0" axis="axisRow" fieldPosition="13"/>
    </format>
    <format dxfId="10420">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2">
            <x v="9"/>
            <x v="13"/>
          </reference>
          <reference field="23" count="1" selected="0">
            <x v="2"/>
          </reference>
          <reference field="72" count="1" selected="0">
            <x v="44"/>
          </reference>
        </references>
      </pivotArea>
    </format>
    <format dxfId="10419">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54"/>
          </reference>
        </references>
      </pivotArea>
    </format>
    <format dxfId="10418">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10417">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10416">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10415">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0"/>
          </reference>
        </references>
      </pivotArea>
    </format>
    <format dxfId="10414">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2"/>
          </reference>
        </references>
      </pivotArea>
    </format>
    <format dxfId="10413">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6"/>
          </reference>
        </references>
      </pivotArea>
    </format>
    <format dxfId="10412">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2"/>
          </reference>
        </references>
      </pivotArea>
    </format>
    <format dxfId="10411">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4"/>
          </reference>
        </references>
      </pivotArea>
    </format>
    <format dxfId="10410">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8"/>
          </reference>
        </references>
      </pivotArea>
    </format>
    <format dxfId="10409">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6"/>
          </reference>
        </references>
      </pivotArea>
    </format>
    <format dxfId="10408">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9"/>
          </reference>
        </references>
      </pivotArea>
    </format>
    <format dxfId="10407">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4"/>
          </reference>
        </references>
      </pivotArea>
    </format>
    <format dxfId="10406">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10405">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10404">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10403">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6"/>
          </reference>
        </references>
      </pivotArea>
    </format>
    <format dxfId="10402">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87"/>
          </reference>
        </references>
      </pivotArea>
    </format>
    <format dxfId="10401">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9"/>
          </reference>
        </references>
      </pivotArea>
    </format>
    <format dxfId="10400">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7"/>
          </reference>
        </references>
      </pivotArea>
    </format>
    <format dxfId="10399">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9"/>
          </reference>
        </references>
      </pivotArea>
    </format>
    <format dxfId="10398">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2"/>
          </reference>
        </references>
      </pivotArea>
    </format>
    <format dxfId="10397">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10396">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10395">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10394">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10393">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10392">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10391">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10390">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10389">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10388">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1"/>
          </reference>
        </references>
      </pivotArea>
    </format>
    <format dxfId="10387">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3"/>
          </reference>
        </references>
      </pivotArea>
    </format>
    <format dxfId="10386">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7"/>
          </reference>
        </references>
      </pivotArea>
    </format>
    <format dxfId="10385">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6"/>
          </reference>
        </references>
      </pivotArea>
    </format>
    <format dxfId="10384">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8"/>
          </reference>
        </references>
      </pivotArea>
    </format>
    <format dxfId="10383">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3"/>
          </reference>
        </references>
      </pivotArea>
    </format>
    <format dxfId="10382">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4"/>
          </reference>
        </references>
      </pivotArea>
    </format>
    <format dxfId="10381">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6"/>
          </reference>
        </references>
      </pivotArea>
    </format>
    <format dxfId="10380">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1"/>
          </reference>
        </references>
      </pivotArea>
    </format>
    <format dxfId="10379">
      <pivotArea field="72" type="button" dataOnly="0" labelOnly="1" outline="0" axis="axisRow" fieldPosition="5"/>
    </format>
    <format dxfId="10378">
      <pivotArea field="13" type="button" dataOnly="0" labelOnly="1" outline="0" axis="axisRow" fieldPosition="6"/>
    </format>
    <format dxfId="10377">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44"/>
          </reference>
        </references>
      </pivotArea>
    </format>
    <format dxfId="10376">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35"/>
          </reference>
        </references>
      </pivotArea>
    </format>
    <format dxfId="10375">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32"/>
          </reference>
        </references>
      </pivotArea>
    </format>
    <format dxfId="10374">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71"/>
          </reference>
        </references>
      </pivotArea>
    </format>
    <format dxfId="10373">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57"/>
          </reference>
        </references>
      </pivotArea>
    </format>
    <format dxfId="10372">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21"/>
          </reference>
        </references>
      </pivotArea>
    </format>
    <format dxfId="10371">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21"/>
          </reference>
        </references>
      </pivotArea>
    </format>
    <format dxfId="10370">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11"/>
          </reference>
        </references>
      </pivotArea>
    </format>
    <format dxfId="10369">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16"/>
          </reference>
        </references>
      </pivotArea>
    </format>
    <format dxfId="10368">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24"/>
          </reference>
        </references>
      </pivotArea>
    </format>
    <format dxfId="10367">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09"/>
          </reference>
        </references>
      </pivotArea>
    </format>
    <format dxfId="10366">
      <pivotArea field="81" type="button" dataOnly="0" labelOnly="1" outline="0" axis="axisRow" fieldPosition="8"/>
    </format>
    <format dxfId="10365">
      <pivotArea field="82" type="button" dataOnly="0" labelOnly="1" outline="0" axis="axisRow" fieldPosition="9"/>
    </format>
    <format dxfId="10364">
      <pivotArea field="87" type="button" dataOnly="0" labelOnly="1" outline="0" axis="axisRow" fieldPosition="12"/>
    </format>
    <format dxfId="10363">
      <pivotArea field="88" type="button" dataOnly="0" labelOnly="1" outline="0" axis="axisRow" fieldPosition="13"/>
    </format>
    <format dxfId="10362">
      <pivotArea field="72" type="button" dataOnly="0" labelOnly="1" outline="0" axis="axisRow" fieldPosition="5"/>
    </format>
    <format dxfId="10361">
      <pivotArea field="13" type="button" dataOnly="0" labelOnly="1" outline="0" axis="axisRow" fieldPosition="6"/>
    </format>
    <format dxfId="10360">
      <pivotArea field="81" type="button" dataOnly="0" labelOnly="1" outline="0" axis="axisRow" fieldPosition="8"/>
    </format>
    <format dxfId="10359">
      <pivotArea field="82" type="button" dataOnly="0" labelOnly="1" outline="0" axis="axisRow" fieldPosition="9"/>
    </format>
    <format dxfId="10358">
      <pivotArea field="87" type="button" dataOnly="0" labelOnly="1" outline="0" axis="axisRow" fieldPosition="12"/>
    </format>
    <format dxfId="10357">
      <pivotArea field="88" type="button" dataOnly="0" labelOnly="1" outline="0" axis="axisRow" fieldPosition="13"/>
    </format>
    <format dxfId="10356">
      <pivotArea field="72" type="button" dataOnly="0" labelOnly="1" outline="0" axis="axisRow" fieldPosition="5"/>
    </format>
    <format dxfId="10355">
      <pivotArea field="13" type="button" dataOnly="0" labelOnly="1" outline="0" axis="axisRow" fieldPosition="6"/>
    </format>
    <format dxfId="10354">
      <pivotArea field="81" type="button" dataOnly="0" labelOnly="1" outline="0" axis="axisRow" fieldPosition="8"/>
    </format>
    <format dxfId="10353">
      <pivotArea field="82" type="button" dataOnly="0" labelOnly="1" outline="0" axis="axisRow" fieldPosition="9"/>
    </format>
    <format dxfId="10352">
      <pivotArea field="87" type="button" dataOnly="0" labelOnly="1" outline="0" axis="axisRow" fieldPosition="12"/>
    </format>
    <format dxfId="10351">
      <pivotArea field="88" type="button" dataOnly="0" labelOnly="1" outline="0" axis="axisRow" fieldPosition="13"/>
    </format>
    <format dxfId="10350">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40"/>
          </reference>
        </references>
      </pivotArea>
    </format>
    <format dxfId="10349">
      <pivotArea field="72" type="button" dataOnly="0" labelOnly="1" outline="0" axis="axisRow" fieldPosition="5"/>
    </format>
    <format dxfId="10348">
      <pivotArea field="13" type="button" dataOnly="0" labelOnly="1" outline="0" axis="axisRow" fieldPosition="6"/>
    </format>
    <format dxfId="10347">
      <pivotArea dataOnly="0" labelOnly="1" outline="0" fieldPosition="0">
        <references count="6">
          <reference field="1" count="1" selected="0">
            <x v="35"/>
          </reference>
          <reference field="2" count="1" selected="0">
            <x v="10"/>
          </reference>
          <reference field="5" count="1" selected="0">
            <x v="5"/>
          </reference>
          <reference field="13" count="1">
            <x v="2"/>
          </reference>
          <reference field="23" count="1" selected="0">
            <x v="0"/>
          </reference>
          <reference field="72" count="1" selected="0">
            <x v="142"/>
          </reference>
        </references>
      </pivotArea>
    </format>
    <format dxfId="10346">
      <pivotArea field="81" type="button" dataOnly="0" labelOnly="1" outline="0" axis="axisRow" fieldPosition="8"/>
    </format>
    <format dxfId="10345">
      <pivotArea field="82" type="button" dataOnly="0" labelOnly="1" outline="0" axis="axisRow" fieldPosition="9"/>
    </format>
    <format dxfId="10344">
      <pivotArea field="87" type="button" dataOnly="0" labelOnly="1" outline="0" axis="axisRow" fieldPosition="12"/>
    </format>
    <format dxfId="10343">
      <pivotArea field="88" type="button" dataOnly="0" labelOnly="1" outline="0" axis="axisRow" fieldPosition="13"/>
    </format>
    <format dxfId="10342">
      <pivotArea field="72" type="button" dataOnly="0" labelOnly="1" outline="0" axis="axisRow" fieldPosition="5"/>
    </format>
    <format dxfId="10341">
      <pivotArea field="13" type="button" dataOnly="0" labelOnly="1" outline="0" axis="axisRow" fieldPosition="6"/>
    </format>
    <format dxfId="10340">
      <pivotArea field="81" type="button" dataOnly="0" labelOnly="1" outline="0" axis="axisRow" fieldPosition="8"/>
    </format>
    <format dxfId="10339">
      <pivotArea field="82" type="button" dataOnly="0" labelOnly="1" outline="0" axis="axisRow" fieldPosition="9"/>
    </format>
    <format dxfId="10338">
      <pivotArea field="87" type="button" dataOnly="0" labelOnly="1" outline="0" axis="axisRow" fieldPosition="12"/>
    </format>
    <format dxfId="10337">
      <pivotArea field="88" type="button" dataOnly="0" labelOnly="1" outline="0" axis="axisRow" fieldPosition="13"/>
    </format>
    <format dxfId="10336">
      <pivotArea field="72" type="button" dataOnly="0" labelOnly="1" outline="0" axis="axisRow" fieldPosition="5"/>
    </format>
    <format dxfId="10335">
      <pivotArea field="13" type="button" dataOnly="0" labelOnly="1" outline="0" axis="axisRow" fieldPosition="6"/>
    </format>
    <format dxfId="10334">
      <pivotArea field="81" type="button" dataOnly="0" labelOnly="1" outline="0" axis="axisRow" fieldPosition="8"/>
    </format>
    <format dxfId="10333">
      <pivotArea field="82" type="button" dataOnly="0" labelOnly="1" outline="0" axis="axisRow" fieldPosition="9"/>
    </format>
    <format dxfId="10332">
      <pivotArea field="87" type="button" dataOnly="0" labelOnly="1" outline="0" axis="axisRow" fieldPosition="12"/>
    </format>
    <format dxfId="10331">
      <pivotArea field="88" type="button" dataOnly="0" labelOnly="1" outline="0" axis="axisRow" fieldPosition="13"/>
    </format>
    <format dxfId="10330">
      <pivotArea field="72" type="button" dataOnly="0" labelOnly="1" outline="0" axis="axisRow" fieldPosition="5"/>
    </format>
    <format dxfId="10329">
      <pivotArea field="13" type="button" dataOnly="0" labelOnly="1" outline="0" axis="axisRow" fieldPosition="6"/>
    </format>
    <format dxfId="10328">
      <pivotArea field="81" type="button" dataOnly="0" labelOnly="1" outline="0" axis="axisRow" fieldPosition="8"/>
    </format>
    <format dxfId="10327">
      <pivotArea field="82" type="button" dataOnly="0" labelOnly="1" outline="0" axis="axisRow" fieldPosition="9"/>
    </format>
    <format dxfId="10326">
      <pivotArea field="87" type="button" dataOnly="0" labelOnly="1" outline="0" axis="axisRow" fieldPosition="12"/>
    </format>
    <format dxfId="10325">
      <pivotArea field="88" type="button" dataOnly="0" labelOnly="1" outline="0" axis="axisRow" fieldPosition="13"/>
    </format>
    <format dxfId="10324">
      <pivotArea field="72" type="button" dataOnly="0" labelOnly="1" outline="0" axis="axisRow" fieldPosition="5"/>
    </format>
    <format dxfId="10323">
      <pivotArea field="13" type="button" dataOnly="0" labelOnly="1" outline="0" axis="axisRow" fieldPosition="6"/>
    </format>
    <format dxfId="10322">
      <pivotArea field="81" type="button" dataOnly="0" labelOnly="1" outline="0" axis="axisRow" fieldPosition="8"/>
    </format>
    <format dxfId="10321">
      <pivotArea field="82" type="button" dataOnly="0" labelOnly="1" outline="0" axis="axisRow" fieldPosition="9"/>
    </format>
    <format dxfId="10320">
      <pivotArea field="87" type="button" dataOnly="0" labelOnly="1" outline="0" axis="axisRow" fieldPosition="12"/>
    </format>
    <format dxfId="10319">
      <pivotArea field="88" type="button" dataOnly="0" labelOnly="1" outline="0" axis="axisRow" fieldPosition="13"/>
    </format>
    <format dxfId="10318">
      <pivotArea field="72" type="button" dataOnly="0" labelOnly="1" outline="0" axis="axisRow" fieldPosition="5"/>
    </format>
    <format dxfId="10317">
      <pivotArea field="13" type="button" dataOnly="0" labelOnly="1" outline="0" axis="axisRow" fieldPosition="6"/>
    </format>
    <format dxfId="10316">
      <pivotArea field="81" type="button" dataOnly="0" labelOnly="1" outline="0" axis="axisRow" fieldPosition="8"/>
    </format>
    <format dxfId="10315">
      <pivotArea field="82" type="button" dataOnly="0" labelOnly="1" outline="0" axis="axisRow" fieldPosition="9"/>
    </format>
    <format dxfId="10314">
      <pivotArea field="87" type="button" dataOnly="0" labelOnly="1" outline="0" axis="axisRow" fieldPosition="12"/>
    </format>
    <format dxfId="10313">
      <pivotArea field="88" type="button" dataOnly="0" labelOnly="1" outline="0" axis="axisRow" fieldPosition="13"/>
    </format>
    <format dxfId="10312">
      <pivotArea field="73" type="button" dataOnly="0" labelOnly="1" outline="0" axis="axisRow" fieldPosition="14"/>
    </format>
    <format dxfId="10311">
      <pivotArea dataOnly="0" labelOnly="1" outline="0" fieldPosition="0">
        <references count="4">
          <reference field="1" count="0" selected="0"/>
          <reference field="2" count="1" selected="0">
            <x v="3"/>
          </reference>
          <reference field="5" count="1" selected="0">
            <x v="3"/>
          </reference>
          <reference field="23" count="1">
            <x v="2"/>
          </reference>
        </references>
      </pivotArea>
    </format>
    <format dxfId="10310">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10309">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10308">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10307">
      <pivotArea field="72" type="button" dataOnly="0" labelOnly="1" outline="0" axis="axisRow" fieldPosition="5"/>
    </format>
    <format dxfId="10306">
      <pivotArea field="13" type="button" dataOnly="0" labelOnly="1" outline="0" axis="axisRow" fieldPosition="6"/>
    </format>
    <format dxfId="10305">
      <pivotArea dataOnly="0" labelOnly="1" outline="0" fieldPosition="0">
        <references count="6">
          <reference field="1" count="0" selected="0"/>
          <reference field="2" count="1" selected="0">
            <x v="3"/>
          </reference>
          <reference field="5" count="1" selected="0">
            <x v="3"/>
          </reference>
          <reference field="13" count="1">
            <x v="1"/>
          </reference>
          <reference field="23" count="1" selected="0">
            <x v="2"/>
          </reference>
          <reference field="72" count="1" selected="0">
            <x v="70"/>
          </reference>
        </references>
      </pivotArea>
    </format>
    <format dxfId="10304">
      <pivotArea field="81" type="button" dataOnly="0" labelOnly="1" outline="0" axis="axisRow" fieldPosition="8"/>
    </format>
    <format dxfId="10303">
      <pivotArea field="82" type="button" dataOnly="0" labelOnly="1" outline="0" axis="axisRow" fieldPosition="9"/>
    </format>
    <format dxfId="10302">
      <pivotArea field="87" type="button" dataOnly="0" labelOnly="1" outline="0" axis="axisRow" fieldPosition="12"/>
    </format>
    <format dxfId="10301">
      <pivotArea field="88" type="button" dataOnly="0" labelOnly="1" outline="0" axis="axisRow" fieldPosition="13"/>
    </format>
    <format dxfId="10300">
      <pivotArea field="72" type="button" dataOnly="0" labelOnly="1" outline="0" axis="axisRow" fieldPosition="5"/>
    </format>
    <format dxfId="10299">
      <pivotArea field="13" type="button" dataOnly="0" labelOnly="1" outline="0" axis="axisRow" fieldPosition="6"/>
    </format>
    <format dxfId="10298">
      <pivotArea field="81" type="button" dataOnly="0" labelOnly="1" outline="0" axis="axisRow" fieldPosition="8"/>
    </format>
    <format dxfId="10297">
      <pivotArea field="82" type="button" dataOnly="0" labelOnly="1" outline="0" axis="axisRow" fieldPosition="9"/>
    </format>
    <format dxfId="10296">
      <pivotArea field="87" type="button" dataOnly="0" labelOnly="1" outline="0" axis="axisRow" fieldPosition="12"/>
    </format>
    <format dxfId="10295">
      <pivotArea field="88" type="button" dataOnly="0" labelOnly="1" outline="0" axis="axisRow" fieldPosition="13"/>
    </format>
    <format dxfId="10294">
      <pivotArea field="72" type="button" dataOnly="0" labelOnly="1" outline="0" axis="axisRow" fieldPosition="5"/>
    </format>
    <format dxfId="10293">
      <pivotArea field="13" type="button" dataOnly="0" labelOnly="1" outline="0" axis="axisRow" fieldPosition="6"/>
    </format>
    <format dxfId="10292">
      <pivotArea field="81" type="button" dataOnly="0" labelOnly="1" outline="0" axis="axisRow" fieldPosition="8"/>
    </format>
    <format dxfId="10291">
      <pivotArea field="82" type="button" dataOnly="0" labelOnly="1" outline="0" axis="axisRow" fieldPosition="9"/>
    </format>
    <format dxfId="10290">
      <pivotArea field="87" type="button" dataOnly="0" labelOnly="1" outline="0" axis="axisRow" fieldPosition="12"/>
    </format>
    <format dxfId="10289">
      <pivotArea field="88" type="button" dataOnly="0" labelOnly="1" outline="0" axis="axisRow" fieldPosition="13"/>
    </format>
    <format dxfId="10288">
      <pivotArea field="72" type="button" dataOnly="0" labelOnly="1" outline="0" axis="axisRow" fieldPosition="5"/>
    </format>
    <format dxfId="10287">
      <pivotArea field="13" type="button" dataOnly="0" labelOnly="1" outline="0" axis="axisRow" fieldPosition="6"/>
    </format>
    <format dxfId="10286">
      <pivotArea field="81" type="button" dataOnly="0" labelOnly="1" outline="0" axis="axisRow" fieldPosition="8"/>
    </format>
    <format dxfId="10285">
      <pivotArea field="82" type="button" dataOnly="0" labelOnly="1" outline="0" axis="axisRow" fieldPosition="9"/>
    </format>
    <format dxfId="10284">
      <pivotArea field="87" type="button" dataOnly="0" labelOnly="1" outline="0" axis="axisRow" fieldPosition="12"/>
    </format>
    <format dxfId="10283">
      <pivotArea field="88" type="button" dataOnly="0" labelOnly="1" outline="0" axis="axisRow" fieldPosition="13"/>
    </format>
    <format dxfId="10282">
      <pivotArea field="72" type="button" dataOnly="0" labelOnly="1" outline="0" axis="axisRow" fieldPosition="5"/>
    </format>
    <format dxfId="10281">
      <pivotArea field="13" type="button" dataOnly="0" labelOnly="1" outline="0" axis="axisRow" fieldPosition="6"/>
    </format>
    <format dxfId="10280">
      <pivotArea field="81" type="button" dataOnly="0" labelOnly="1" outline="0" axis="axisRow" fieldPosition="8"/>
    </format>
    <format dxfId="10279">
      <pivotArea field="82" type="button" dataOnly="0" labelOnly="1" outline="0" axis="axisRow" fieldPosition="9"/>
    </format>
    <format dxfId="10278">
      <pivotArea field="87" type="button" dataOnly="0" labelOnly="1" outline="0" axis="axisRow" fieldPosition="12"/>
    </format>
    <format dxfId="10277">
      <pivotArea field="88" type="button" dataOnly="0" labelOnly="1" outline="0" axis="axisRow" fieldPosition="13"/>
    </format>
    <format dxfId="10276">
      <pivotArea field="72" type="button" dataOnly="0" labelOnly="1" outline="0" axis="axisRow" fieldPosition="5"/>
    </format>
    <format dxfId="10275">
      <pivotArea field="13" type="button" dataOnly="0" labelOnly="1" outline="0" axis="axisRow" fieldPosition="6"/>
    </format>
    <format dxfId="10274">
      <pivotArea field="81" type="button" dataOnly="0" labelOnly="1" outline="0" axis="axisRow" fieldPosition="8"/>
    </format>
    <format dxfId="10273">
      <pivotArea field="82" type="button" dataOnly="0" labelOnly="1" outline="0" axis="axisRow" fieldPosition="9"/>
    </format>
    <format dxfId="10272">
      <pivotArea field="87" type="button" dataOnly="0" labelOnly="1" outline="0" axis="axisRow" fieldPosition="12"/>
    </format>
    <format dxfId="10271">
      <pivotArea field="88" type="button" dataOnly="0" labelOnly="1" outline="0" axis="axisRow" fieldPosition="13"/>
    </format>
    <format dxfId="10270">
      <pivotArea field="72" type="button" dataOnly="0" labelOnly="1" outline="0" axis="axisRow" fieldPosition="5"/>
    </format>
    <format dxfId="10269">
      <pivotArea field="13" type="button" dataOnly="0" labelOnly="1" outline="0" axis="axisRow" fieldPosition="6"/>
    </format>
    <format dxfId="10268">
      <pivotArea dataOnly="0" labelOnly="1" outline="0" fieldPosition="0">
        <references count="6">
          <reference field="1" count="0" selected="0"/>
          <reference field="2" count="1" selected="0">
            <x v="16"/>
          </reference>
          <reference field="5" count="1" selected="0">
            <x v="0"/>
          </reference>
          <reference field="13" count="1">
            <x v="2"/>
          </reference>
          <reference field="23" count="1" selected="0">
            <x v="2"/>
          </reference>
          <reference field="72" count="1" selected="0">
            <x v="159"/>
          </reference>
        </references>
      </pivotArea>
    </format>
    <format dxfId="10267">
      <pivotArea dataOnly="0" labelOnly="1" outline="0" fieldPosition="0">
        <references count="6">
          <reference field="1" count="0" selected="0"/>
          <reference field="2" count="1" selected="0">
            <x v="16"/>
          </reference>
          <reference field="5" count="1" selected="0">
            <x v="12"/>
          </reference>
          <reference field="13" count="1">
            <x v="4"/>
          </reference>
          <reference field="23" count="1" selected="0">
            <x v="1"/>
          </reference>
          <reference field="72" count="1" selected="0">
            <x v="158"/>
          </reference>
        </references>
      </pivotArea>
    </format>
    <format dxfId="10266">
      <pivotArea field="81" type="button" dataOnly="0" labelOnly="1" outline="0" axis="axisRow" fieldPosition="8"/>
    </format>
    <format dxfId="10265">
      <pivotArea field="82" type="button" dataOnly="0" labelOnly="1" outline="0" axis="axisRow" fieldPosition="9"/>
    </format>
    <format dxfId="10264">
      <pivotArea field="87" type="button" dataOnly="0" labelOnly="1" outline="0" axis="axisRow" fieldPosition="12"/>
    </format>
    <format dxfId="10263">
      <pivotArea field="88" type="button" dataOnly="0" labelOnly="1" outline="0" axis="axisRow" fieldPosition="13"/>
    </format>
    <format dxfId="10262">
      <pivotArea field="72" type="button" dataOnly="0" labelOnly="1" outline="0" axis="axisRow" fieldPosition="5"/>
    </format>
    <format dxfId="10261">
      <pivotArea field="13" type="button" dataOnly="0" labelOnly="1" outline="0" axis="axisRow" fieldPosition="6"/>
    </format>
    <format dxfId="10260">
      <pivotArea field="81" type="button" dataOnly="0" labelOnly="1" outline="0" axis="axisRow" fieldPosition="8"/>
    </format>
    <format dxfId="10259">
      <pivotArea field="82" type="button" dataOnly="0" labelOnly="1" outline="0" axis="axisRow" fieldPosition="9"/>
    </format>
    <format dxfId="10258">
      <pivotArea field="87" type="button" dataOnly="0" labelOnly="1" outline="0" axis="axisRow" fieldPosition="12"/>
    </format>
    <format dxfId="10257">
      <pivotArea field="88" type="button" dataOnly="0" labelOnly="1" outline="0" axis="axisRow" fieldPosition="13"/>
    </format>
    <format dxfId="10256">
      <pivotArea field="72" type="button" dataOnly="0" labelOnly="1" outline="0" axis="axisRow" fieldPosition="5"/>
    </format>
    <format dxfId="10255">
      <pivotArea field="13" type="button" dataOnly="0" labelOnly="1" outline="0" axis="axisRow" fieldPosition="6"/>
    </format>
    <format dxfId="10254">
      <pivotArea field="81" type="button" dataOnly="0" labelOnly="1" outline="0" axis="axisRow" fieldPosition="8"/>
    </format>
    <format dxfId="10253">
      <pivotArea field="82" type="button" dataOnly="0" labelOnly="1" outline="0" axis="axisRow" fieldPosition="9"/>
    </format>
    <format dxfId="10252">
      <pivotArea field="87" type="button" dataOnly="0" labelOnly="1" outline="0" axis="axisRow" fieldPosition="12"/>
    </format>
    <format dxfId="10251">
      <pivotArea field="88" type="button" dataOnly="0" labelOnly="1" outline="0" axis="axisRow" fieldPosition="13"/>
    </format>
    <format dxfId="10250">
      <pivotArea field="72" type="button" dataOnly="0" labelOnly="1" outline="0" axis="axisRow" fieldPosition="5"/>
    </format>
    <format dxfId="10249">
      <pivotArea field="13" type="button" dataOnly="0" labelOnly="1" outline="0" axis="axisRow" fieldPosition="6"/>
    </format>
    <format dxfId="10248">
      <pivotArea field="81" type="button" dataOnly="0" labelOnly="1" outline="0" axis="axisRow" fieldPosition="8"/>
    </format>
    <format dxfId="10247">
      <pivotArea field="82" type="button" dataOnly="0" labelOnly="1" outline="0" axis="axisRow" fieldPosition="9"/>
    </format>
    <format dxfId="10246">
      <pivotArea field="87" type="button" dataOnly="0" labelOnly="1" outline="0" axis="axisRow" fieldPosition="12"/>
    </format>
    <format dxfId="10245">
      <pivotArea field="88" type="button" dataOnly="0" labelOnly="1" outline="0" axis="axisRow" fieldPosition="13"/>
    </format>
    <format dxfId="10244">
      <pivotArea field="72" type="button" dataOnly="0" labelOnly="1" outline="0" axis="axisRow" fieldPosition="5"/>
    </format>
    <format dxfId="10243">
      <pivotArea field="13" type="button" dataOnly="0" labelOnly="1" outline="0" axis="axisRow" fieldPosition="6"/>
    </format>
    <format dxfId="10242">
      <pivotArea field="81" type="button" dataOnly="0" labelOnly="1" outline="0" axis="axisRow" fieldPosition="8"/>
    </format>
    <format dxfId="10241">
      <pivotArea field="82" type="button" dataOnly="0" labelOnly="1" outline="0" axis="axisRow" fieldPosition="9"/>
    </format>
    <format dxfId="10240">
      <pivotArea field="87" type="button" dataOnly="0" labelOnly="1" outline="0" axis="axisRow" fieldPosition="12"/>
    </format>
    <format dxfId="10239">
      <pivotArea field="88" type="button" dataOnly="0" labelOnly="1" outline="0" axis="axisRow" fieldPosition="13"/>
    </format>
    <format dxfId="10238">
      <pivotArea field="72" type="button" dataOnly="0" labelOnly="1" outline="0" axis="axisRow" fieldPosition="5"/>
    </format>
    <format dxfId="10237">
      <pivotArea field="13" type="button" dataOnly="0" labelOnly="1" outline="0" axis="axisRow" fieldPosition="6"/>
    </format>
    <format dxfId="10236">
      <pivotArea field="81" type="button" dataOnly="0" labelOnly="1" outline="0" axis="axisRow" fieldPosition="8"/>
    </format>
    <format dxfId="10235">
      <pivotArea field="82" type="button" dataOnly="0" labelOnly="1" outline="0" axis="axisRow" fieldPosition="9"/>
    </format>
    <format dxfId="10234">
      <pivotArea field="87" type="button" dataOnly="0" labelOnly="1" outline="0" axis="axisRow" fieldPosition="12"/>
    </format>
    <format dxfId="10233">
      <pivotArea field="88" type="button" dataOnly="0" labelOnly="1" outline="0" axis="axisRow" fieldPosition="13"/>
    </format>
    <format dxfId="10232">
      <pivotArea field="72" type="button" dataOnly="0" labelOnly="1" outline="0" axis="axisRow" fieldPosition="5"/>
    </format>
    <format dxfId="10231">
      <pivotArea field="13" type="button" dataOnly="0" labelOnly="1" outline="0" axis="axisRow" fieldPosition="6"/>
    </format>
    <format dxfId="10230">
      <pivotArea field="81" type="button" dataOnly="0" labelOnly="1" outline="0" axis="axisRow" fieldPosition="8"/>
    </format>
    <format dxfId="10229">
      <pivotArea field="82" type="button" dataOnly="0" labelOnly="1" outline="0" axis="axisRow" fieldPosition="9"/>
    </format>
    <format dxfId="10228">
      <pivotArea field="87" type="button" dataOnly="0" labelOnly="1" outline="0" axis="axisRow" fieldPosition="12"/>
    </format>
    <format dxfId="10227">
      <pivotArea field="88" type="button" dataOnly="0" labelOnly="1" outline="0" axis="axisRow" fieldPosition="13"/>
    </format>
    <format dxfId="10226">
      <pivotArea field="72" type="button" dataOnly="0" labelOnly="1" outline="0" axis="axisRow" fieldPosition="5"/>
    </format>
    <format dxfId="10225">
      <pivotArea field="13" type="button" dataOnly="0" labelOnly="1" outline="0" axis="axisRow" fieldPosition="6"/>
    </format>
    <format dxfId="10224">
      <pivotArea field="81" type="button" dataOnly="0" labelOnly="1" outline="0" axis="axisRow" fieldPosition="8"/>
    </format>
    <format dxfId="10223">
      <pivotArea field="82" type="button" dataOnly="0" labelOnly="1" outline="0" axis="axisRow" fieldPosition="9"/>
    </format>
    <format dxfId="10222">
      <pivotArea field="87" type="button" dataOnly="0" labelOnly="1" outline="0" axis="axisRow" fieldPosition="12"/>
    </format>
    <format dxfId="10221">
      <pivotArea field="88" type="button" dataOnly="0" labelOnly="1" outline="0" axis="axisRow" fieldPosition="13"/>
    </format>
    <format dxfId="10220">
      <pivotArea field="72" type="button" dataOnly="0" labelOnly="1" outline="0" axis="axisRow" fieldPosition="5"/>
    </format>
    <format dxfId="10219">
      <pivotArea field="13" type="button" dataOnly="0" labelOnly="1" outline="0" axis="axisRow" fieldPosition="6"/>
    </format>
    <format dxfId="10218">
      <pivotArea field="81" type="button" dataOnly="0" labelOnly="1" outline="0" axis="axisRow" fieldPosition="8"/>
    </format>
    <format dxfId="10217">
      <pivotArea field="82" type="button" dataOnly="0" labelOnly="1" outline="0" axis="axisRow" fieldPosition="9"/>
    </format>
    <format dxfId="10216">
      <pivotArea field="87" type="button" dataOnly="0" labelOnly="1" outline="0" axis="axisRow" fieldPosition="12"/>
    </format>
    <format dxfId="10215">
      <pivotArea field="88" type="button" dataOnly="0" labelOnly="1" outline="0" axis="axisRow" fieldPosition="13"/>
    </format>
    <format dxfId="10214">
      <pivotArea dataOnly="0" labelOnly="1" outline="0" fieldPosition="0">
        <references count="10">
          <reference field="1" count="0" selected="0"/>
          <reference field="2" count="0" selected="0"/>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10213">
      <pivotArea dataOnly="0" labelOnly="1" outline="0" fieldPosition="0">
        <references count="11">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10212">
      <pivotArea field="72" type="button" dataOnly="0" labelOnly="1" outline="0" axis="axisRow" fieldPosition="5"/>
    </format>
    <format dxfId="10211">
      <pivotArea field="13" type="button" dataOnly="0" labelOnly="1" outline="0" axis="axisRow" fieldPosition="6"/>
    </format>
    <format dxfId="10210">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0"/>
          </reference>
        </references>
      </pivotArea>
    </format>
    <format dxfId="10209">
      <pivotArea field="81" type="button" dataOnly="0" labelOnly="1" outline="0" axis="axisRow" fieldPosition="8"/>
    </format>
    <format dxfId="10208">
      <pivotArea dataOnly="0" labelOnly="1" outline="0" fieldPosition="0">
        <references count="8">
          <reference field="1" count="0" selected="0"/>
          <reference field="2" count="0" selected="0"/>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10207">
      <pivotArea field="82" type="button" dataOnly="0" labelOnly="1" outline="0" axis="axisRow" fieldPosition="9"/>
    </format>
    <format dxfId="10206">
      <pivotArea dataOnly="0" labelOnly="1" outline="0" fieldPosition="0">
        <references count="9">
          <reference field="1" count="0" selected="0"/>
          <reference field="2" count="0" selected="0"/>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10205">
      <pivotArea field="87" type="button" dataOnly="0" labelOnly="1" outline="0" axis="axisRow" fieldPosition="12"/>
    </format>
    <format dxfId="10204">
      <pivotArea dataOnly="0" labelOnly="1" outline="0" fieldPosition="0">
        <references count="12">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1"/>
          </reference>
        </references>
      </pivotArea>
    </format>
    <format dxfId="10203">
      <pivotArea field="88" type="button" dataOnly="0" labelOnly="1" outline="0" axis="axisRow" fieldPosition="13"/>
    </format>
    <format dxfId="10202">
      <pivotArea dataOnly="0" labelOnly="1" outline="0" fieldPosition="0">
        <references count="13">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1"/>
          </reference>
          <reference field="88" count="1">
            <x v="23"/>
          </reference>
        </references>
      </pivotArea>
    </format>
    <format dxfId="10201">
      <pivotArea field="72" type="button" dataOnly="0" labelOnly="1" outline="0" axis="axisRow" fieldPosition="5"/>
    </format>
    <format dxfId="10200">
      <pivotArea field="13" type="button" dataOnly="0" labelOnly="1" outline="0" axis="axisRow" fieldPosition="6"/>
    </format>
    <format dxfId="10199">
      <pivotArea field="81" type="button" dataOnly="0" labelOnly="1" outline="0" axis="axisRow" fieldPosition="8"/>
    </format>
    <format dxfId="10198">
      <pivotArea field="82" type="button" dataOnly="0" labelOnly="1" outline="0" axis="axisRow" fieldPosition="9"/>
    </format>
    <format dxfId="10197">
      <pivotArea field="87" type="button" dataOnly="0" labelOnly="1" outline="0" axis="axisRow" fieldPosition="12"/>
    </format>
    <format dxfId="10196">
      <pivotArea field="88" type="button" dataOnly="0" labelOnly="1" outline="0" axis="axisRow" fieldPosition="13"/>
    </format>
    <format dxfId="10195">
      <pivotArea field="72" type="button" dataOnly="0" labelOnly="1" outline="0" axis="axisRow" fieldPosition="5"/>
    </format>
    <format dxfId="10194">
      <pivotArea field="13" type="button" dataOnly="0" labelOnly="1" outline="0" axis="axisRow" fieldPosition="6"/>
    </format>
    <format dxfId="10193">
      <pivotArea field="81" type="button" dataOnly="0" labelOnly="1" outline="0" axis="axisRow" fieldPosition="8"/>
    </format>
    <format dxfId="10192">
      <pivotArea field="82" type="button" dataOnly="0" labelOnly="1" outline="0" axis="axisRow" fieldPosition="9"/>
    </format>
    <format dxfId="10191">
      <pivotArea field="87" type="button" dataOnly="0" labelOnly="1" outline="0" axis="axisRow" fieldPosition="12"/>
    </format>
    <format dxfId="10190">
      <pivotArea field="88" type="button" dataOnly="0" labelOnly="1" outline="0" axis="axisRow" fieldPosition="13"/>
    </format>
    <format dxfId="10189">
      <pivotArea field="72" type="button" dataOnly="0" labelOnly="1" outline="0" axis="axisRow" fieldPosition="5"/>
    </format>
    <format dxfId="10188">
      <pivotArea field="13" type="button" dataOnly="0" labelOnly="1" outline="0" axis="axisRow" fieldPosition="6"/>
    </format>
    <format dxfId="10187">
      <pivotArea field="81" type="button" dataOnly="0" labelOnly="1" outline="0" axis="axisRow" fieldPosition="8"/>
    </format>
    <format dxfId="10186">
      <pivotArea field="82" type="button" dataOnly="0" labelOnly="1" outline="0" axis="axisRow" fieldPosition="9"/>
    </format>
    <format dxfId="10185">
      <pivotArea field="87" type="button" dataOnly="0" labelOnly="1" outline="0" axis="axisRow" fieldPosition="12"/>
    </format>
    <format dxfId="10184">
      <pivotArea field="88" type="button" dataOnly="0" labelOnly="1" outline="0" axis="axisRow" fieldPosition="13"/>
    </format>
    <format dxfId="10183">
      <pivotArea field="72" type="button" dataOnly="0" labelOnly="1" outline="0" axis="axisRow" fieldPosition="5"/>
    </format>
    <format dxfId="10182">
      <pivotArea field="13" type="button" dataOnly="0" labelOnly="1" outline="0" axis="axisRow" fieldPosition="6"/>
    </format>
    <format dxfId="10181">
      <pivotArea field="81" type="button" dataOnly="0" labelOnly="1" outline="0" axis="axisRow" fieldPosition="8"/>
    </format>
    <format dxfId="10180">
      <pivotArea field="82" type="button" dataOnly="0" labelOnly="1" outline="0" axis="axisRow" fieldPosition="9"/>
    </format>
    <format dxfId="10179">
      <pivotArea field="87" type="button" dataOnly="0" labelOnly="1" outline="0" axis="axisRow" fieldPosition="12"/>
    </format>
    <format dxfId="10178">
      <pivotArea field="88" type="button" dataOnly="0" labelOnly="1" outline="0" axis="axisRow" fieldPosition="13"/>
    </format>
    <format dxfId="10177">
      <pivotArea field="72" type="button" dataOnly="0" labelOnly="1" outline="0" axis="axisRow" fieldPosition="5"/>
    </format>
    <format dxfId="10176">
      <pivotArea field="13" type="button" dataOnly="0" labelOnly="1" outline="0" axis="axisRow" fieldPosition="6"/>
    </format>
    <format dxfId="10175">
      <pivotArea field="81" type="button" dataOnly="0" labelOnly="1" outline="0" axis="axisRow" fieldPosition="8"/>
    </format>
    <format dxfId="10174">
      <pivotArea field="82" type="button" dataOnly="0" labelOnly="1" outline="0" axis="axisRow" fieldPosition="9"/>
    </format>
    <format dxfId="10173">
      <pivotArea field="87" type="button" dataOnly="0" labelOnly="1" outline="0" axis="axisRow" fieldPosition="12"/>
    </format>
    <format dxfId="10172">
      <pivotArea field="88" type="button" dataOnly="0" labelOnly="1" outline="0" axis="axisRow" fieldPosition="13"/>
    </format>
    <format dxfId="10171">
      <pivotArea field="72" type="button" dataOnly="0" labelOnly="1" outline="0" axis="axisRow" fieldPosition="5"/>
    </format>
    <format dxfId="10170">
      <pivotArea field="13" type="button" dataOnly="0" labelOnly="1" outline="0" axis="axisRow" fieldPosition="6"/>
    </format>
    <format dxfId="10169">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45"/>
          </reference>
        </references>
      </pivotArea>
    </format>
    <format dxfId="10168">
      <pivotArea field="81" type="button" dataOnly="0" labelOnly="1" outline="0" axis="axisRow" fieldPosition="8"/>
    </format>
    <format dxfId="10167">
      <pivotArea field="82" type="button" dataOnly="0" labelOnly="1" outline="0" axis="axisRow" fieldPosition="9"/>
    </format>
    <format dxfId="10166">
      <pivotArea field="87" type="button" dataOnly="0" labelOnly="1" outline="0" axis="axisRow" fieldPosition="12"/>
    </format>
    <format dxfId="10165">
      <pivotArea field="88" type="button" dataOnly="0" labelOnly="1" outline="0" axis="axisRow" fieldPosition="13"/>
    </format>
    <format dxfId="10164">
      <pivotArea field="72" type="button" dataOnly="0" labelOnly="1" outline="0" axis="axisRow" fieldPosition="5"/>
    </format>
    <format dxfId="10163">
      <pivotArea field="13" type="button" dataOnly="0" labelOnly="1" outline="0" axis="axisRow" fieldPosition="6"/>
    </format>
    <format dxfId="10162">
      <pivotArea field="81" type="button" dataOnly="0" labelOnly="1" outline="0" axis="axisRow" fieldPosition="8"/>
    </format>
    <format dxfId="10161">
      <pivotArea field="82" type="button" dataOnly="0" labelOnly="1" outline="0" axis="axisRow" fieldPosition="9"/>
    </format>
    <format dxfId="10160">
      <pivotArea field="87" type="button" dataOnly="0" labelOnly="1" outline="0" axis="axisRow" fieldPosition="12"/>
    </format>
    <format dxfId="10159">
      <pivotArea field="88" type="button" dataOnly="0" labelOnly="1" outline="0" axis="axisRow" fieldPosition="13"/>
    </format>
    <format dxfId="10158">
      <pivotArea field="72" type="button" dataOnly="0" labelOnly="1" outline="0" axis="axisRow" fieldPosition="5"/>
    </format>
    <format dxfId="10157">
      <pivotArea field="13" type="button" dataOnly="0" labelOnly="1" outline="0" axis="axisRow" fieldPosition="6"/>
    </format>
    <format dxfId="10156">
      <pivotArea field="81" type="button" dataOnly="0" labelOnly="1" outline="0" axis="axisRow" fieldPosition="8"/>
    </format>
    <format dxfId="10155">
      <pivotArea field="82" type="button" dataOnly="0" labelOnly="1" outline="0" axis="axisRow" fieldPosition="9"/>
    </format>
    <format dxfId="10154">
      <pivotArea field="87" type="button" dataOnly="0" labelOnly="1" outline="0" axis="axisRow" fieldPosition="12"/>
    </format>
    <format dxfId="10153">
      <pivotArea field="88" type="button" dataOnly="0" labelOnly="1" outline="0" axis="axisRow" fieldPosition="13"/>
    </format>
    <format dxfId="10152">
      <pivotArea field="72" type="button" dataOnly="0" labelOnly="1" outline="0" axis="axisRow" fieldPosition="5"/>
    </format>
    <format dxfId="10151">
      <pivotArea field="13" type="button" dataOnly="0" labelOnly="1" outline="0" axis="axisRow" fieldPosition="6"/>
    </format>
    <format dxfId="10150">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1"/>
          </reference>
        </references>
      </pivotArea>
    </format>
    <format dxfId="10149">
      <pivotArea field="81" type="button" dataOnly="0" labelOnly="1" outline="0" axis="axisRow" fieldPosition="8"/>
    </format>
    <format dxfId="10148">
      <pivotArea field="82" type="button" dataOnly="0" labelOnly="1" outline="0" axis="axisRow" fieldPosition="9"/>
    </format>
    <format dxfId="10147">
      <pivotArea field="87" type="button" dataOnly="0" labelOnly="1" outline="0" axis="axisRow" fieldPosition="12"/>
    </format>
    <format dxfId="10146">
      <pivotArea field="88" type="button" dataOnly="0" labelOnly="1" outline="0" axis="axisRow" fieldPosition="13"/>
    </format>
    <format dxfId="10145">
      <pivotArea field="72" type="button" dataOnly="0" labelOnly="1" outline="0" axis="axisRow" fieldPosition="5"/>
    </format>
    <format dxfId="10144">
      <pivotArea field="13" type="button" dataOnly="0" labelOnly="1" outline="0" axis="axisRow" fieldPosition="6"/>
    </format>
    <format dxfId="10143">
      <pivotArea field="81" type="button" dataOnly="0" labelOnly="1" outline="0" axis="axisRow" fieldPosition="8"/>
    </format>
    <format dxfId="10142">
      <pivotArea field="82" type="button" dataOnly="0" labelOnly="1" outline="0" axis="axisRow" fieldPosition="9"/>
    </format>
    <format dxfId="10141">
      <pivotArea field="87" type="button" dataOnly="0" labelOnly="1" outline="0" axis="axisRow" fieldPosition="12"/>
    </format>
    <format dxfId="10140">
      <pivotArea field="88" type="button" dataOnly="0" labelOnly="1" outline="0" axis="axisRow" fieldPosition="13"/>
    </format>
    <format dxfId="10139">
      <pivotArea field="72" type="button" dataOnly="0" labelOnly="1" outline="0" axis="axisRow" fieldPosition="5"/>
    </format>
    <format dxfId="10138">
      <pivotArea field="13" type="button" dataOnly="0" labelOnly="1" outline="0" axis="axisRow" fieldPosition="6"/>
    </format>
    <format dxfId="10137">
      <pivotArea field="81" type="button" dataOnly="0" labelOnly="1" outline="0" axis="axisRow" fieldPosition="8"/>
    </format>
    <format dxfId="10136">
      <pivotArea field="82" type="button" dataOnly="0" labelOnly="1" outline="0" axis="axisRow" fieldPosition="9"/>
    </format>
    <format dxfId="10135">
      <pivotArea field="87" type="button" dataOnly="0" labelOnly="1" outline="0" axis="axisRow" fieldPosition="12"/>
    </format>
    <format dxfId="10134">
      <pivotArea field="88" type="button" dataOnly="0" labelOnly="1" outline="0" axis="axisRow" fieldPosition="13"/>
    </format>
    <format dxfId="10133">
      <pivotArea dataOnly="0" labelOnly="1" outline="0" fieldPosition="0">
        <references count="3">
          <reference field="1" count="0" selected="0"/>
          <reference field="2" count="0" selected="0"/>
          <reference field="5" count="5">
            <x v="0"/>
            <x v="5"/>
            <x v="7"/>
            <x v="8"/>
            <x v="12"/>
          </reference>
        </references>
      </pivotArea>
    </format>
    <format dxfId="10132">
      <pivotArea dataOnly="0" labelOnly="1" outline="0" fieldPosition="0">
        <references count="2">
          <reference field="1" count="0" selected="0"/>
          <reference field="2" count="0"/>
        </references>
      </pivotArea>
    </format>
    <format dxfId="10131">
      <pivotArea dataOnly="0" labelOnly="1" outline="0" fieldPosition="0">
        <references count="4">
          <reference field="1" count="0" selected="0"/>
          <reference field="2" count="0" selected="0"/>
          <reference field="5" count="1" selected="0">
            <x v="0"/>
          </reference>
          <reference field="23" count="1">
            <x v="2"/>
          </reference>
        </references>
      </pivotArea>
    </format>
    <format dxfId="10130">
      <pivotArea dataOnly="0" labelOnly="1" outline="0" fieldPosition="0">
        <references count="4">
          <reference field="1" count="0" selected="0"/>
          <reference field="2" count="0" selected="0"/>
          <reference field="5" count="1" selected="0">
            <x v="5"/>
          </reference>
          <reference field="23" count="1">
            <x v="0"/>
          </reference>
        </references>
      </pivotArea>
    </format>
    <format dxfId="10129">
      <pivotArea dataOnly="0" labelOnly="1" outline="0" fieldPosition="0">
        <references count="4">
          <reference field="1" count="0" selected="0"/>
          <reference field="2" count="0" selected="0"/>
          <reference field="5" count="1" selected="0">
            <x v="7"/>
          </reference>
          <reference field="23" count="1">
            <x v="2"/>
          </reference>
        </references>
      </pivotArea>
    </format>
    <format dxfId="10128">
      <pivotArea dataOnly="0" labelOnly="1" outline="0" fieldPosition="0">
        <references count="4">
          <reference field="1" count="0" selected="0"/>
          <reference field="2" count="0" selected="0"/>
          <reference field="5" count="1" selected="0">
            <x v="8"/>
          </reference>
          <reference field="23" count="1">
            <x v="0"/>
          </reference>
        </references>
      </pivotArea>
    </format>
    <format dxfId="10127">
      <pivotArea dataOnly="0" labelOnly="1" outline="0" fieldPosition="0">
        <references count="4">
          <reference field="1" count="0" selected="0"/>
          <reference field="2" count="0" selected="0"/>
          <reference field="5" count="1" selected="0">
            <x v="12"/>
          </reference>
          <reference field="23" count="1">
            <x v="1"/>
          </reference>
        </references>
      </pivotArea>
    </format>
    <format dxfId="10126">
      <pivotArea dataOnly="0" labelOnly="1" outline="0" fieldPosition="0">
        <references count="7">
          <reference field="1" count="0" selected="0"/>
          <reference field="2" count="0" selected="0"/>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10125">
      <pivotArea dataOnly="0" labelOnly="1" outline="0" fieldPosition="0">
        <references count="7">
          <reference field="1" count="0" selected="0"/>
          <reference field="2" count="0" selected="0"/>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10124">
      <pivotArea dataOnly="0" labelOnly="1" outline="0" fieldPosition="0">
        <references count="7">
          <reference field="1" count="0" selected="0"/>
          <reference field="2" count="0" selected="0"/>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10123">
      <pivotArea dataOnly="0" labelOnly="1" outline="0" fieldPosition="0">
        <references count="10">
          <reference field="1" count="0" selected="0"/>
          <reference field="2" count="0" selected="0"/>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10122">
      <pivotArea dataOnly="0" labelOnly="1" outline="0" fieldPosition="0">
        <references count="11">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10121">
      <pivotArea field="72" type="button" dataOnly="0" labelOnly="1" outline="0" axis="axisRow" fieldPosition="5"/>
    </format>
    <format dxfId="10120">
      <pivotArea field="13" type="button" dataOnly="0" labelOnly="1" outline="0" axis="axisRow" fieldPosition="6"/>
    </format>
    <format dxfId="10119">
      <pivotArea dataOnly="0" labelOnly="1" outline="0" fieldPosition="0">
        <references count="6">
          <reference field="1" count="0" selected="0"/>
          <reference field="2" count="0" selected="0"/>
          <reference field="5" count="1" selected="0">
            <x v="0"/>
          </reference>
          <reference field="13" count="1">
            <x v="2"/>
          </reference>
          <reference field="23" count="1" selected="0">
            <x v="2"/>
          </reference>
          <reference field="72" count="1" selected="0">
            <x v="144"/>
          </reference>
        </references>
      </pivotArea>
    </format>
    <format dxfId="10118">
      <pivotArea dataOnly="0" labelOnly="1" outline="0" fieldPosition="0">
        <references count="6">
          <reference field="1" count="0" selected="0"/>
          <reference field="2" count="0" selected="0"/>
          <reference field="5" count="1" selected="0">
            <x v="7"/>
          </reference>
          <reference field="13" count="1">
            <x v="0"/>
          </reference>
          <reference field="23" count="1" selected="0">
            <x v="2"/>
          </reference>
          <reference field="72" count="1" selected="0">
            <x v="3"/>
          </reference>
        </references>
      </pivotArea>
    </format>
    <format dxfId="10117">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2"/>
          </reference>
        </references>
      </pivotArea>
    </format>
    <format dxfId="10116">
      <pivotArea dataOnly="0" labelOnly="1" outline="0" fieldPosition="0">
        <references count="6">
          <reference field="1" count="0" selected="0"/>
          <reference field="2" count="0" selected="0"/>
          <reference field="5" count="1" selected="0">
            <x v="12"/>
          </reference>
          <reference field="13" count="1">
            <x v="4"/>
          </reference>
          <reference field="23" count="1" selected="0">
            <x v="1"/>
          </reference>
          <reference field="72" count="1" selected="0">
            <x v="145"/>
          </reference>
        </references>
      </pivotArea>
    </format>
    <format dxfId="10115">
      <pivotArea field="81" type="button" dataOnly="0" labelOnly="1" outline="0" axis="axisRow" fieldPosition="8"/>
    </format>
    <format dxfId="10114">
      <pivotArea dataOnly="0" labelOnly="1" outline="0" fieldPosition="0">
        <references count="8">
          <reference field="1" count="0" selected="0"/>
          <reference field="2" count="0" selected="0"/>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10113">
      <pivotArea field="82" type="button" dataOnly="0" labelOnly="1" outline="0" axis="axisRow" fieldPosition="9"/>
    </format>
    <format dxfId="10112">
      <pivotArea dataOnly="0" labelOnly="1" outline="0" fieldPosition="0">
        <references count="9">
          <reference field="1" count="0" selected="0"/>
          <reference field="2" count="0" selected="0"/>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10111">
      <pivotArea field="87" type="button" dataOnly="0" labelOnly="1" outline="0" axis="axisRow" fieldPosition="12"/>
    </format>
    <format dxfId="10110">
      <pivotArea dataOnly="0" labelOnly="1" outline="0" fieldPosition="0">
        <references count="12">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10109">
      <pivotArea field="88" type="button" dataOnly="0" labelOnly="1" outline="0" axis="axisRow" fieldPosition="13"/>
    </format>
    <format dxfId="10108">
      <pivotArea dataOnly="0" labelOnly="1" outline="0" fieldPosition="0">
        <references count="13">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10107">
      <pivotArea field="72" type="button" dataOnly="0" labelOnly="1" outline="0" axis="axisRow" fieldPosition="5"/>
    </format>
    <format dxfId="10106">
      <pivotArea field="13" type="button" dataOnly="0" labelOnly="1" outline="0" axis="axisRow" fieldPosition="6"/>
    </format>
    <format dxfId="10105">
      <pivotArea field="81" type="button" dataOnly="0" labelOnly="1" outline="0" axis="axisRow" fieldPosition="8"/>
    </format>
    <format dxfId="10104">
      <pivotArea field="82" type="button" dataOnly="0" labelOnly="1" outline="0" axis="axisRow" fieldPosition="9"/>
    </format>
    <format dxfId="10103">
      <pivotArea field="87" type="button" dataOnly="0" labelOnly="1" outline="0" axis="axisRow" fieldPosition="12"/>
    </format>
    <format dxfId="10102">
      <pivotArea field="88" type="button" dataOnly="0" labelOnly="1" outline="0" axis="axisRow" fieldPosition="13"/>
    </format>
    <format dxfId="10101">
      <pivotArea field="72" type="button" dataOnly="0" labelOnly="1" outline="0" axis="axisRow" fieldPosition="5"/>
    </format>
    <format dxfId="10100">
      <pivotArea field="13" type="button" dataOnly="0" labelOnly="1" outline="0" axis="axisRow" fieldPosition="6"/>
    </format>
    <format dxfId="10099">
      <pivotArea field="81" type="button" dataOnly="0" labelOnly="1" outline="0" axis="axisRow" fieldPosition="8"/>
    </format>
    <format dxfId="10098">
      <pivotArea field="82" type="button" dataOnly="0" labelOnly="1" outline="0" axis="axisRow" fieldPosition="9"/>
    </format>
    <format dxfId="10097">
      <pivotArea field="87" type="button" dataOnly="0" labelOnly="1" outline="0" axis="axisRow" fieldPosition="12"/>
    </format>
    <format dxfId="10096">
      <pivotArea field="88" type="button" dataOnly="0" labelOnly="1" outline="0" axis="axisRow" fieldPosition="13"/>
    </format>
    <format dxfId="10095">
      <pivotArea dataOnly="0" labelOnly="1" outline="0" fieldPosition="0">
        <references count="7">
          <reference field="1" count="1" selected="0">
            <x v="3"/>
          </reference>
          <reference field="2" count="1" selected="0">
            <x v="3"/>
          </reference>
          <reference field="5" count="1" selected="0">
            <x v="1"/>
          </reference>
          <reference field="13" count="1" selected="0">
            <x v="5"/>
          </reference>
          <reference field="22" count="1">
            <x v="10"/>
          </reference>
          <reference field="23" count="1" selected="0">
            <x v="2"/>
          </reference>
          <reference field="72" count="1" selected="0">
            <x v="5"/>
          </reference>
        </references>
      </pivotArea>
    </format>
    <format dxfId="10094">
      <pivotArea dataOnly="0" labelOnly="1" outline="0" fieldPosition="0">
        <references count="7">
          <reference field="1" count="1" selected="0">
            <x v="19"/>
          </reference>
          <reference field="2" count="1" selected="0">
            <x v="3"/>
          </reference>
          <reference field="5" count="1" selected="0">
            <x v="1"/>
          </reference>
          <reference field="13" count="1" selected="0">
            <x v="5"/>
          </reference>
          <reference field="22" count="1">
            <x v="10"/>
          </reference>
          <reference field="23" count="1" selected="0">
            <x v="2"/>
          </reference>
          <reference field="72" count="1" selected="0">
            <x v="4"/>
          </reference>
        </references>
      </pivotArea>
    </format>
    <format dxfId="10093">
      <pivotArea field="72" type="button" dataOnly="0" labelOnly="1" outline="0" axis="axisRow" fieldPosition="5"/>
    </format>
    <format dxfId="10092">
      <pivotArea field="13" type="button" dataOnly="0" labelOnly="1" outline="0" axis="axisRow" fieldPosition="6"/>
    </format>
    <format dxfId="10091">
      <pivotArea dataOnly="0" labelOnly="1" outline="0" fieldPosition="0">
        <references count="6">
          <reference field="1" count="1" selected="0">
            <x v="1"/>
          </reference>
          <reference field="2" count="1" selected="0">
            <x v="3"/>
          </reference>
          <reference field="5" count="1" selected="0">
            <x v="1"/>
          </reference>
          <reference field="13" count="1">
            <x v="5"/>
          </reference>
          <reference field="23" count="1" selected="0">
            <x v="2"/>
          </reference>
          <reference field="72" count="1" selected="0">
            <x v="7"/>
          </reference>
        </references>
      </pivotArea>
    </format>
    <format dxfId="10090">
      <pivotArea dataOnly="0" labelOnly="1" outline="0" fieldPosition="0">
        <references count="6">
          <reference field="1" count="1" selected="0">
            <x v="19"/>
          </reference>
          <reference field="2" count="1" selected="0">
            <x v="3"/>
          </reference>
          <reference field="5" count="1" selected="0">
            <x v="1"/>
          </reference>
          <reference field="13" count="1">
            <x v="5"/>
          </reference>
          <reference field="23" count="1" selected="0">
            <x v="2"/>
          </reference>
          <reference field="72" count="1" selected="0">
            <x v="4"/>
          </reference>
        </references>
      </pivotArea>
    </format>
    <format dxfId="10089">
      <pivotArea field="81" type="button" dataOnly="0" labelOnly="1" outline="0" axis="axisRow" fieldPosition="8"/>
    </format>
    <format dxfId="10088">
      <pivotArea field="82" type="button" dataOnly="0" labelOnly="1" outline="0" axis="axisRow" fieldPosition="9"/>
    </format>
    <format dxfId="10087">
      <pivotArea field="87" type="button" dataOnly="0" labelOnly="1" outline="0" axis="axisRow" fieldPosition="12"/>
    </format>
    <format dxfId="10086">
      <pivotArea field="88" type="button" dataOnly="0" labelOnly="1" outline="0" axis="axisRow" fieldPosition="13"/>
    </format>
    <format dxfId="10085">
      <pivotArea field="72" type="button" dataOnly="0" labelOnly="1" outline="0" axis="axisRow" fieldPosition="5"/>
    </format>
    <format dxfId="10084">
      <pivotArea field="13" type="button" dataOnly="0" labelOnly="1" outline="0" axis="axisRow" fieldPosition="6"/>
    </format>
    <format dxfId="10083">
      <pivotArea field="81" type="button" dataOnly="0" labelOnly="1" outline="0" axis="axisRow" fieldPosition="8"/>
    </format>
    <format dxfId="10082">
      <pivotArea field="82" type="button" dataOnly="0" labelOnly="1" outline="0" axis="axisRow" fieldPosition="9"/>
    </format>
    <format dxfId="10081">
      <pivotArea field="87" type="button" dataOnly="0" labelOnly="1" outline="0" axis="axisRow" fieldPosition="12"/>
    </format>
    <format dxfId="10080">
      <pivotArea field="88" type="button" dataOnly="0" labelOnly="1" outline="0" axis="axisRow" fieldPosition="13"/>
    </format>
    <format dxfId="10079">
      <pivotArea field="72" type="button" dataOnly="0" labelOnly="1" outline="0" axis="axisRow" fieldPosition="5"/>
    </format>
    <format dxfId="10078">
      <pivotArea field="13" type="button" dataOnly="0" labelOnly="1" outline="0" axis="axisRow" fieldPosition="6"/>
    </format>
    <format dxfId="10077">
      <pivotArea field="81" type="button" dataOnly="0" labelOnly="1" outline="0" axis="axisRow" fieldPosition="8"/>
    </format>
    <format dxfId="10076">
      <pivotArea field="82" type="button" dataOnly="0" labelOnly="1" outline="0" axis="axisRow" fieldPosition="9"/>
    </format>
    <format dxfId="10075">
      <pivotArea field="87" type="button" dataOnly="0" labelOnly="1" outline="0" axis="axisRow" fieldPosition="12"/>
    </format>
    <format dxfId="10074">
      <pivotArea field="88" type="button" dataOnly="0" labelOnly="1" outline="0" axis="axisRow" fieldPosition="13"/>
    </format>
    <format dxfId="10073">
      <pivotArea dataOnly="0" labelOnly="1" outline="0" fieldPosition="0">
        <references count="3">
          <reference field="1" count="0" selected="0"/>
          <reference field="2" count="1" selected="0">
            <x v="10"/>
          </reference>
          <reference field="5" count="1">
            <x v="6"/>
          </reference>
        </references>
      </pivotArea>
    </format>
    <format dxfId="10072">
      <pivotArea dataOnly="0" labelOnly="1" outline="0" fieldPosition="0">
        <references count="2">
          <reference field="1" count="0" selected="0"/>
          <reference field="2" count="1">
            <x v="10"/>
          </reference>
        </references>
      </pivotArea>
    </format>
    <format dxfId="10071">
      <pivotArea dataOnly="0" labelOnly="1" outline="0" fieldPosition="0">
        <references count="4">
          <reference field="1" count="0" selected="0"/>
          <reference field="2" count="1" selected="0">
            <x v="10"/>
          </reference>
          <reference field="5" count="1" selected="0">
            <x v="6"/>
          </reference>
          <reference field="23" count="2">
            <x v="1"/>
            <x v="2"/>
          </reference>
        </references>
      </pivotArea>
    </format>
    <format dxfId="10070">
      <pivotArea dataOnly="0" labelOnly="1" outline="0" fieldPosition="0">
        <references count="7">
          <reference field="1" count="0" selected="0"/>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10069">
      <pivotArea field="72" type="button" dataOnly="0" labelOnly="1" outline="0" axis="axisRow" fieldPosition="5"/>
    </format>
    <format dxfId="10068">
      <pivotArea field="13" type="button" dataOnly="0" labelOnly="1" outline="0" axis="axisRow" fieldPosition="6"/>
    </format>
    <format dxfId="10067">
      <pivotArea dataOnly="0" labelOnly="1" outline="0" fieldPosition="0">
        <references count="6">
          <reference field="1" count="0" selected="0"/>
          <reference field="2" count="1" selected="0">
            <x v="10"/>
          </reference>
          <reference field="5" count="1" selected="0">
            <x v="6"/>
          </reference>
          <reference field="13" count="1">
            <x v="4"/>
          </reference>
          <reference field="23" count="1" selected="0">
            <x v="1"/>
          </reference>
          <reference field="72" count="1" selected="0">
            <x v="167"/>
          </reference>
        </references>
      </pivotArea>
    </format>
    <format dxfId="10066">
      <pivotArea dataOnly="0" labelOnly="1" outline="0" fieldPosition="0">
        <references count="6">
          <reference field="1" count="0" selected="0"/>
          <reference field="2" count="1" selected="0">
            <x v="10"/>
          </reference>
          <reference field="5" count="1" selected="0">
            <x v="6"/>
          </reference>
          <reference field="13" count="1">
            <x v="5"/>
          </reference>
          <reference field="23" count="1" selected="0">
            <x v="2"/>
          </reference>
          <reference field="72" count="1" selected="0">
            <x v="168"/>
          </reference>
        </references>
      </pivotArea>
    </format>
    <format dxfId="10065">
      <pivotArea field="81" type="button" dataOnly="0" labelOnly="1" outline="0" axis="axisRow" fieldPosition="8"/>
    </format>
    <format dxfId="10064">
      <pivotArea field="82" type="button" dataOnly="0" labelOnly="1" outline="0" axis="axisRow" fieldPosition="9"/>
    </format>
    <format dxfId="10063">
      <pivotArea field="87" type="button" dataOnly="0" labelOnly="1" outline="0" axis="axisRow" fieldPosition="12"/>
    </format>
    <format dxfId="10062">
      <pivotArea field="88" type="button" dataOnly="0" labelOnly="1" outline="0" axis="axisRow" fieldPosition="13"/>
    </format>
    <format dxfId="10061">
      <pivotArea field="72" type="button" dataOnly="0" labelOnly="1" outline="0" axis="axisRow" fieldPosition="5"/>
    </format>
    <format dxfId="10060">
      <pivotArea field="13" type="button" dataOnly="0" labelOnly="1" outline="0" axis="axisRow" fieldPosition="6"/>
    </format>
    <format dxfId="10059">
      <pivotArea field="81" type="button" dataOnly="0" labelOnly="1" outline="0" axis="axisRow" fieldPosition="8"/>
    </format>
    <format dxfId="10058">
      <pivotArea field="82" type="button" dataOnly="0" labelOnly="1" outline="0" axis="axisRow" fieldPosition="9"/>
    </format>
    <format dxfId="10057">
      <pivotArea field="87" type="button" dataOnly="0" labelOnly="1" outline="0" axis="axisRow" fieldPosition="12"/>
    </format>
    <format dxfId="10056">
      <pivotArea field="88" type="button" dataOnly="0" labelOnly="1" outline="0" axis="axisRow" fieldPosition="13"/>
    </format>
    <format dxfId="10055">
      <pivotArea field="72" type="button" dataOnly="0" labelOnly="1" outline="0" axis="axisRow" fieldPosition="5"/>
    </format>
    <format dxfId="10054">
      <pivotArea field="13" type="button" dataOnly="0" labelOnly="1" outline="0" axis="axisRow" fieldPosition="6"/>
    </format>
    <format dxfId="10053">
      <pivotArea field="81" type="button" dataOnly="0" labelOnly="1" outline="0" axis="axisRow" fieldPosition="8"/>
    </format>
    <format dxfId="10052">
      <pivotArea field="82" type="button" dataOnly="0" labelOnly="1" outline="0" axis="axisRow" fieldPosition="9"/>
    </format>
    <format dxfId="10051">
      <pivotArea field="87" type="button" dataOnly="0" labelOnly="1" outline="0" axis="axisRow" fieldPosition="12"/>
    </format>
    <format dxfId="10050">
      <pivotArea field="88" type="button" dataOnly="0" labelOnly="1" outline="0" axis="axisRow" fieldPosition="13"/>
    </format>
    <format dxfId="10049">
      <pivotArea field="72" type="button" dataOnly="0" labelOnly="1" outline="0" axis="axisRow" fieldPosition="5"/>
    </format>
    <format dxfId="10048">
      <pivotArea field="13" type="button" dataOnly="0" labelOnly="1" outline="0" axis="axisRow" fieldPosition="6"/>
    </format>
    <format dxfId="10047">
      <pivotArea field="81" type="button" dataOnly="0" labelOnly="1" outline="0" axis="axisRow" fieldPosition="8"/>
    </format>
    <format dxfId="10046">
      <pivotArea field="82" type="button" dataOnly="0" labelOnly="1" outline="0" axis="axisRow" fieldPosition="9"/>
    </format>
    <format dxfId="10045">
      <pivotArea field="87" type="button" dataOnly="0" labelOnly="1" outline="0" axis="axisRow" fieldPosition="12"/>
    </format>
    <format dxfId="10044">
      <pivotArea field="88" type="button" dataOnly="0" labelOnly="1" outline="0" axis="axisRow" fieldPosition="13"/>
    </format>
    <format dxfId="10043">
      <pivotArea field="72" type="button" dataOnly="0" labelOnly="1" outline="0" axis="axisRow" fieldPosition="5"/>
    </format>
    <format dxfId="10042">
      <pivotArea field="13" type="button" dataOnly="0" labelOnly="1" outline="0" axis="axisRow" fieldPosition="6"/>
    </format>
    <format dxfId="10041">
      <pivotArea field="81" type="button" dataOnly="0" labelOnly="1" outline="0" axis="axisRow" fieldPosition="8"/>
    </format>
    <format dxfId="10040">
      <pivotArea field="82" type="button" dataOnly="0" labelOnly="1" outline="0" axis="axisRow" fieldPosition="9"/>
    </format>
    <format dxfId="10039">
      <pivotArea field="87" type="button" dataOnly="0" labelOnly="1" outline="0" axis="axisRow" fieldPosition="12"/>
    </format>
    <format dxfId="10038">
      <pivotArea field="88" type="button" dataOnly="0" labelOnly="1" outline="0" axis="axisRow" fieldPosition="13"/>
    </format>
    <format dxfId="10037">
      <pivotArea field="72" type="button" dataOnly="0" labelOnly="1" outline="0" axis="axisRow" fieldPosition="5"/>
    </format>
    <format dxfId="10036">
      <pivotArea field="13" type="button" dataOnly="0" labelOnly="1" outline="0" axis="axisRow" fieldPosition="6"/>
    </format>
    <format dxfId="10035">
      <pivotArea field="81" type="button" dataOnly="0" labelOnly="1" outline="0" axis="axisRow" fieldPosition="8"/>
    </format>
    <format dxfId="10034">
      <pivotArea field="82" type="button" dataOnly="0" labelOnly="1" outline="0" axis="axisRow" fieldPosition="9"/>
    </format>
    <format dxfId="10033">
      <pivotArea field="87" type="button" dataOnly="0" labelOnly="1" outline="0" axis="axisRow" fieldPosition="12"/>
    </format>
    <format dxfId="10032">
      <pivotArea field="88" type="button" dataOnly="0" labelOnly="1" outline="0" axis="axisRow" fieldPosition="13"/>
    </format>
    <format dxfId="10031">
      <pivotArea dataOnly="0" labelOnly="1" outline="0" fieldPosition="0">
        <references count="3">
          <reference field="1" count="0" selected="0"/>
          <reference field="2" count="1" selected="0">
            <x v="4"/>
          </reference>
          <reference field="5" count="1">
            <x v="5"/>
          </reference>
        </references>
      </pivotArea>
    </format>
    <format dxfId="10030">
      <pivotArea dataOnly="0" labelOnly="1" outline="0" fieldPosition="0">
        <references count="3">
          <reference field="1" count="0" selected="0"/>
          <reference field="2" count="1" selected="0">
            <x v="5"/>
          </reference>
          <reference field="5" count="2">
            <x v="6"/>
            <x v="7"/>
          </reference>
        </references>
      </pivotArea>
    </format>
    <format dxfId="10029">
      <pivotArea dataOnly="0" labelOnly="1" outline="0" fieldPosition="0">
        <references count="2">
          <reference field="1" count="0" selected="0"/>
          <reference field="2" count="2">
            <x v="4"/>
            <x v="5"/>
          </reference>
        </references>
      </pivotArea>
    </format>
    <format dxfId="10028">
      <pivotArea dataOnly="0" labelOnly="1" outline="0" fieldPosition="0">
        <references count="4">
          <reference field="1" count="0" selected="0"/>
          <reference field="2" count="1" selected="0">
            <x v="4"/>
          </reference>
          <reference field="5" count="1" selected="0">
            <x v="5"/>
          </reference>
          <reference field="23" count="1">
            <x v="0"/>
          </reference>
        </references>
      </pivotArea>
    </format>
    <format dxfId="10027">
      <pivotArea dataOnly="0" labelOnly="1" outline="0" fieldPosition="0">
        <references count="4">
          <reference field="1" count="0" selected="0"/>
          <reference field="2" count="1" selected="0">
            <x v="5"/>
          </reference>
          <reference field="5" count="1" selected="0">
            <x v="6"/>
          </reference>
          <reference field="23" count="2">
            <x v="1"/>
            <x v="2"/>
          </reference>
        </references>
      </pivotArea>
    </format>
    <format dxfId="10026">
      <pivotArea dataOnly="0" labelOnly="1" outline="0" fieldPosition="0">
        <references count="7">
          <reference field="1" count="0" selected="0"/>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10025">
      <pivotArea dataOnly="0" labelOnly="1" outline="0" fieldPosition="0">
        <references count="7">
          <reference field="1" count="0" selected="0"/>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10024">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10023">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0022">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0021">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0020">
      <pivotArea dataOnly="0" labelOnly="1" outline="0" fieldPosition="0">
        <references count="10">
          <reference field="1" count="0" selected="0"/>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10019">
      <pivotArea dataOnly="0" labelOnly="1" outline="0" fieldPosition="0">
        <references count="11">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x v="2"/>
          </reference>
        </references>
      </pivotArea>
    </format>
    <format dxfId="10018">
      <pivotArea field="72" type="button" dataOnly="0" labelOnly="1" outline="0" axis="axisRow" fieldPosition="5"/>
    </format>
    <format dxfId="10017">
      <pivotArea field="13" type="button" dataOnly="0" labelOnly="1" outline="0" axis="axisRow" fieldPosition="6"/>
    </format>
    <format dxfId="10016">
      <pivotArea dataOnly="0" labelOnly="1" outline="0" fieldPosition="0">
        <references count="6">
          <reference field="1" count="0" selected="0"/>
          <reference field="2" count="1" selected="0">
            <x v="4"/>
          </reference>
          <reference field="5" count="1" selected="0">
            <x v="5"/>
          </reference>
          <reference field="13" count="1">
            <x v="2"/>
          </reference>
          <reference field="23" count="1" selected="0">
            <x v="0"/>
          </reference>
          <reference field="72" count="1" selected="0">
            <x v="130"/>
          </reference>
        </references>
      </pivotArea>
    </format>
    <format dxfId="10015">
      <pivotArea dataOnly="0" labelOnly="1" outline="0" fieldPosition="0">
        <references count="6">
          <reference field="1" count="0" selected="0"/>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10014">
      <pivotArea dataOnly="0" labelOnly="1" outline="0" fieldPosition="0">
        <references count="6">
          <reference field="1" count="0" selected="0"/>
          <reference field="2" count="1" selected="0">
            <x v="5"/>
          </reference>
          <reference field="5" count="1" selected="0">
            <x v="6"/>
          </reference>
          <reference field="13" count="1">
            <x v="5"/>
          </reference>
          <reference field="23" count="1" selected="0">
            <x v="2"/>
          </reference>
          <reference field="72" count="1" selected="0">
            <x v="14"/>
          </reference>
        </references>
      </pivotArea>
    </format>
    <format dxfId="10013">
      <pivotArea dataOnly="0" labelOnly="1" outline="0" fieldPosition="0">
        <references count="6">
          <reference field="1" count="0" selected="0"/>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10012">
      <pivotArea field="81" type="button" dataOnly="0" labelOnly="1" outline="0" axis="axisRow" fieldPosition="8"/>
    </format>
    <format dxfId="10011">
      <pivotArea dataOnly="0" labelOnly="1" outline="0" fieldPosition="0">
        <references count="8">
          <reference field="1" count="0" selected="0"/>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10010">
      <pivotArea field="82" type="button" dataOnly="0" labelOnly="1" outline="0" axis="axisRow" fieldPosition="9"/>
    </format>
    <format dxfId="10009">
      <pivotArea dataOnly="0" labelOnly="1" outline="0" fieldPosition="0">
        <references count="9">
          <reference field="1" count="0" selected="0"/>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10008">
      <pivotArea field="87" type="button" dataOnly="0" labelOnly="1" outline="0" axis="axisRow" fieldPosition="12"/>
    </format>
    <format dxfId="10007">
      <pivotArea dataOnly="0" labelOnly="1" outline="0" fieldPosition="0">
        <references count="12">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10006">
      <pivotArea field="88" type="button" dataOnly="0" labelOnly="1" outline="0" axis="axisRow" fieldPosition="13"/>
    </format>
    <format dxfId="10005">
      <pivotArea dataOnly="0" labelOnly="1" outline="0" fieldPosition="0">
        <references count="13">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10004">
      <pivotArea field="72" type="button" dataOnly="0" labelOnly="1" outline="0" axis="axisRow" fieldPosition="5"/>
    </format>
    <format dxfId="10003">
      <pivotArea field="13" type="button" dataOnly="0" labelOnly="1" outline="0" axis="axisRow" fieldPosition="6"/>
    </format>
    <format dxfId="10002">
      <pivotArea field="81" type="button" dataOnly="0" labelOnly="1" outline="0" axis="axisRow" fieldPosition="8"/>
    </format>
    <format dxfId="10001">
      <pivotArea field="82" type="button" dataOnly="0" labelOnly="1" outline="0" axis="axisRow" fieldPosition="9"/>
    </format>
    <format dxfId="10000">
      <pivotArea field="87" type="button" dataOnly="0" labelOnly="1" outline="0" axis="axisRow" fieldPosition="12"/>
    </format>
    <format dxfId="9999">
      <pivotArea field="88" type="button" dataOnly="0" labelOnly="1" outline="0" axis="axisRow" fieldPosition="13"/>
    </format>
    <format dxfId="9998">
      <pivotArea field="72" type="button" dataOnly="0" labelOnly="1" outline="0" axis="axisRow" fieldPosition="5"/>
    </format>
    <format dxfId="9997">
      <pivotArea field="13" type="button" dataOnly="0" labelOnly="1" outline="0" axis="axisRow" fieldPosition="6"/>
    </format>
    <format dxfId="9996">
      <pivotArea field="81" type="button" dataOnly="0" labelOnly="1" outline="0" axis="axisRow" fieldPosition="8"/>
    </format>
    <format dxfId="9995">
      <pivotArea field="82" type="button" dataOnly="0" labelOnly="1" outline="0" axis="axisRow" fieldPosition="9"/>
    </format>
    <format dxfId="9994">
      <pivotArea field="87" type="button" dataOnly="0" labelOnly="1" outline="0" axis="axisRow" fieldPosition="12"/>
    </format>
    <format dxfId="9993">
      <pivotArea field="88" type="button" dataOnly="0" labelOnly="1" outline="0" axis="axisRow" fieldPosition="13"/>
    </format>
    <format dxfId="9992">
      <pivotArea dataOnly="0" labelOnly="1" outline="0" fieldPosition="0">
        <references count="3">
          <reference field="1" count="1" selected="0">
            <x v="1"/>
          </reference>
          <reference field="2" count="1" selected="0">
            <x v="6"/>
          </reference>
          <reference field="5" count="1">
            <x v="1"/>
          </reference>
        </references>
      </pivotArea>
    </format>
    <format dxfId="9991">
      <pivotArea dataOnly="0" labelOnly="1" outline="0" fieldPosition="0">
        <references count="3">
          <reference field="1" count="1" selected="0">
            <x v="36"/>
          </reference>
          <reference field="2" count="1" selected="0">
            <x v="0"/>
          </reference>
          <reference field="5" count="2">
            <x v="8"/>
            <x v="10"/>
          </reference>
        </references>
      </pivotArea>
    </format>
    <format dxfId="9990">
      <pivotArea dataOnly="0" labelOnly="1" outline="0" fieldPosition="0">
        <references count="2">
          <reference field="1" count="1" selected="0">
            <x v="1"/>
          </reference>
          <reference field="2" count="2">
            <x v="3"/>
            <x v="6"/>
          </reference>
        </references>
      </pivotArea>
    </format>
    <format dxfId="9989">
      <pivotArea dataOnly="0" labelOnly="1" outline="0" fieldPosition="0">
        <references count="4">
          <reference field="1" count="1" selected="0">
            <x v="1"/>
          </reference>
          <reference field="2" count="1" selected="0">
            <x v="6"/>
          </reference>
          <reference field="5" count="1" selected="0">
            <x v="1"/>
          </reference>
          <reference field="23" count="1">
            <x v="2"/>
          </reference>
        </references>
      </pivotArea>
    </format>
    <format dxfId="9988">
      <pivotArea dataOnly="0" labelOnly="1" outline="0" fieldPosition="0">
        <references count="4">
          <reference field="1" count="1" selected="0">
            <x v="36"/>
          </reference>
          <reference field="2" count="1" selected="0">
            <x v="0"/>
          </reference>
          <reference field="5" count="1" selected="0">
            <x v="8"/>
          </reference>
          <reference field="23" count="1">
            <x v="0"/>
          </reference>
        </references>
      </pivotArea>
    </format>
    <format dxfId="9987">
      <pivotArea dataOnly="0" labelOnly="1" outline="0" fieldPosition="0">
        <references count="7">
          <reference field="1" count="1" selected="0">
            <x v="1"/>
          </reference>
          <reference field="2" count="1" selected="0">
            <x v="6"/>
          </reference>
          <reference field="5" count="1" selected="0">
            <x v="1"/>
          </reference>
          <reference field="13" count="1" selected="0">
            <x v="5"/>
          </reference>
          <reference field="22" count="1">
            <x v="10"/>
          </reference>
          <reference field="23" count="1" selected="0">
            <x v="2"/>
          </reference>
          <reference field="72" count="1" selected="0">
            <x v="1"/>
          </reference>
        </references>
      </pivotArea>
    </format>
    <format dxfId="9986">
      <pivotArea dataOnly="0" labelOnly="1" outline="0" fieldPosition="0">
        <references count="10">
          <reference field="1" count="1" selected="0">
            <x v="36"/>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9985">
      <pivotArea dataOnly="0" labelOnly="1" outline="0" fieldPosition="0">
        <references count="11">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9984">
      <pivotArea field="72" type="button" dataOnly="0" labelOnly="1" outline="0" axis="axisRow" fieldPosition="5"/>
    </format>
    <format dxfId="9983">
      <pivotArea field="13" type="button" dataOnly="0" labelOnly="1" outline="0" axis="axisRow" fieldPosition="6"/>
    </format>
    <format dxfId="9982">
      <pivotArea dataOnly="0" labelOnly="1" outline="0" fieldPosition="0">
        <references count="6">
          <reference field="1" count="1" selected="0">
            <x v="1"/>
          </reference>
          <reference field="2" count="1" selected="0">
            <x v="6"/>
          </reference>
          <reference field="5" count="1" selected="0">
            <x v="1"/>
          </reference>
          <reference field="13" count="1">
            <x v="5"/>
          </reference>
          <reference field="23" count="1" selected="0">
            <x v="2"/>
          </reference>
          <reference field="72" count="1" selected="0">
            <x v="1"/>
          </reference>
        </references>
      </pivotArea>
    </format>
    <format dxfId="9981">
      <pivotArea dataOnly="0" labelOnly="1" outline="0" fieldPosition="0">
        <references count="6">
          <reference field="1" count="1" selected="0">
            <x v="2"/>
          </reference>
          <reference field="2" count="1" selected="0">
            <x v="3"/>
          </reference>
          <reference field="5" count="1" selected="0">
            <x v="1"/>
          </reference>
          <reference field="13" count="1">
            <x v="4"/>
          </reference>
          <reference field="23" count="1" selected="0">
            <x v="1"/>
          </reference>
          <reference field="72" count="1" selected="0">
            <x v="120"/>
          </reference>
        </references>
      </pivotArea>
    </format>
    <format dxfId="9980">
      <pivotArea field="81" type="button" dataOnly="0" labelOnly="1" outline="0" axis="axisRow" fieldPosition="8"/>
    </format>
    <format dxfId="9979">
      <pivotArea dataOnly="0" labelOnly="1" outline="0" fieldPosition="0">
        <references count="8">
          <reference field="1" count="1" selected="0">
            <x v="36"/>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9978">
      <pivotArea field="82" type="button" dataOnly="0" labelOnly="1" outline="0" axis="axisRow" fieldPosition="9"/>
    </format>
    <format dxfId="9977">
      <pivotArea dataOnly="0" labelOnly="1" outline="0" fieldPosition="0">
        <references count="9">
          <reference field="1" count="1" selected="0">
            <x v="36"/>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9976">
      <pivotArea field="87" type="button" dataOnly="0" labelOnly="1" outline="0" axis="axisRow" fieldPosition="12"/>
    </format>
    <format dxfId="9975">
      <pivotArea dataOnly="0" labelOnly="1" outline="0" fieldPosition="0">
        <references count="12">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2"/>
          </reference>
        </references>
      </pivotArea>
    </format>
    <format dxfId="9974">
      <pivotArea field="88" type="button" dataOnly="0" labelOnly="1" outline="0" axis="axisRow" fieldPosition="13"/>
    </format>
    <format dxfId="9973">
      <pivotArea dataOnly="0" labelOnly="1" outline="0" fieldPosition="0">
        <references count="13">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2"/>
          </reference>
          <reference field="88" count="1">
            <x v="24"/>
          </reference>
        </references>
      </pivotArea>
    </format>
    <format dxfId="9972">
      <pivotArea field="72" type="button" dataOnly="0" labelOnly="1" outline="0" axis="axisRow" fieldPosition="5"/>
    </format>
    <format dxfId="9971">
      <pivotArea field="13" type="button" dataOnly="0" labelOnly="1" outline="0" axis="axisRow" fieldPosition="6"/>
    </format>
    <format dxfId="9970">
      <pivotArea field="81" type="button" dataOnly="0" labelOnly="1" outline="0" axis="axisRow" fieldPosition="8"/>
    </format>
    <format dxfId="9969">
      <pivotArea field="82" type="button" dataOnly="0" labelOnly="1" outline="0" axis="axisRow" fieldPosition="9"/>
    </format>
    <format dxfId="9968">
      <pivotArea field="87" type="button" dataOnly="0" labelOnly="1" outline="0" axis="axisRow" fieldPosition="12"/>
    </format>
    <format dxfId="9967">
      <pivotArea field="88" type="button" dataOnly="0" labelOnly="1" outline="0" axis="axisRow" fieldPosition="13"/>
    </format>
    <format dxfId="9966">
      <pivotArea field="72" type="button" dataOnly="0" labelOnly="1" outline="0" axis="axisRow" fieldPosition="5"/>
    </format>
    <format dxfId="9965">
      <pivotArea field="13" type="button" dataOnly="0" labelOnly="1" outline="0" axis="axisRow" fieldPosition="6"/>
    </format>
    <format dxfId="9964">
      <pivotArea field="81" type="button" dataOnly="0" labelOnly="1" outline="0" axis="axisRow" fieldPosition="8"/>
    </format>
    <format dxfId="9963">
      <pivotArea field="82" type="button" dataOnly="0" labelOnly="1" outline="0" axis="axisRow" fieldPosition="9"/>
    </format>
    <format dxfId="9962">
      <pivotArea field="87" type="button" dataOnly="0" labelOnly="1" outline="0" axis="axisRow" fieldPosition="12"/>
    </format>
    <format dxfId="9961">
      <pivotArea field="88" type="button" dataOnly="0" labelOnly="1" outline="0" axis="axisRow" fieldPosition="13"/>
    </format>
    <format dxfId="9960">
      <pivotArea field="72" type="button" dataOnly="0" labelOnly="1" outline="0" axis="axisRow" fieldPosition="5"/>
    </format>
    <format dxfId="9959">
      <pivotArea field="13" type="button" dataOnly="0" labelOnly="1" outline="0" axis="axisRow" fieldPosition="6"/>
    </format>
    <format dxfId="9958">
      <pivotArea field="81" type="button" dataOnly="0" labelOnly="1" outline="0" axis="axisRow" fieldPosition="8"/>
    </format>
    <format dxfId="9957">
      <pivotArea field="82" type="button" dataOnly="0" labelOnly="1" outline="0" axis="axisRow" fieldPosition="9"/>
    </format>
    <format dxfId="9956">
      <pivotArea field="87" type="button" dataOnly="0" labelOnly="1" outline="0" axis="axisRow" fieldPosition="12"/>
    </format>
    <format dxfId="9955">
      <pivotArea field="88" type="button" dataOnly="0" labelOnly="1" outline="0" axis="axisRow" fieldPosition="13"/>
    </format>
    <format dxfId="9954">
      <pivotArea field="72" type="button" dataOnly="0" labelOnly="1" outline="0" axis="axisRow" fieldPosition="5"/>
    </format>
    <format dxfId="9953">
      <pivotArea field="13" type="button" dataOnly="0" labelOnly="1" outline="0" axis="axisRow" fieldPosition="6"/>
    </format>
    <format dxfId="9952">
      <pivotArea field="81" type="button" dataOnly="0" labelOnly="1" outline="0" axis="axisRow" fieldPosition="8"/>
    </format>
    <format dxfId="9951">
      <pivotArea field="82" type="button" dataOnly="0" labelOnly="1" outline="0" axis="axisRow" fieldPosition="9"/>
    </format>
    <format dxfId="9950">
      <pivotArea field="87" type="button" dataOnly="0" labelOnly="1" outline="0" axis="axisRow" fieldPosition="12"/>
    </format>
    <format dxfId="9949">
      <pivotArea field="88" type="button" dataOnly="0" labelOnly="1" outline="0" axis="axisRow" fieldPosition="13"/>
    </format>
    <format dxfId="9948">
      <pivotArea field="72" type="button" dataOnly="0" labelOnly="1" outline="0" axis="axisRow" fieldPosition="5"/>
    </format>
    <format dxfId="9947">
      <pivotArea field="13" type="button" dataOnly="0" labelOnly="1" outline="0" axis="axisRow" fieldPosition="6"/>
    </format>
    <format dxfId="9946">
      <pivotArea field="81" type="button" dataOnly="0" labelOnly="1" outline="0" axis="axisRow" fieldPosition="8"/>
    </format>
    <format dxfId="9945">
      <pivotArea field="82" type="button" dataOnly="0" labelOnly="1" outline="0" axis="axisRow" fieldPosition="9"/>
    </format>
    <format dxfId="9944">
      <pivotArea field="87" type="button" dataOnly="0" labelOnly="1" outline="0" axis="axisRow" fieldPosition="12"/>
    </format>
    <format dxfId="9943">
      <pivotArea field="88" type="button" dataOnly="0" labelOnly="1" outline="0" axis="axisRow" fieldPosition="13"/>
    </format>
    <format dxfId="9942">
      <pivotArea dataOnly="0" labelOnly="1" outline="0" fieldPosition="0">
        <references count="2">
          <reference field="1" count="1" selected="0">
            <x v="43"/>
          </reference>
          <reference field="2" count="1">
            <x v="6"/>
          </reference>
        </references>
      </pivotArea>
    </format>
    <format dxfId="9941">
      <pivotArea dataOnly="0" labelOnly="1" outline="0" fieldPosition="0">
        <references count="4">
          <reference field="1" count="1" selected="0">
            <x v="43"/>
          </reference>
          <reference field="2" count="1" selected="0">
            <x v="6"/>
          </reference>
          <reference field="5" count="1" selected="0">
            <x v="6"/>
          </reference>
          <reference field="23" count="2">
            <x v="1"/>
            <x v="2"/>
          </reference>
        </references>
      </pivotArea>
    </format>
    <format dxfId="9940">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17"/>
          </reference>
        </references>
      </pivotArea>
    </format>
    <format dxfId="9939">
      <pivotArea field="72" type="button" dataOnly="0" labelOnly="1" outline="0" axis="axisRow" fieldPosition="5"/>
    </format>
    <format dxfId="9938">
      <pivotArea field="13" type="button" dataOnly="0" labelOnly="1" outline="0" axis="axisRow" fieldPosition="6"/>
    </format>
    <format dxfId="9937">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17"/>
          </reference>
        </references>
      </pivotArea>
    </format>
    <format dxfId="9936">
      <pivotArea dataOnly="0" labelOnly="1" outline="0" fieldPosition="0">
        <references count="6">
          <reference field="1" count="1" selected="0">
            <x v="43"/>
          </reference>
          <reference field="2" count="1" selected="0">
            <x v="6"/>
          </reference>
          <reference field="5" count="1" selected="0">
            <x v="6"/>
          </reference>
          <reference field="13" count="1">
            <x v="4"/>
          </reference>
          <reference field="23" count="1" selected="0">
            <x v="1"/>
          </reference>
          <reference field="72" count="1" selected="0">
            <x v="169"/>
          </reference>
        </references>
      </pivotArea>
    </format>
    <format dxfId="9935">
      <pivotArea dataOnly="0" labelOnly="1" outline="0" fieldPosition="0">
        <references count="6">
          <reference field="1" count="1" selected="0">
            <x v="43"/>
          </reference>
          <reference field="2" count="1" selected="0">
            <x v="6"/>
          </reference>
          <reference field="5" count="1" selected="0">
            <x v="6"/>
          </reference>
          <reference field="13" count="1">
            <x v="5"/>
          </reference>
          <reference field="23" count="1" selected="0">
            <x v="2"/>
          </reference>
          <reference field="72" count="1" selected="0">
            <x v="170"/>
          </reference>
        </references>
      </pivotArea>
    </format>
    <format dxfId="9934">
      <pivotArea field="81" type="button" dataOnly="0" labelOnly="1" outline="0" axis="axisRow" fieldPosition="8"/>
    </format>
    <format dxfId="9933">
      <pivotArea field="82" type="button" dataOnly="0" labelOnly="1" outline="0" axis="axisRow" fieldPosition="9"/>
    </format>
    <format dxfId="9932">
      <pivotArea field="87" type="button" dataOnly="0" labelOnly="1" outline="0" axis="axisRow" fieldPosition="12"/>
    </format>
    <format dxfId="9931">
      <pivotArea field="88" type="button" dataOnly="0" labelOnly="1" outline="0" axis="axisRow" fieldPosition="13"/>
    </format>
    <format dxfId="9930">
      <pivotArea field="72" type="button" dataOnly="0" labelOnly="1" outline="0" axis="axisRow" fieldPosition="5"/>
    </format>
    <format dxfId="9929">
      <pivotArea field="13" type="button" dataOnly="0" labelOnly="1" outline="0" axis="axisRow" fieldPosition="6"/>
    </format>
    <format dxfId="9928">
      <pivotArea field="81" type="button" dataOnly="0" labelOnly="1" outline="0" axis="axisRow" fieldPosition="8"/>
    </format>
    <format dxfId="9927">
      <pivotArea field="82" type="button" dataOnly="0" labelOnly="1" outline="0" axis="axisRow" fieldPosition="9"/>
    </format>
    <format dxfId="9926">
      <pivotArea field="87" type="button" dataOnly="0" labelOnly="1" outline="0" axis="axisRow" fieldPosition="12"/>
    </format>
    <format dxfId="9925">
      <pivotArea field="88" type="button" dataOnly="0" labelOnly="1" outline="0" axis="axisRow" fieldPosition="13"/>
    </format>
    <format dxfId="9924">
      <pivotArea field="72" type="button" dataOnly="0" labelOnly="1" outline="0" axis="axisRow" fieldPosition="5"/>
    </format>
    <format dxfId="9923">
      <pivotArea field="13" type="button" dataOnly="0" labelOnly="1" outline="0" axis="axisRow" fieldPosition="6"/>
    </format>
    <format dxfId="9922">
      <pivotArea field="81" type="button" dataOnly="0" labelOnly="1" outline="0" axis="axisRow" fieldPosition="8"/>
    </format>
    <format dxfId="9921">
      <pivotArea field="82" type="button" dataOnly="0" labelOnly="1" outline="0" axis="axisRow" fieldPosition="9"/>
    </format>
    <format dxfId="9920">
      <pivotArea field="87" type="button" dataOnly="0" labelOnly="1" outline="0" axis="axisRow" fieldPosition="12"/>
    </format>
    <format dxfId="9919">
      <pivotArea field="88" type="button" dataOnly="0" labelOnly="1" outline="0" axis="axisRow" fieldPosition="13"/>
    </format>
    <format dxfId="9918">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9917">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9916">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9915">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9914">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9913">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147"/>
          </reference>
        </references>
      </pivotArea>
    </format>
    <format dxfId="9912">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148"/>
          </reference>
        </references>
      </pivotArea>
    </format>
    <format dxfId="9911">
      <pivotArea dataOnly="0" labelOnly="1" outline="0" fieldPosition="0">
        <references count="7">
          <reference field="1" count="0" selected="0"/>
          <reference field="2" count="1" selected="0">
            <x v="3"/>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9910">
      <pivotArea field="72" type="button" dataOnly="0" labelOnly="1" outline="0" axis="axisRow" fieldPosition="5"/>
    </format>
    <format dxfId="9909">
      <pivotArea field="13" type="button" dataOnly="0" labelOnly="1" outline="0" axis="axisRow" fieldPosition="6"/>
    </format>
    <format dxfId="9908">
      <pivotArea dataOnly="0" labelOnly="1" outline="0" fieldPosition="0">
        <references count="6">
          <reference field="1" count="0" selected="0"/>
          <reference field="2" count="1" selected="0">
            <x v="3"/>
          </reference>
          <reference field="5" count="1" selected="0">
            <x v="2"/>
          </reference>
          <reference field="13" count="1">
            <x v="2"/>
          </reference>
          <reference field="23" count="1" selected="0">
            <x v="2"/>
          </reference>
          <reference field="72" count="1" selected="0">
            <x v="62"/>
          </reference>
        </references>
      </pivotArea>
    </format>
    <format dxfId="9907">
      <pivotArea dataOnly="0" labelOnly="1" outline="0" fieldPosition="0">
        <references count="6">
          <reference field="1" count="0" selected="0"/>
          <reference field="2" count="1" selected="0">
            <x v="3"/>
          </reference>
          <reference field="5" count="1" selected="0">
            <x v="6"/>
          </reference>
          <reference field="13" count="1">
            <x v="5"/>
          </reference>
          <reference field="23" count="1" selected="0">
            <x v="2"/>
          </reference>
          <reference field="72" count="1" selected="0">
            <x v="15"/>
          </reference>
        </references>
      </pivotArea>
    </format>
    <format dxfId="9906">
      <pivotArea field="81" type="button" dataOnly="0" labelOnly="1" outline="0" axis="axisRow" fieldPosition="8"/>
    </format>
    <format dxfId="9905">
      <pivotArea field="82" type="button" dataOnly="0" labelOnly="1" outline="0" axis="axisRow" fieldPosition="9"/>
    </format>
    <format dxfId="9904">
      <pivotArea field="87" type="button" dataOnly="0" labelOnly="1" outline="0" axis="axisRow" fieldPosition="12"/>
    </format>
    <format dxfId="9903">
      <pivotArea field="88" type="button" dataOnly="0" labelOnly="1" outline="0" axis="axisRow" fieldPosition="13"/>
    </format>
    <format dxfId="9902">
      <pivotArea field="72" type="button" dataOnly="0" labelOnly="1" outline="0" axis="axisRow" fieldPosition="5"/>
    </format>
    <format dxfId="9901">
      <pivotArea field="13" type="button" dataOnly="0" labelOnly="1" outline="0" axis="axisRow" fieldPosition="6"/>
    </format>
    <format dxfId="9900">
      <pivotArea field="81" type="button" dataOnly="0" labelOnly="1" outline="0" axis="axisRow" fieldPosition="8"/>
    </format>
    <format dxfId="9899">
      <pivotArea field="82" type="button" dataOnly="0" labelOnly="1" outline="0" axis="axisRow" fieldPosition="9"/>
    </format>
    <format dxfId="9898">
      <pivotArea field="87" type="button" dataOnly="0" labelOnly="1" outline="0" axis="axisRow" fieldPosition="12"/>
    </format>
    <format dxfId="9897">
      <pivotArea field="88" type="button" dataOnly="0" labelOnly="1" outline="0" axis="axisRow" fieldPosition="13"/>
    </format>
    <format dxfId="9896">
      <pivotArea field="72" type="button" dataOnly="0" labelOnly="1" outline="0" axis="axisRow" fieldPosition="5"/>
    </format>
    <format dxfId="9895">
      <pivotArea field="13" type="button" dataOnly="0" labelOnly="1" outline="0" axis="axisRow" fieldPosition="6"/>
    </format>
    <format dxfId="9894">
      <pivotArea field="81" type="button" dataOnly="0" labelOnly="1" outline="0" axis="axisRow" fieldPosition="8"/>
    </format>
    <format dxfId="9893">
      <pivotArea field="82" type="button" dataOnly="0" labelOnly="1" outline="0" axis="axisRow" fieldPosition="9"/>
    </format>
    <format dxfId="9892">
      <pivotArea field="87" type="button" dataOnly="0" labelOnly="1" outline="0" axis="axisRow" fieldPosition="12"/>
    </format>
    <format dxfId="9891">
      <pivotArea field="88" type="button" dataOnly="0" labelOnly="1" outline="0" axis="axisRow" fieldPosition="13"/>
    </format>
    <format dxfId="9890">
      <pivotArea dataOnly="0" labelOnly="1" outline="0" fieldPosition="0">
        <references count="3">
          <reference field="1" count="0" selected="0"/>
          <reference field="2" count="1" selected="0">
            <x v="3"/>
          </reference>
          <reference field="5" count="0"/>
        </references>
      </pivotArea>
    </format>
    <format dxfId="9889">
      <pivotArea dataOnly="0" labelOnly="1" outline="0" fieldPosition="0">
        <references count="2">
          <reference field="1" count="0" selected="0"/>
          <reference field="2" count="1">
            <x v="3"/>
          </reference>
        </references>
      </pivotArea>
    </format>
    <format dxfId="9888">
      <pivotArea dataOnly="0" labelOnly="1" outline="0" fieldPosition="0">
        <references count="4">
          <reference field="1" count="0" selected="0"/>
          <reference field="2" count="1" selected="0">
            <x v="3"/>
          </reference>
          <reference field="5" count="1" selected="0">
            <x v="1"/>
          </reference>
          <reference field="23" count="2">
            <x v="1"/>
            <x v="2"/>
          </reference>
        </references>
      </pivotArea>
    </format>
    <format dxfId="9887">
      <pivotArea dataOnly="0" labelOnly="1" outline="0" fieldPosition="0">
        <references count="7">
          <reference field="1" count="0" selected="0"/>
          <reference field="2" count="1" selected="0">
            <x v="3"/>
          </reference>
          <reference field="5" count="1" selected="0">
            <x v="1"/>
          </reference>
          <reference field="13" count="1" selected="0">
            <x v="4"/>
          </reference>
          <reference field="22" count="1">
            <x v="10"/>
          </reference>
          <reference field="23" count="1" selected="0">
            <x v="1"/>
          </reference>
          <reference field="72" count="1" selected="0">
            <x v="164"/>
          </reference>
        </references>
      </pivotArea>
    </format>
    <format dxfId="9886">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9885">
      <pivotArea field="72" type="button" dataOnly="0" labelOnly="1" outline="0" axis="axisRow" fieldPosition="5"/>
    </format>
    <format dxfId="9884">
      <pivotArea field="13" type="button" dataOnly="0" labelOnly="1" outline="0" axis="axisRow" fieldPosition="6"/>
    </format>
    <format dxfId="9883">
      <pivotArea dataOnly="0" labelOnly="1" outline="0" fieldPosition="0">
        <references count="6">
          <reference field="1" count="0" selected="0"/>
          <reference field="2" count="1" selected="0">
            <x v="3"/>
          </reference>
          <reference field="5" count="1" selected="0">
            <x v="1"/>
          </reference>
          <reference field="13" count="1">
            <x v="4"/>
          </reference>
          <reference field="23" count="1" selected="0">
            <x v="1"/>
          </reference>
          <reference field="72" count="1" selected="0">
            <x v="164"/>
          </reference>
        </references>
      </pivotArea>
    </format>
    <format dxfId="9882">
      <pivotArea dataOnly="0" labelOnly="1" outline="0" fieldPosition="0">
        <references count="6">
          <reference field="1" count="0" selected="0"/>
          <reference field="2" count="1" selected="0">
            <x v="3"/>
          </reference>
          <reference field="5" count="1" selected="0">
            <x v="1"/>
          </reference>
          <reference field="13" count="1">
            <x v="5"/>
          </reference>
          <reference field="23" count="1" selected="0">
            <x v="2"/>
          </reference>
          <reference field="72" count="1" selected="0">
            <x v="5"/>
          </reference>
        </references>
      </pivotArea>
    </format>
    <format dxfId="9881">
      <pivotArea dataOnly="0" labelOnly="1" outline="0" fieldPosition="0">
        <references count="6">
          <reference field="1" count="0" selected="0"/>
          <reference field="2" count="1" selected="0">
            <x v="3"/>
          </reference>
          <reference field="5" count="1" selected="0">
            <x v="3"/>
          </reference>
          <reference field="13" count="1">
            <x v="1"/>
          </reference>
          <reference field="23" count="1" selected="0">
            <x v="2"/>
          </reference>
          <reference field="72" count="1" selected="0">
            <x v="83"/>
          </reference>
        </references>
      </pivotArea>
    </format>
    <format dxfId="9880">
      <pivotArea field="81" type="button" dataOnly="0" labelOnly="1" outline="0" axis="axisRow" fieldPosition="8"/>
    </format>
    <format dxfId="9879">
      <pivotArea field="82" type="button" dataOnly="0" labelOnly="1" outline="0" axis="axisRow" fieldPosition="9"/>
    </format>
    <format dxfId="9878">
      <pivotArea field="87" type="button" dataOnly="0" labelOnly="1" outline="0" axis="axisRow" fieldPosition="12"/>
    </format>
    <format dxfId="9877">
      <pivotArea field="88" type="button" dataOnly="0" labelOnly="1" outline="0" axis="axisRow" fieldPosition="13"/>
    </format>
    <format dxfId="9876">
      <pivotArea field="72" type="button" dataOnly="0" labelOnly="1" outline="0" axis="axisRow" fieldPosition="5"/>
    </format>
    <format dxfId="9875">
      <pivotArea field="13" type="button" dataOnly="0" labelOnly="1" outline="0" axis="axisRow" fieldPosition="6"/>
    </format>
    <format dxfId="9874">
      <pivotArea field="81" type="button" dataOnly="0" labelOnly="1" outline="0" axis="axisRow" fieldPosition="8"/>
    </format>
    <format dxfId="9873">
      <pivotArea field="82" type="button" dataOnly="0" labelOnly="1" outline="0" axis="axisRow" fieldPosition="9"/>
    </format>
    <format dxfId="9872">
      <pivotArea field="87" type="button" dataOnly="0" labelOnly="1" outline="0" axis="axisRow" fieldPosition="12"/>
    </format>
    <format dxfId="9871">
      <pivotArea field="88" type="button" dataOnly="0" labelOnly="1" outline="0" axis="axisRow" fieldPosition="13"/>
    </format>
    <format dxfId="9870">
      <pivotArea field="72" type="button" dataOnly="0" labelOnly="1" outline="0" axis="axisRow" fieldPosition="5"/>
    </format>
    <format dxfId="9869">
      <pivotArea field="13" type="button" dataOnly="0" labelOnly="1" outline="0" axis="axisRow" fieldPosition="6"/>
    </format>
    <format dxfId="9868">
      <pivotArea field="81" type="button" dataOnly="0" labelOnly="1" outline="0" axis="axisRow" fieldPosition="8"/>
    </format>
    <format dxfId="9867">
      <pivotArea field="82" type="button" dataOnly="0" labelOnly="1" outline="0" axis="axisRow" fieldPosition="9"/>
    </format>
    <format dxfId="9866">
      <pivotArea field="87" type="button" dataOnly="0" labelOnly="1" outline="0" axis="axisRow" fieldPosition="12"/>
    </format>
    <format dxfId="9865">
      <pivotArea field="88" type="button" dataOnly="0" labelOnly="1" outline="0" axis="axisRow" fieldPosition="13"/>
    </format>
    <format dxfId="9864">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7"/>
          </reference>
          <reference field="23" count="1" selected="0">
            <x v="2"/>
          </reference>
          <reference field="72" count="1" selected="0">
            <x v="39"/>
          </reference>
        </references>
      </pivotArea>
    </format>
    <format dxfId="9863">
      <pivotArea field="72" type="button" dataOnly="0" labelOnly="1" outline="0" axis="axisRow" fieldPosition="5"/>
    </format>
    <format dxfId="9862">
      <pivotArea field="13" type="button" dataOnly="0" labelOnly="1" outline="0" axis="axisRow" fieldPosition="6"/>
    </format>
    <format dxfId="9861">
      <pivotArea field="81" type="button" dataOnly="0" labelOnly="1" outline="0" axis="axisRow" fieldPosition="8"/>
    </format>
    <format dxfId="9860">
      <pivotArea field="82" type="button" dataOnly="0" labelOnly="1" outline="0" axis="axisRow" fieldPosition="9"/>
    </format>
    <format dxfId="9859">
      <pivotArea field="87" type="button" dataOnly="0" labelOnly="1" outline="0" axis="axisRow" fieldPosition="12"/>
    </format>
    <format dxfId="9858">
      <pivotArea field="88" type="button" dataOnly="0" labelOnly="1" outline="0" axis="axisRow" fieldPosition="13"/>
    </format>
    <format dxfId="9857">
      <pivotArea field="72" type="button" dataOnly="0" labelOnly="1" outline="0" axis="axisRow" fieldPosition="5"/>
    </format>
    <format dxfId="9856">
      <pivotArea field="13" type="button" dataOnly="0" labelOnly="1" outline="0" axis="axisRow" fieldPosition="6"/>
    </format>
    <format dxfId="9855">
      <pivotArea field="81" type="button" dataOnly="0" labelOnly="1" outline="0" axis="axisRow" fieldPosition="8"/>
    </format>
    <format dxfId="9854">
      <pivotArea field="82" type="button" dataOnly="0" labelOnly="1" outline="0" axis="axisRow" fieldPosition="9"/>
    </format>
    <format dxfId="9853">
      <pivotArea field="87" type="button" dataOnly="0" labelOnly="1" outline="0" axis="axisRow" fieldPosition="12"/>
    </format>
    <format dxfId="9852">
      <pivotArea field="88" type="button" dataOnly="0" labelOnly="1" outline="0" axis="axisRow" fieldPosition="13"/>
    </format>
    <format dxfId="9851">
      <pivotArea field="72" type="button" dataOnly="0" labelOnly="1" outline="0" axis="axisRow" fieldPosition="5"/>
    </format>
    <format dxfId="9850">
      <pivotArea field="13" type="button" dataOnly="0" labelOnly="1" outline="0" axis="axisRow" fieldPosition="6"/>
    </format>
    <format dxfId="9849">
      <pivotArea field="81" type="button" dataOnly="0" labelOnly="1" outline="0" axis="axisRow" fieldPosition="8"/>
    </format>
    <format dxfId="9848">
      <pivotArea field="82" type="button" dataOnly="0" labelOnly="1" outline="0" axis="axisRow" fieldPosition="9"/>
    </format>
    <format dxfId="9847">
      <pivotArea field="87" type="button" dataOnly="0" labelOnly="1" outline="0" axis="axisRow" fieldPosition="12"/>
    </format>
    <format dxfId="9846">
      <pivotArea field="88" type="button" dataOnly="0" labelOnly="1" outline="0" axis="axisRow" fieldPosition="13"/>
    </format>
    <format dxfId="9845">
      <pivotArea dataOnly="0" labelOnly="1" outline="0" fieldPosition="0">
        <references count="7">
          <reference field="1" count="1" selected="0">
            <x v="30"/>
          </reference>
          <reference field="2" count="1" selected="0">
            <x v="0"/>
          </reference>
          <reference field="5" count="1" selected="0">
            <x v="8"/>
          </reference>
          <reference field="13" count="1" selected="0">
            <x v="2"/>
          </reference>
          <reference field="22" count="1">
            <x v="17"/>
          </reference>
          <reference field="23" count="1" selected="0">
            <x v="0"/>
          </reference>
          <reference field="72" count="1" selected="0">
            <x v="125"/>
          </reference>
        </references>
      </pivotArea>
    </format>
    <format dxfId="9844">
      <pivotArea dataOnly="0" labelOnly="1" outline="0" fieldPosition="0">
        <references count="11">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x v="2"/>
          </reference>
        </references>
      </pivotArea>
    </format>
    <format dxfId="9843">
      <pivotArea field="72" type="button" dataOnly="0" labelOnly="1" outline="0" axis="axisRow" fieldPosition="5"/>
    </format>
    <format dxfId="9842">
      <pivotArea field="13" type="button" dataOnly="0" labelOnly="1" outline="0" axis="axisRow" fieldPosition="6"/>
    </format>
    <format dxfId="9841">
      <pivotArea field="81" type="button" dataOnly="0" labelOnly="1" outline="0" axis="axisRow" fieldPosition="8"/>
    </format>
    <format dxfId="9840">
      <pivotArea field="82" type="button" dataOnly="0" labelOnly="1" outline="0" axis="axisRow" fieldPosition="9"/>
    </format>
    <format dxfId="9839">
      <pivotArea field="87" type="button" dataOnly="0" labelOnly="1" outline="0" axis="axisRow" fieldPosition="12"/>
    </format>
    <format dxfId="9838">
      <pivotArea field="88" type="button" dataOnly="0" labelOnly="1" outline="0" axis="axisRow" fieldPosition="13"/>
    </format>
    <format dxfId="9837">
      <pivotArea field="72" type="button" dataOnly="0" labelOnly="1" outline="0" axis="axisRow" fieldPosition="5"/>
    </format>
    <format dxfId="9836">
      <pivotArea field="13" type="button" dataOnly="0" labelOnly="1" outline="0" axis="axisRow" fieldPosition="6"/>
    </format>
    <format dxfId="9835">
      <pivotArea field="81" type="button" dataOnly="0" labelOnly="1" outline="0" axis="axisRow" fieldPosition="8"/>
    </format>
    <format dxfId="9834">
      <pivotArea field="82" type="button" dataOnly="0" labelOnly="1" outline="0" axis="axisRow" fieldPosition="9"/>
    </format>
    <format dxfId="9833">
      <pivotArea field="87" type="button" dataOnly="0" labelOnly="1" outline="0" axis="axisRow" fieldPosition="12"/>
    </format>
    <format dxfId="9832">
      <pivotArea field="88" type="button" dataOnly="0" labelOnly="1" outline="0" axis="axisRow" fieldPosition="13"/>
    </format>
    <format dxfId="9831">
      <pivotArea field="72" type="button" dataOnly="0" labelOnly="1" outline="0" axis="axisRow" fieldPosition="5"/>
    </format>
    <format dxfId="9830">
      <pivotArea field="13" type="button" dataOnly="0" labelOnly="1" outline="0" axis="axisRow" fieldPosition="6"/>
    </format>
    <format dxfId="9829">
      <pivotArea field="81" type="button" dataOnly="0" labelOnly="1" outline="0" axis="axisRow" fieldPosition="8"/>
    </format>
    <format dxfId="9828">
      <pivotArea field="82" type="button" dataOnly="0" labelOnly="1" outline="0" axis="axisRow" fieldPosition="9"/>
    </format>
    <format dxfId="9827">
      <pivotArea field="87" type="button" dataOnly="0" labelOnly="1" outline="0" axis="axisRow" fieldPosition="12"/>
    </format>
    <format dxfId="9826">
      <pivotArea field="88" type="button" dataOnly="0" labelOnly="1" outline="0" axis="axisRow" fieldPosition="13"/>
    </format>
    <format dxfId="9825">
      <pivotArea dataOnly="0" labelOnly="1" outline="0" fieldPosition="0">
        <references count="3">
          <reference field="1" count="1" selected="0">
            <x v="35"/>
          </reference>
          <reference field="2" count="1" selected="0">
            <x v="10"/>
          </reference>
          <reference field="5" count="1">
            <x v="5"/>
          </reference>
        </references>
      </pivotArea>
    </format>
    <format dxfId="9824">
      <pivotArea dataOnly="0" labelOnly="1" outline="0" fieldPosition="0">
        <references count="1">
          <reference field="1" count="0"/>
        </references>
      </pivotArea>
    </format>
    <format dxfId="9823">
      <pivotArea dataOnly="0" labelOnly="1" outline="0" fieldPosition="0">
        <references count="2">
          <reference field="1" count="1" selected="0">
            <x v="35"/>
          </reference>
          <reference field="2" count="3">
            <x v="10"/>
            <x v="11"/>
            <x v="13"/>
          </reference>
        </references>
      </pivotArea>
    </format>
    <format dxfId="9822">
      <pivotArea dataOnly="0" labelOnly="1" outline="0" fieldPosition="0">
        <references count="7">
          <reference field="1" count="1" selected="0">
            <x v="35"/>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9821">
      <pivotArea dataOnly="0" labelOnly="1" outline="0" fieldPosition="0">
        <references count="7">
          <reference field="1" count="1" selected="0">
            <x v="35"/>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9820">
      <pivotArea dataOnly="0" labelOnly="1" outline="0" fieldPosition="0">
        <references count="7">
          <reference field="1" count="1" selected="0">
            <x v="35"/>
          </reference>
          <reference field="2" count="1" selected="0">
            <x v="13"/>
          </reference>
          <reference field="5" count="1" selected="0">
            <x v="9"/>
          </reference>
          <reference field="13" count="1" selected="0">
            <x v="2"/>
          </reference>
          <reference field="22" count="1">
            <x v="17"/>
          </reference>
          <reference field="23" count="1" selected="0">
            <x v="4"/>
          </reference>
          <reference field="72" count="1" selected="0">
            <x v="143"/>
          </reference>
        </references>
      </pivotArea>
    </format>
    <format dxfId="9819">
      <pivotArea field="72" type="button" dataOnly="0" labelOnly="1" outline="0" axis="axisRow" fieldPosition="5"/>
    </format>
    <format dxfId="9818">
      <pivotArea field="13" type="button" dataOnly="0" labelOnly="1" outline="0" axis="axisRow" fieldPosition="6"/>
    </format>
    <format dxfId="9817">
      <pivotArea field="81" type="button" dataOnly="0" labelOnly="1" outline="0" axis="axisRow" fieldPosition="8"/>
    </format>
    <format dxfId="9816">
      <pivotArea dataOnly="0" labelOnly="1" outline="0" fieldPosition="0">
        <references count="8">
          <reference field="1" count="1" selected="0">
            <x v="35"/>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9815">
      <pivotArea dataOnly="0" labelOnly="1" outline="0" fieldPosition="0">
        <references count="8">
          <reference field="1" count="1" selected="0">
            <x v="35"/>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9814">
      <pivotArea field="82" type="button" dataOnly="0" labelOnly="1" outline="0" axis="axisRow" fieldPosition="9"/>
    </format>
    <format dxfId="9813">
      <pivotArea dataOnly="0" labelOnly="1" outline="0" fieldPosition="0">
        <references count="9">
          <reference field="1" count="1" selected="0">
            <x v="35"/>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9812">
      <pivotArea dataOnly="0" labelOnly="1" outline="0" fieldPosition="0">
        <references count="9">
          <reference field="1" count="1" selected="0">
            <x v="35"/>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9811">
      <pivotArea field="87" type="button" dataOnly="0" labelOnly="1" outline="0" axis="axisRow" fieldPosition="12"/>
    </format>
    <format dxfId="9810">
      <pivotArea dataOnly="0" labelOnly="1" outline="0" fieldPosition="0">
        <references count="12">
          <reference field="1" count="1" selected="0">
            <x v="35"/>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9809">
      <pivotArea dataOnly="0" labelOnly="1" outline="0" fieldPosition="0">
        <references count="12">
          <reference field="1" count="1" selected="0">
            <x v="35"/>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9808">
      <pivotArea field="88" type="button" dataOnly="0" labelOnly="1" outline="0" axis="axisRow" fieldPosition="13"/>
    </format>
    <format dxfId="9807">
      <pivotArea dataOnly="0" labelOnly="1" outline="0" fieldPosition="0">
        <references count="13">
          <reference field="1" count="1" selected="0">
            <x v="35"/>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9806">
      <pivotArea dataOnly="0" labelOnly="1" outline="0" fieldPosition="0">
        <references count="13">
          <reference field="1" count="1" selected="0">
            <x v="35"/>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9805">
      <pivotArea field="72" type="button" dataOnly="0" labelOnly="1" outline="0" axis="axisRow" fieldPosition="5"/>
    </format>
    <format dxfId="9804">
      <pivotArea field="13" type="button" dataOnly="0" labelOnly="1" outline="0" axis="axisRow" fieldPosition="6"/>
    </format>
    <format dxfId="9803">
      <pivotArea field="81" type="button" dataOnly="0" labelOnly="1" outline="0" axis="axisRow" fieldPosition="8"/>
    </format>
    <format dxfId="9802">
      <pivotArea field="82" type="button" dataOnly="0" labelOnly="1" outline="0" axis="axisRow" fieldPosition="9"/>
    </format>
    <format dxfId="9801">
      <pivotArea field="87" type="button" dataOnly="0" labelOnly="1" outline="0" axis="axisRow" fieldPosition="12"/>
    </format>
    <format dxfId="9800">
      <pivotArea field="88" type="button" dataOnly="0" labelOnly="1" outline="0" axis="axisRow" fieldPosition="13"/>
    </format>
    <format dxfId="9799">
      <pivotArea field="72" type="button" dataOnly="0" labelOnly="1" outline="0" axis="axisRow" fieldPosition="5"/>
    </format>
    <format dxfId="9798">
      <pivotArea field="13" type="button" dataOnly="0" labelOnly="1" outline="0" axis="axisRow" fieldPosition="6"/>
    </format>
    <format dxfId="9797">
      <pivotArea field="81" type="button" dataOnly="0" labelOnly="1" outline="0" axis="axisRow" fieldPosition="8"/>
    </format>
    <format dxfId="9796">
      <pivotArea field="82" type="button" dataOnly="0" labelOnly="1" outline="0" axis="axisRow" fieldPosition="9"/>
    </format>
    <format dxfId="9795">
      <pivotArea field="87" type="button" dataOnly="0" labelOnly="1" outline="0" axis="axisRow" fieldPosition="12"/>
    </format>
    <format dxfId="9794">
      <pivotArea field="88" type="button" dataOnly="0" labelOnly="1" outline="0" axis="axisRow" fieldPosition="13"/>
    </format>
    <format dxfId="9793">
      <pivotArea dataOnly="0" labelOnly="1" outline="0" fieldPosition="0">
        <references count="1">
          <reference field="1" count="46">
            <x v="0"/>
            <x v="1"/>
            <x v="2"/>
            <x v="3"/>
            <x v="4"/>
            <x v="5"/>
            <x v="6"/>
            <x v="7"/>
            <x v="8"/>
            <x v="9"/>
            <x v="10"/>
            <x v="11"/>
            <x v="12"/>
            <x v="13"/>
            <x v="14"/>
            <x v="15"/>
            <x v="16"/>
            <x v="17"/>
            <x v="18"/>
            <x v="19"/>
            <x v="20"/>
            <x v="21"/>
            <x v="22"/>
            <x v="23"/>
            <x v="24"/>
            <x v="25"/>
            <x v="26"/>
            <x v="27"/>
            <x v="28"/>
            <x v="29"/>
            <x v="30"/>
            <x v="31"/>
            <x v="32"/>
            <x v="33"/>
            <x v="34"/>
            <x v="35"/>
            <x v="36"/>
            <x v="37"/>
            <x v="38"/>
            <x v="39"/>
            <x v="40"/>
            <x v="41"/>
            <x v="42"/>
            <x v="44"/>
            <x v="45"/>
            <x v="46"/>
          </reference>
        </references>
      </pivotArea>
    </format>
    <format dxfId="9792">
      <pivotArea dataOnly="0" labelOnly="1" outline="0" fieldPosition="0">
        <references count="1">
          <reference field="1" count="2">
            <x v="47"/>
            <x v="48"/>
          </reference>
        </references>
      </pivotArea>
    </format>
    <format dxfId="9791">
      <pivotArea dataOnly="0" labelOnly="1" outline="0" fieldPosition="0">
        <references count="3">
          <reference field="1" count="1" selected="0">
            <x v="0"/>
          </reference>
          <reference field="2" count="1" selected="0">
            <x v="6"/>
          </reference>
          <reference field="5" count="6">
            <x v="1"/>
            <x v="3"/>
            <x v="5"/>
            <x v="6"/>
            <x v="7"/>
            <x v="12"/>
          </reference>
        </references>
      </pivotArea>
    </format>
    <format dxfId="9790">
      <pivotArea dataOnly="0" labelOnly="1" outline="0" fieldPosition="0">
        <references count="3">
          <reference field="1" count="1" selected="0">
            <x v="0"/>
          </reference>
          <reference field="2" count="1" selected="0">
            <x v="10"/>
          </reference>
          <reference field="5" count="5">
            <x v="2"/>
            <x v="3"/>
            <x v="5"/>
            <x v="6"/>
            <x v="12"/>
          </reference>
        </references>
      </pivotArea>
    </format>
    <format dxfId="9789">
      <pivotArea dataOnly="0" labelOnly="1" outline="0" fieldPosition="0">
        <references count="3">
          <reference field="1" count="1" selected="0">
            <x v="1"/>
          </reference>
          <reference field="2" count="1" selected="0">
            <x v="3"/>
          </reference>
          <reference field="5" count="4">
            <x v="1"/>
            <x v="3"/>
            <x v="6"/>
            <x v="12"/>
          </reference>
        </references>
      </pivotArea>
    </format>
    <format dxfId="9788">
      <pivotArea dataOnly="0" labelOnly="1" outline="0" fieldPosition="0">
        <references count="3">
          <reference field="1" count="1" selected="0">
            <x v="2"/>
          </reference>
          <reference field="2" count="1" selected="0">
            <x v="3"/>
          </reference>
          <reference field="5" count="4">
            <x v="1"/>
            <x v="2"/>
            <x v="3"/>
            <x v="6"/>
          </reference>
        </references>
      </pivotArea>
    </format>
    <format dxfId="9787">
      <pivotArea dataOnly="0" labelOnly="1" outline="0" fieldPosition="0">
        <references count="3">
          <reference field="1" count="1" selected="0">
            <x v="3"/>
          </reference>
          <reference field="2" count="1" selected="0">
            <x v="3"/>
          </reference>
          <reference field="5" count="4">
            <x v="1"/>
            <x v="2"/>
            <x v="3"/>
            <x v="6"/>
          </reference>
        </references>
      </pivotArea>
    </format>
    <format dxfId="9786">
      <pivotArea dataOnly="0" labelOnly="1" outline="0" fieldPosition="0">
        <references count="3">
          <reference field="1" count="1" selected="0">
            <x v="4"/>
          </reference>
          <reference field="2" count="1" selected="0">
            <x v="3"/>
          </reference>
          <reference field="5" count="3">
            <x v="1"/>
            <x v="3"/>
            <x v="4"/>
          </reference>
        </references>
      </pivotArea>
    </format>
    <format dxfId="9785">
      <pivotArea dataOnly="0" labelOnly="1" outline="0" fieldPosition="0">
        <references count="3">
          <reference field="1" count="1" selected="0">
            <x v="5"/>
          </reference>
          <reference field="2" count="1" selected="0">
            <x v="8"/>
          </reference>
          <reference field="5" count="1">
            <x v="6"/>
          </reference>
        </references>
      </pivotArea>
    </format>
    <format dxfId="9784">
      <pivotArea dataOnly="0" labelOnly="1" outline="0" fieldPosition="0">
        <references count="3">
          <reference field="1" count="1" selected="0">
            <x v="6"/>
          </reference>
          <reference field="2" count="1" selected="0">
            <x v="5"/>
          </reference>
          <reference field="5" count="1">
            <x v="7"/>
          </reference>
        </references>
      </pivotArea>
    </format>
    <format dxfId="9783">
      <pivotArea dataOnly="0" labelOnly="1" outline="0" fieldPosition="0">
        <references count="3">
          <reference field="1" count="1" selected="0">
            <x v="7"/>
          </reference>
          <reference field="2" count="1" selected="0">
            <x v="4"/>
          </reference>
          <reference field="5" count="1">
            <x v="5"/>
          </reference>
        </references>
      </pivotArea>
    </format>
    <format dxfId="9782">
      <pivotArea dataOnly="0" labelOnly="1" outline="0" fieldPosition="0">
        <references count="3">
          <reference field="1" count="1" selected="0">
            <x v="7"/>
          </reference>
          <reference field="2" count="1" selected="0">
            <x v="5"/>
          </reference>
          <reference field="5" count="2">
            <x v="0"/>
            <x v="7"/>
          </reference>
        </references>
      </pivotArea>
    </format>
    <format dxfId="9781">
      <pivotArea dataOnly="0" labelOnly="1" outline="0" fieldPosition="0">
        <references count="3">
          <reference field="1" count="1" selected="0">
            <x v="8"/>
          </reference>
          <reference field="2" count="1" selected="0">
            <x v="3"/>
          </reference>
          <reference field="5" count="1">
            <x v="3"/>
          </reference>
        </references>
      </pivotArea>
    </format>
    <format dxfId="9780">
      <pivotArea dataOnly="0" labelOnly="1" outline="0" fieldPosition="0">
        <references count="3">
          <reference field="1" count="1" selected="0">
            <x v="9"/>
          </reference>
          <reference field="2" count="1" selected="0">
            <x v="5"/>
          </reference>
          <reference field="5" count="4">
            <x v="1"/>
            <x v="2"/>
            <x v="3"/>
            <x v="6"/>
          </reference>
        </references>
      </pivotArea>
    </format>
    <format dxfId="9779">
      <pivotArea dataOnly="0" labelOnly="1" outline="0" fieldPosition="0">
        <references count="3">
          <reference field="1" count="1" selected="0">
            <x v="10"/>
          </reference>
          <reference field="2" count="1" selected="0">
            <x v="10"/>
          </reference>
          <reference field="5" count="1">
            <x v="5"/>
          </reference>
        </references>
      </pivotArea>
    </format>
    <format dxfId="9778">
      <pivotArea dataOnly="0" labelOnly="1" outline="0" fieldPosition="0">
        <references count="3">
          <reference field="1" count="1" selected="0">
            <x v="12"/>
          </reference>
          <reference field="2" count="1" selected="0">
            <x v="5"/>
          </reference>
          <reference field="5" count="3">
            <x v="1"/>
            <x v="2"/>
            <x v="3"/>
          </reference>
        </references>
      </pivotArea>
    </format>
    <format dxfId="9777">
      <pivotArea dataOnly="0" labelOnly="1" outline="0" fieldPosition="0">
        <references count="3">
          <reference field="1" count="1" selected="0">
            <x v="13"/>
          </reference>
          <reference field="2" count="1" selected="0">
            <x v="10"/>
          </reference>
          <reference field="5" count="2">
            <x v="0"/>
            <x v="5"/>
          </reference>
        </references>
      </pivotArea>
    </format>
    <format dxfId="9776">
      <pivotArea dataOnly="0" labelOnly="1" outline="0" fieldPosition="0">
        <references count="3">
          <reference field="1" count="1" selected="0">
            <x v="15"/>
          </reference>
          <reference field="2" count="1" selected="0">
            <x v="5"/>
          </reference>
          <reference field="5" count="3">
            <x v="2"/>
            <x v="3"/>
            <x v="4"/>
          </reference>
        </references>
      </pivotArea>
    </format>
    <format dxfId="9775">
      <pivotArea dataOnly="0" labelOnly="1" outline="0" fieldPosition="0">
        <references count="3">
          <reference field="1" count="1" selected="0">
            <x v="16"/>
          </reference>
          <reference field="2" count="1" selected="0">
            <x v="5"/>
          </reference>
          <reference field="5" count="3">
            <x v="2"/>
            <x v="3"/>
            <x v="4"/>
          </reference>
        </references>
      </pivotArea>
    </format>
    <format dxfId="9774">
      <pivotArea dataOnly="0" labelOnly="1" outline="0" fieldPosition="0">
        <references count="3">
          <reference field="1" count="1" selected="0">
            <x v="17"/>
          </reference>
          <reference field="2" count="1" selected="0">
            <x v="4"/>
          </reference>
          <reference field="5" count="1">
            <x v="5"/>
          </reference>
        </references>
      </pivotArea>
    </format>
    <format dxfId="9773">
      <pivotArea dataOnly="0" labelOnly="1" outline="0" fieldPosition="0">
        <references count="3">
          <reference field="1" count="1" selected="0">
            <x v="17"/>
          </reference>
          <reference field="2" count="1" selected="0">
            <x v="5"/>
          </reference>
          <reference field="5" count="2">
            <x v="6"/>
            <x v="7"/>
          </reference>
        </references>
      </pivotArea>
    </format>
    <format dxfId="9772">
      <pivotArea dataOnly="0" labelOnly="1" outline="0" fieldPosition="0">
        <references count="3">
          <reference field="1" count="1" selected="0">
            <x v="18"/>
          </reference>
          <reference field="2" count="1" selected="0">
            <x v="3"/>
          </reference>
          <reference field="5" count="2">
            <x v="2"/>
            <x v="7"/>
          </reference>
        </references>
      </pivotArea>
    </format>
    <format dxfId="9771">
      <pivotArea dataOnly="0" labelOnly="1" outline="0" fieldPosition="0">
        <references count="3">
          <reference field="1" count="1" selected="0">
            <x v="19"/>
          </reference>
          <reference field="2" count="1" selected="0">
            <x v="3"/>
          </reference>
          <reference field="5" count="1">
            <x v="1"/>
          </reference>
        </references>
      </pivotArea>
    </format>
    <format dxfId="9770">
      <pivotArea dataOnly="0" labelOnly="1" outline="0" fieldPosition="0">
        <references count="3">
          <reference field="1" count="1" selected="0">
            <x v="19"/>
          </reference>
          <reference field="2" count="1" selected="0">
            <x v="6"/>
          </reference>
          <reference field="5" count="2">
            <x v="5"/>
            <x v="7"/>
          </reference>
        </references>
      </pivotArea>
    </format>
    <format dxfId="9769">
      <pivotArea dataOnly="0" labelOnly="1" outline="0" fieldPosition="0">
        <references count="3">
          <reference field="1" count="1" selected="0">
            <x v="19"/>
          </reference>
          <reference field="2" count="1" selected="0">
            <x v="10"/>
          </reference>
          <reference field="5" count="2">
            <x v="4"/>
            <x v="7"/>
          </reference>
        </references>
      </pivotArea>
    </format>
    <format dxfId="9768">
      <pivotArea dataOnly="0" labelOnly="1" outline="0" fieldPosition="0">
        <references count="3">
          <reference field="1" count="1" selected="0">
            <x v="21"/>
          </reference>
          <reference field="2" count="1" selected="0">
            <x v="5"/>
          </reference>
          <reference field="5" count="2">
            <x v="2"/>
            <x v="5"/>
          </reference>
        </references>
      </pivotArea>
    </format>
    <format dxfId="9767">
      <pivotArea dataOnly="0" labelOnly="1" outline="0" fieldPosition="0">
        <references count="3">
          <reference field="1" count="1" selected="0">
            <x v="21"/>
          </reference>
          <reference field="2" count="1" selected="0">
            <x v="6"/>
          </reference>
          <reference field="5" count="1">
            <x v="7"/>
          </reference>
        </references>
      </pivotArea>
    </format>
    <format dxfId="9766">
      <pivotArea dataOnly="0" labelOnly="1" outline="0" fieldPosition="0">
        <references count="3">
          <reference field="1" count="1" selected="0">
            <x v="25"/>
          </reference>
          <reference field="2" count="1" selected="0">
            <x v="10"/>
          </reference>
          <reference field="5" count="1">
            <x v="5"/>
          </reference>
        </references>
      </pivotArea>
    </format>
    <format dxfId="9765">
      <pivotArea dataOnly="0" labelOnly="1" outline="0" fieldPosition="0">
        <references count="3">
          <reference field="1" count="1" selected="0">
            <x v="27"/>
          </reference>
          <reference field="2" count="1" selected="0">
            <x v="10"/>
          </reference>
          <reference field="5" count="1">
            <x v="4"/>
          </reference>
        </references>
      </pivotArea>
    </format>
    <format dxfId="9764">
      <pivotArea dataOnly="0" labelOnly="1" outline="0" fieldPosition="0">
        <references count="3">
          <reference field="1" count="1" selected="0">
            <x v="28"/>
          </reference>
          <reference field="2" count="1" selected="0">
            <x v="5"/>
          </reference>
          <reference field="5" count="1">
            <x v="2"/>
          </reference>
        </references>
      </pivotArea>
    </format>
    <format dxfId="9763">
      <pivotArea dataOnly="0" labelOnly="1" outline="0" fieldPosition="0">
        <references count="3">
          <reference field="1" count="1" selected="0">
            <x v="28"/>
          </reference>
          <reference field="2" count="1" selected="0">
            <x v="7"/>
          </reference>
          <reference field="5" count="1">
            <x v="7"/>
          </reference>
        </references>
      </pivotArea>
    </format>
    <format dxfId="9762">
      <pivotArea dataOnly="0" labelOnly="1" outline="0" fieldPosition="0">
        <references count="3">
          <reference field="1" count="1" selected="0">
            <x v="29"/>
          </reference>
          <reference field="2" count="1" selected="0">
            <x v="2"/>
          </reference>
          <reference field="5" count="5">
            <x v="0"/>
            <x v="5"/>
            <x v="7"/>
            <x v="8"/>
            <x v="12"/>
          </reference>
        </references>
      </pivotArea>
    </format>
    <format dxfId="9761">
      <pivotArea dataOnly="0" labelOnly="1" outline="0" fieldPosition="0">
        <references count="3">
          <reference field="1" count="1" selected="0">
            <x v="29"/>
          </reference>
          <reference field="2" count="1" selected="0">
            <x v="16"/>
          </reference>
          <reference field="5" count="2">
            <x v="0"/>
            <x v="12"/>
          </reference>
        </references>
      </pivotArea>
    </format>
    <format dxfId="9760">
      <pivotArea dataOnly="0" labelOnly="1" outline="0" fieldPosition="0">
        <references count="3">
          <reference field="1" count="1" selected="0">
            <x v="30"/>
          </reference>
          <reference field="2" count="1" selected="0">
            <x v="0"/>
          </reference>
          <reference field="5" count="3">
            <x v="8"/>
            <x v="10"/>
            <x v="11"/>
          </reference>
        </references>
      </pivotArea>
    </format>
    <format dxfId="9759">
      <pivotArea dataOnly="0" labelOnly="1" outline="0" fieldPosition="0">
        <references count="3">
          <reference field="1" count="1" selected="0">
            <x v="30"/>
          </reference>
          <reference field="2" count="1" selected="0">
            <x v="14"/>
          </reference>
          <reference field="5" count="2">
            <x v="10"/>
            <x v="11"/>
          </reference>
        </references>
      </pivotArea>
    </format>
    <format dxfId="9758">
      <pivotArea dataOnly="0" labelOnly="1" outline="0" fieldPosition="0">
        <references count="3">
          <reference field="1" count="1" selected="0">
            <x v="31"/>
          </reference>
          <reference field="2" count="1" selected="0">
            <x v="0"/>
          </reference>
          <reference field="5" count="1">
            <x v="8"/>
          </reference>
        </references>
      </pivotArea>
    </format>
    <format dxfId="9757">
      <pivotArea dataOnly="0" labelOnly="1" outline="0" fieldPosition="0">
        <references count="3">
          <reference field="1" count="1" selected="0">
            <x v="32"/>
          </reference>
          <reference field="2" count="1" selected="0">
            <x v="0"/>
          </reference>
          <reference field="5" count="2">
            <x v="11"/>
            <x v="12"/>
          </reference>
        </references>
      </pivotArea>
    </format>
    <format dxfId="9756">
      <pivotArea dataOnly="0" labelOnly="1" outline="0" fieldPosition="0">
        <references count="3">
          <reference field="1" count="1" selected="0">
            <x v="32"/>
          </reference>
          <reference field="2" count="1" selected="0">
            <x v="14"/>
          </reference>
          <reference field="5" count="1">
            <x v="11"/>
          </reference>
        </references>
      </pivotArea>
    </format>
    <format dxfId="9755">
      <pivotArea dataOnly="0" labelOnly="1" outline="0" fieldPosition="0">
        <references count="3">
          <reference field="1" count="1" selected="0">
            <x v="33"/>
          </reference>
          <reference field="2" count="1" selected="0">
            <x v="1"/>
          </reference>
          <reference field="5" count="1">
            <x v="8"/>
          </reference>
        </references>
      </pivotArea>
    </format>
    <format dxfId="9754">
      <pivotArea dataOnly="0" labelOnly="1" outline="0" fieldPosition="0">
        <references count="3">
          <reference field="1" count="1" selected="0">
            <x v="35"/>
          </reference>
          <reference field="2" count="1" selected="0">
            <x v="13"/>
          </reference>
          <reference field="5" count="1">
            <x v="9"/>
          </reference>
        </references>
      </pivotArea>
    </format>
    <format dxfId="9753">
      <pivotArea dataOnly="0" labelOnly="1" outline="0" fieldPosition="0">
        <references count="3">
          <reference field="1" count="1" selected="0">
            <x v="36"/>
          </reference>
          <reference field="2" count="1" selected="0">
            <x v="0"/>
          </reference>
          <reference field="5" count="1">
            <x v="10"/>
          </reference>
        </references>
      </pivotArea>
    </format>
    <format dxfId="9752">
      <pivotArea dataOnly="0" labelOnly="1" outline="0" fieldPosition="0">
        <references count="3">
          <reference field="1" count="1" selected="0">
            <x v="37"/>
          </reference>
          <reference field="2" count="1" selected="0">
            <x v="10"/>
          </reference>
          <reference field="5" count="2">
            <x v="0"/>
            <x v="7"/>
          </reference>
        </references>
      </pivotArea>
    </format>
    <format dxfId="9751">
      <pivotArea dataOnly="0" labelOnly="1" outline="0" fieldPosition="0">
        <references count="3">
          <reference field="1" count="1" selected="0">
            <x v="38"/>
          </reference>
          <reference field="2" count="1" selected="0">
            <x v="3"/>
          </reference>
          <reference field="5" count="1">
            <x v="12"/>
          </reference>
        </references>
      </pivotArea>
    </format>
    <format dxfId="9750">
      <pivotArea dataOnly="0" labelOnly="1" outline="0" fieldPosition="0">
        <references count="3">
          <reference field="1" count="1" selected="0">
            <x v="38"/>
          </reference>
          <reference field="2" count="1" selected="0">
            <x v="5"/>
          </reference>
          <reference field="5" count="2">
            <x v="4"/>
            <x v="7"/>
          </reference>
        </references>
      </pivotArea>
    </format>
    <format dxfId="9749">
      <pivotArea dataOnly="0" labelOnly="1" outline="0" fieldPosition="0">
        <references count="3">
          <reference field="1" count="1" selected="0">
            <x v="38"/>
          </reference>
          <reference field="2" count="1" selected="0">
            <x v="6"/>
          </reference>
          <reference field="5" count="1">
            <x v="12"/>
          </reference>
        </references>
      </pivotArea>
    </format>
    <format dxfId="9748">
      <pivotArea dataOnly="0" labelOnly="1" outline="0" fieldPosition="0">
        <references count="3">
          <reference field="1" count="1" selected="0">
            <x v="39"/>
          </reference>
          <reference field="2" count="1" selected="0">
            <x v="6"/>
          </reference>
          <reference field="5" count="1">
            <x v="7"/>
          </reference>
        </references>
      </pivotArea>
    </format>
    <format dxfId="9747">
      <pivotArea dataOnly="0" labelOnly="1" outline="0" fieldPosition="0">
        <references count="3">
          <reference field="1" count="1" selected="0">
            <x v="41"/>
          </reference>
          <reference field="2" count="1" selected="0">
            <x v="0"/>
          </reference>
          <reference field="5" count="1">
            <x v="8"/>
          </reference>
        </references>
      </pivotArea>
    </format>
    <format dxfId="9746">
      <pivotArea dataOnly="0" labelOnly="1" outline="0" fieldPosition="0">
        <references count="3">
          <reference field="1" count="1" selected="0">
            <x v="42"/>
          </reference>
          <reference field="2" count="1" selected="0">
            <x v="10"/>
          </reference>
          <reference field="5" count="1">
            <x v="6"/>
          </reference>
        </references>
      </pivotArea>
    </format>
    <format dxfId="9745">
      <pivotArea dataOnly="0" labelOnly="1" outline="0" fieldPosition="0">
        <references count="3">
          <reference field="1" count="1" selected="0">
            <x v="45"/>
          </reference>
          <reference field="2" count="1" selected="0">
            <x v="6"/>
          </reference>
          <reference field="5" count="1">
            <x v="1"/>
          </reference>
        </references>
      </pivotArea>
    </format>
    <format dxfId="9744">
      <pivotArea dataOnly="0" labelOnly="1" outline="0" fieldPosition="0">
        <references count="3">
          <reference field="1" count="1" selected="0">
            <x v="47"/>
          </reference>
          <reference field="2" count="1" selected="0">
            <x v="10"/>
          </reference>
          <reference field="5" count="1">
            <x v="5"/>
          </reference>
        </references>
      </pivotArea>
    </format>
    <format dxfId="9743">
      <pivotArea dataOnly="0" labelOnly="1" outline="0" fieldPosition="0">
        <references count="2">
          <reference field="1" count="1" selected="0">
            <x v="0"/>
          </reference>
          <reference field="2" count="2">
            <x v="6"/>
            <x v="10"/>
          </reference>
        </references>
      </pivotArea>
    </format>
    <format dxfId="9742">
      <pivotArea dataOnly="0" labelOnly="1" outline="0" fieldPosition="0">
        <references count="2">
          <reference field="1" count="1" selected="0">
            <x v="1"/>
          </reference>
          <reference field="2" count="1">
            <x v="3"/>
          </reference>
        </references>
      </pivotArea>
    </format>
    <format dxfId="9741">
      <pivotArea dataOnly="0" labelOnly="1" outline="0" fieldPosition="0">
        <references count="2">
          <reference field="1" count="1" selected="0">
            <x v="5"/>
          </reference>
          <reference field="2" count="1">
            <x v="8"/>
          </reference>
        </references>
      </pivotArea>
    </format>
    <format dxfId="9740">
      <pivotArea dataOnly="0" labelOnly="1" outline="0" fieldPosition="0">
        <references count="2">
          <reference field="1" count="1" selected="0">
            <x v="6"/>
          </reference>
          <reference field="2" count="1">
            <x v="5"/>
          </reference>
        </references>
      </pivotArea>
    </format>
    <format dxfId="9739">
      <pivotArea dataOnly="0" labelOnly="1" outline="0" fieldPosition="0">
        <references count="2">
          <reference field="1" count="1" selected="0">
            <x v="7"/>
          </reference>
          <reference field="2" count="2">
            <x v="4"/>
            <x v="5"/>
          </reference>
        </references>
      </pivotArea>
    </format>
    <format dxfId="9738">
      <pivotArea dataOnly="0" labelOnly="1" outline="0" fieldPosition="0">
        <references count="2">
          <reference field="1" count="1" selected="0">
            <x v="8"/>
          </reference>
          <reference field="2" count="1">
            <x v="3"/>
          </reference>
        </references>
      </pivotArea>
    </format>
    <format dxfId="9737">
      <pivotArea dataOnly="0" labelOnly="1" outline="0" fieldPosition="0">
        <references count="2">
          <reference field="1" count="1" selected="0">
            <x v="9"/>
          </reference>
          <reference field="2" count="1">
            <x v="5"/>
          </reference>
        </references>
      </pivotArea>
    </format>
    <format dxfId="9736">
      <pivotArea dataOnly="0" labelOnly="1" outline="0" fieldPosition="0">
        <references count="2">
          <reference field="1" count="1" selected="0">
            <x v="10"/>
          </reference>
          <reference field="2" count="1">
            <x v="10"/>
          </reference>
        </references>
      </pivotArea>
    </format>
    <format dxfId="9735">
      <pivotArea dataOnly="0" labelOnly="1" outline="0" fieldPosition="0">
        <references count="2">
          <reference field="1" count="1" selected="0">
            <x v="12"/>
          </reference>
          <reference field="2" count="1">
            <x v="5"/>
          </reference>
        </references>
      </pivotArea>
    </format>
    <format dxfId="9734">
      <pivotArea dataOnly="0" labelOnly="1" outline="0" fieldPosition="0">
        <references count="2">
          <reference field="1" count="1" selected="0">
            <x v="13"/>
          </reference>
          <reference field="2" count="1">
            <x v="10"/>
          </reference>
        </references>
      </pivotArea>
    </format>
    <format dxfId="9733">
      <pivotArea dataOnly="0" labelOnly="1" outline="0" fieldPosition="0">
        <references count="2">
          <reference field="1" count="1" selected="0">
            <x v="15"/>
          </reference>
          <reference field="2" count="1">
            <x v="5"/>
          </reference>
        </references>
      </pivotArea>
    </format>
    <format dxfId="9732">
      <pivotArea dataOnly="0" labelOnly="1" outline="0" fieldPosition="0">
        <references count="2">
          <reference field="1" count="1" selected="0">
            <x v="17"/>
          </reference>
          <reference field="2" count="2">
            <x v="4"/>
            <x v="5"/>
          </reference>
        </references>
      </pivotArea>
    </format>
    <format dxfId="9731">
      <pivotArea dataOnly="0" labelOnly="1" outline="0" fieldPosition="0">
        <references count="2">
          <reference field="1" count="1" selected="0">
            <x v="18"/>
          </reference>
          <reference field="2" count="2">
            <x v="3"/>
            <x v="6"/>
          </reference>
        </references>
      </pivotArea>
    </format>
    <format dxfId="9730">
      <pivotArea dataOnly="0" labelOnly="1" outline="0" fieldPosition="0">
        <references count="2">
          <reference field="1" count="1" selected="0">
            <x v="19"/>
          </reference>
          <reference field="2" count="3">
            <x v="3"/>
            <x v="6"/>
            <x v="10"/>
          </reference>
        </references>
      </pivotArea>
    </format>
    <format dxfId="9729">
      <pivotArea dataOnly="0" labelOnly="1" outline="0" fieldPosition="0">
        <references count="2">
          <reference field="1" count="1" selected="0">
            <x v="21"/>
          </reference>
          <reference field="2" count="2">
            <x v="5"/>
            <x v="6"/>
          </reference>
        </references>
      </pivotArea>
    </format>
    <format dxfId="9728">
      <pivotArea dataOnly="0" labelOnly="1" outline="0" fieldPosition="0">
        <references count="2">
          <reference field="1" count="1" selected="0">
            <x v="22"/>
          </reference>
          <reference field="2" count="1">
            <x v="8"/>
          </reference>
        </references>
      </pivotArea>
    </format>
    <format dxfId="9727">
      <pivotArea dataOnly="0" labelOnly="1" outline="0" fieldPosition="0">
        <references count="2">
          <reference field="1" count="1" selected="0">
            <x v="23"/>
          </reference>
          <reference field="2" count="1">
            <x v="6"/>
          </reference>
        </references>
      </pivotArea>
    </format>
    <format dxfId="9726">
      <pivotArea dataOnly="0" labelOnly="1" outline="0" fieldPosition="0">
        <references count="2">
          <reference field="1" count="1" selected="0">
            <x v="24"/>
          </reference>
          <reference field="2" count="1">
            <x v="12"/>
          </reference>
        </references>
      </pivotArea>
    </format>
    <format dxfId="9725">
      <pivotArea dataOnly="0" labelOnly="1" outline="0" fieldPosition="0">
        <references count="2">
          <reference field="1" count="1" selected="0">
            <x v="25"/>
          </reference>
          <reference field="2" count="1">
            <x v="10"/>
          </reference>
        </references>
      </pivotArea>
    </format>
    <format dxfId="9724">
      <pivotArea dataOnly="0" labelOnly="1" outline="0" fieldPosition="0">
        <references count="2">
          <reference field="1" count="1" selected="0">
            <x v="28"/>
          </reference>
          <reference field="2" count="2">
            <x v="5"/>
            <x v="7"/>
          </reference>
        </references>
      </pivotArea>
    </format>
    <format dxfId="9723">
      <pivotArea dataOnly="0" labelOnly="1" outline="0" fieldPosition="0">
        <references count="2">
          <reference field="1" count="1" selected="0">
            <x v="29"/>
          </reference>
          <reference field="2" count="2">
            <x v="2"/>
            <x v="16"/>
          </reference>
        </references>
      </pivotArea>
    </format>
    <format dxfId="9722">
      <pivotArea dataOnly="0" labelOnly="1" outline="0" fieldPosition="0">
        <references count="2">
          <reference field="1" count="1" selected="0">
            <x v="30"/>
          </reference>
          <reference field="2" count="2">
            <x v="0"/>
            <x v="14"/>
          </reference>
        </references>
      </pivotArea>
    </format>
    <format dxfId="9721">
      <pivotArea dataOnly="0" labelOnly="1" outline="0" fieldPosition="0">
        <references count="2">
          <reference field="1" count="1" selected="0">
            <x v="31"/>
          </reference>
          <reference field="2" count="1">
            <x v="0"/>
          </reference>
        </references>
      </pivotArea>
    </format>
    <format dxfId="9720">
      <pivotArea dataOnly="0" labelOnly="1" outline="0" fieldPosition="0">
        <references count="2">
          <reference field="1" count="1" selected="0">
            <x v="32"/>
          </reference>
          <reference field="2" count="1">
            <x v="14"/>
          </reference>
        </references>
      </pivotArea>
    </format>
    <format dxfId="9719">
      <pivotArea dataOnly="0" labelOnly="1" outline="0" fieldPosition="0">
        <references count="2">
          <reference field="1" count="1" selected="0">
            <x v="33"/>
          </reference>
          <reference field="2" count="1">
            <x v="1"/>
          </reference>
        </references>
      </pivotArea>
    </format>
    <format dxfId="9718">
      <pivotArea dataOnly="0" labelOnly="1" outline="0" fieldPosition="0">
        <references count="2">
          <reference field="1" count="1" selected="0">
            <x v="34"/>
          </reference>
          <reference field="2" count="1">
            <x v="0"/>
          </reference>
        </references>
      </pivotArea>
    </format>
    <format dxfId="9717">
      <pivotArea dataOnly="0" labelOnly="1" outline="0" fieldPosition="0">
        <references count="2">
          <reference field="1" count="1" selected="0">
            <x v="35"/>
          </reference>
          <reference field="2" count="1">
            <x v="13"/>
          </reference>
        </references>
      </pivotArea>
    </format>
    <format dxfId="9716">
      <pivotArea dataOnly="0" labelOnly="1" outline="0" fieldPosition="0">
        <references count="2">
          <reference field="1" count="1" selected="0">
            <x v="36"/>
          </reference>
          <reference field="2" count="2">
            <x v="0"/>
            <x v="15"/>
          </reference>
        </references>
      </pivotArea>
    </format>
    <format dxfId="9715">
      <pivotArea dataOnly="0" labelOnly="1" outline="0" fieldPosition="0">
        <references count="2">
          <reference field="1" count="1" selected="0">
            <x v="37"/>
          </reference>
          <reference field="2" count="1">
            <x v="10"/>
          </reference>
        </references>
      </pivotArea>
    </format>
    <format dxfId="9714">
      <pivotArea dataOnly="0" labelOnly="1" outline="0" fieldPosition="0">
        <references count="2">
          <reference field="1" count="1" selected="0">
            <x v="38"/>
          </reference>
          <reference field="2" count="3">
            <x v="3"/>
            <x v="5"/>
            <x v="6"/>
          </reference>
        </references>
      </pivotArea>
    </format>
    <format dxfId="9713">
      <pivotArea dataOnly="0" labelOnly="1" outline="0" fieldPosition="0">
        <references count="2">
          <reference field="1" count="1" selected="0">
            <x v="41"/>
          </reference>
          <reference field="2" count="1">
            <x v="0"/>
          </reference>
        </references>
      </pivotArea>
    </format>
    <format dxfId="9712">
      <pivotArea dataOnly="0" labelOnly="1" outline="0" fieldPosition="0">
        <references count="2">
          <reference field="1" count="1" selected="0">
            <x v="42"/>
          </reference>
          <reference field="2" count="1">
            <x v="10"/>
          </reference>
        </references>
      </pivotArea>
    </format>
    <format dxfId="9711">
      <pivotArea dataOnly="0" labelOnly="1" outline="0" fieldPosition="0">
        <references count="2">
          <reference field="1" count="1" selected="0">
            <x v="44"/>
          </reference>
          <reference field="2" count="1">
            <x v="6"/>
          </reference>
        </references>
      </pivotArea>
    </format>
    <format dxfId="9710">
      <pivotArea dataOnly="0" labelOnly="1" outline="0" fieldPosition="0">
        <references count="2">
          <reference field="1" count="1" selected="0">
            <x v="47"/>
          </reference>
          <reference field="2" count="1">
            <x v="10"/>
          </reference>
        </references>
      </pivotArea>
    </format>
    <format dxfId="9709">
      <pivotArea dataOnly="0" labelOnly="1" outline="0" fieldPosition="0">
        <references count="2">
          <reference field="1" count="1" selected="0">
            <x v="48"/>
          </reference>
          <reference field="2" count="1">
            <x v="11"/>
          </reference>
        </references>
      </pivotArea>
    </format>
    <format dxfId="9708">
      <pivotArea dataOnly="0" labelOnly="1" outline="0" fieldPosition="0">
        <references count="4">
          <reference field="1" count="1" selected="0">
            <x v="0"/>
          </reference>
          <reference field="2" count="1" selected="0">
            <x v="6"/>
          </reference>
          <reference field="5" count="1" selected="0">
            <x v="1"/>
          </reference>
          <reference field="23" count="2">
            <x v="1"/>
            <x v="2"/>
          </reference>
        </references>
      </pivotArea>
    </format>
    <format dxfId="9707">
      <pivotArea dataOnly="0" labelOnly="1" outline="0" fieldPosition="0">
        <references count="4">
          <reference field="1" count="1" selected="0">
            <x v="0"/>
          </reference>
          <reference field="2" count="1" selected="0">
            <x v="6"/>
          </reference>
          <reference field="5" count="1" selected="0">
            <x v="5"/>
          </reference>
          <reference field="23" count="1">
            <x v="0"/>
          </reference>
        </references>
      </pivotArea>
    </format>
    <format dxfId="9706">
      <pivotArea dataOnly="0" labelOnly="1" outline="0" fieldPosition="0">
        <references count="4">
          <reference field="1" count="1" selected="0">
            <x v="0"/>
          </reference>
          <reference field="2" count="1" selected="0">
            <x v="6"/>
          </reference>
          <reference field="5" count="1" selected="0">
            <x v="6"/>
          </reference>
          <reference field="23" count="2">
            <x v="1"/>
            <x v="2"/>
          </reference>
        </references>
      </pivotArea>
    </format>
    <format dxfId="9705">
      <pivotArea dataOnly="0" labelOnly="1" outline="0" fieldPosition="0">
        <references count="4">
          <reference field="1" count="1" selected="0">
            <x v="0"/>
          </reference>
          <reference field="2" count="1" selected="0">
            <x v="6"/>
          </reference>
          <reference field="5" count="1" selected="0">
            <x v="12"/>
          </reference>
          <reference field="23" count="1">
            <x v="1"/>
          </reference>
        </references>
      </pivotArea>
    </format>
    <format dxfId="9704">
      <pivotArea dataOnly="0" labelOnly="1" outline="0" fieldPosition="0">
        <references count="4">
          <reference field="1" count="1" selected="0">
            <x v="0"/>
          </reference>
          <reference field="2" count="1" selected="0">
            <x v="10"/>
          </reference>
          <reference field="5" count="1" selected="0">
            <x v="2"/>
          </reference>
          <reference field="23" count="1">
            <x v="2"/>
          </reference>
        </references>
      </pivotArea>
    </format>
    <format dxfId="9703">
      <pivotArea dataOnly="0" labelOnly="1" outline="0" fieldPosition="0">
        <references count="4">
          <reference field="1" count="1" selected="0">
            <x v="0"/>
          </reference>
          <reference field="2" count="1" selected="0">
            <x v="10"/>
          </reference>
          <reference field="5" count="1" selected="0">
            <x v="5"/>
          </reference>
          <reference field="23" count="1">
            <x v="0"/>
          </reference>
        </references>
      </pivotArea>
    </format>
    <format dxfId="9702">
      <pivotArea dataOnly="0" labelOnly="1" outline="0" fieldPosition="0">
        <references count="4">
          <reference field="1" count="1" selected="0">
            <x v="0"/>
          </reference>
          <reference field="2" count="1" selected="0">
            <x v="10"/>
          </reference>
          <reference field="5" count="1" selected="0">
            <x v="6"/>
          </reference>
          <reference field="23" count="2">
            <x v="1"/>
            <x v="2"/>
          </reference>
        </references>
      </pivotArea>
    </format>
    <format dxfId="9701">
      <pivotArea dataOnly="0" labelOnly="1" outline="0" fieldPosition="0">
        <references count="4">
          <reference field="1" count="1" selected="0">
            <x v="0"/>
          </reference>
          <reference field="2" count="1" selected="0">
            <x v="10"/>
          </reference>
          <reference field="5" count="1" selected="0">
            <x v="12"/>
          </reference>
          <reference field="23" count="1">
            <x v="1"/>
          </reference>
        </references>
      </pivotArea>
    </format>
    <format dxfId="9700">
      <pivotArea dataOnly="0" labelOnly="1" outline="0" fieldPosition="0">
        <references count="4">
          <reference field="1" count="1" selected="0">
            <x v="1"/>
          </reference>
          <reference field="2" count="1" selected="0">
            <x v="3"/>
          </reference>
          <reference field="5" count="1" selected="0">
            <x v="1"/>
          </reference>
          <reference field="23" count="1">
            <x v="2"/>
          </reference>
        </references>
      </pivotArea>
    </format>
    <format dxfId="9699">
      <pivotArea dataOnly="0" labelOnly="1" outline="0" fieldPosition="0">
        <references count="4">
          <reference field="1" count="1" selected="0">
            <x v="1"/>
          </reference>
          <reference field="2" count="1" selected="0">
            <x v="3"/>
          </reference>
          <reference field="5" count="1" selected="0">
            <x v="6"/>
          </reference>
          <reference field="23" count="2">
            <x v="1"/>
            <x v="2"/>
          </reference>
        </references>
      </pivotArea>
    </format>
    <format dxfId="9698">
      <pivotArea dataOnly="0" labelOnly="1" outline="0" fieldPosition="0">
        <references count="4">
          <reference field="1" count="1" selected="0">
            <x v="1"/>
          </reference>
          <reference field="2" count="1" selected="0">
            <x v="3"/>
          </reference>
          <reference field="5" count="1" selected="0">
            <x v="12"/>
          </reference>
          <reference field="23" count="1">
            <x v="1"/>
          </reference>
        </references>
      </pivotArea>
    </format>
    <format dxfId="9697">
      <pivotArea dataOnly="0" labelOnly="1" outline="0" fieldPosition="0">
        <references count="4">
          <reference field="1" count="1" selected="0">
            <x v="2"/>
          </reference>
          <reference field="2" count="1" selected="0">
            <x v="3"/>
          </reference>
          <reference field="5" count="1" selected="0">
            <x v="1"/>
          </reference>
          <reference field="23" count="1">
            <x v="2"/>
          </reference>
        </references>
      </pivotArea>
    </format>
    <format dxfId="9696">
      <pivotArea dataOnly="0" labelOnly="1" outline="0" fieldPosition="0">
        <references count="4">
          <reference field="1" count="1" selected="0">
            <x v="2"/>
          </reference>
          <reference field="2" count="1" selected="0">
            <x v="3"/>
          </reference>
          <reference field="5" count="1" selected="0">
            <x v="6"/>
          </reference>
          <reference field="23" count="1">
            <x v="1"/>
          </reference>
        </references>
      </pivotArea>
    </format>
    <format dxfId="9695">
      <pivotArea dataOnly="0" labelOnly="1" outline="0" fieldPosition="0">
        <references count="4">
          <reference field="1" count="1" selected="0">
            <x v="3"/>
          </reference>
          <reference field="2" count="1" selected="0">
            <x v="3"/>
          </reference>
          <reference field="5" count="1" selected="0">
            <x v="1"/>
          </reference>
          <reference field="23" count="1">
            <x v="2"/>
          </reference>
        </references>
      </pivotArea>
    </format>
    <format dxfId="9694">
      <pivotArea dataOnly="0" labelOnly="1" outline="0" fieldPosition="0">
        <references count="4">
          <reference field="1" count="1" selected="0">
            <x v="4"/>
          </reference>
          <reference field="2" count="1" selected="0">
            <x v="3"/>
          </reference>
          <reference field="5" count="1" selected="0">
            <x v="1"/>
          </reference>
          <reference field="23" count="2">
            <x v="1"/>
            <x v="2"/>
          </reference>
        </references>
      </pivotArea>
    </format>
    <format dxfId="9693">
      <pivotArea dataOnly="0" labelOnly="1" outline="0" fieldPosition="0">
        <references count="4">
          <reference field="1" count="1" selected="0">
            <x v="7"/>
          </reference>
          <reference field="2" count="1" selected="0">
            <x v="4"/>
          </reference>
          <reference field="5" count="1" selected="0">
            <x v="5"/>
          </reference>
          <reference field="23" count="1">
            <x v="0"/>
          </reference>
        </references>
      </pivotArea>
    </format>
    <format dxfId="9692">
      <pivotArea dataOnly="0" labelOnly="1" outline="0" fieldPosition="0">
        <references count="4">
          <reference field="1" count="1" selected="0">
            <x v="7"/>
          </reference>
          <reference field="2" count="1" selected="0">
            <x v="5"/>
          </reference>
          <reference field="5" count="1" selected="0">
            <x v="0"/>
          </reference>
          <reference field="23" count="1">
            <x v="2"/>
          </reference>
        </references>
      </pivotArea>
    </format>
    <format dxfId="9691">
      <pivotArea dataOnly="0" labelOnly="1" outline="0" fieldPosition="0">
        <references count="4">
          <reference field="1" count="1" selected="0">
            <x v="9"/>
          </reference>
          <reference field="2" count="1" selected="0">
            <x v="5"/>
          </reference>
          <reference field="5" count="1" selected="0">
            <x v="1"/>
          </reference>
          <reference field="23" count="2">
            <x v="1"/>
            <x v="2"/>
          </reference>
        </references>
      </pivotArea>
    </format>
    <format dxfId="9690">
      <pivotArea dataOnly="0" labelOnly="1" outline="0" fieldPosition="0">
        <references count="4">
          <reference field="1" count="1" selected="0">
            <x v="9"/>
          </reference>
          <reference field="2" count="1" selected="0">
            <x v="5"/>
          </reference>
          <reference field="5" count="1" selected="0">
            <x v="6"/>
          </reference>
          <reference field="23" count="2">
            <x v="1"/>
            <x v="2"/>
          </reference>
        </references>
      </pivotArea>
    </format>
    <format dxfId="9689">
      <pivotArea dataOnly="0" labelOnly="1" outline="0" fieldPosition="0">
        <references count="4">
          <reference field="1" count="1" selected="0">
            <x v="10"/>
          </reference>
          <reference field="2" count="1" selected="0">
            <x v="10"/>
          </reference>
          <reference field="5" count="1" selected="0">
            <x v="5"/>
          </reference>
          <reference field="23" count="1">
            <x v="0"/>
          </reference>
        </references>
      </pivotArea>
    </format>
    <format dxfId="9688">
      <pivotArea dataOnly="0" labelOnly="1" outline="0" fieldPosition="0">
        <references count="4">
          <reference field="1" count="1" selected="0">
            <x v="12"/>
          </reference>
          <reference field="2" count="1" selected="0">
            <x v="5"/>
          </reference>
          <reference field="5" count="1" selected="0">
            <x v="1"/>
          </reference>
          <reference field="23" count="2">
            <x v="1"/>
            <x v="2"/>
          </reference>
        </references>
      </pivotArea>
    </format>
    <format dxfId="9687">
      <pivotArea dataOnly="0" labelOnly="1" outline="0" fieldPosition="0">
        <references count="4">
          <reference field="1" count="1" selected="0">
            <x v="13"/>
          </reference>
          <reference field="2" count="1" selected="0">
            <x v="10"/>
          </reference>
          <reference field="5" count="1" selected="0">
            <x v="5"/>
          </reference>
          <reference field="23" count="1">
            <x v="0"/>
          </reference>
        </references>
      </pivotArea>
    </format>
    <format dxfId="9686">
      <pivotArea dataOnly="0" labelOnly="1" outline="0" fieldPosition="0">
        <references count="4">
          <reference field="1" count="1" selected="0">
            <x v="15"/>
          </reference>
          <reference field="2" count="1" selected="0">
            <x v="5"/>
          </reference>
          <reference field="5" count="1" selected="0">
            <x v="2"/>
          </reference>
          <reference field="23" count="1">
            <x v="2"/>
          </reference>
        </references>
      </pivotArea>
    </format>
    <format dxfId="9685">
      <pivotArea dataOnly="0" labelOnly="1" outline="0" fieldPosition="0">
        <references count="4">
          <reference field="1" count="1" selected="0">
            <x v="17"/>
          </reference>
          <reference field="2" count="1" selected="0">
            <x v="4"/>
          </reference>
          <reference field="5" count="1" selected="0">
            <x v="5"/>
          </reference>
          <reference field="23" count="1">
            <x v="0"/>
          </reference>
        </references>
      </pivotArea>
    </format>
    <format dxfId="9684">
      <pivotArea dataOnly="0" labelOnly="1" outline="0" fieldPosition="0">
        <references count="4">
          <reference field="1" count="1" selected="0">
            <x v="17"/>
          </reference>
          <reference field="2" count="1" selected="0">
            <x v="5"/>
          </reference>
          <reference field="5" count="1" selected="0">
            <x v="6"/>
          </reference>
          <reference field="23" count="2">
            <x v="1"/>
            <x v="2"/>
          </reference>
        </references>
      </pivotArea>
    </format>
    <format dxfId="9683">
      <pivotArea dataOnly="0" labelOnly="1" outline="0" fieldPosition="0">
        <references count="4">
          <reference field="1" count="1" selected="0">
            <x v="19"/>
          </reference>
          <reference field="2" count="1" selected="0">
            <x v="3"/>
          </reference>
          <reference field="5" count="1" selected="0">
            <x v="1"/>
          </reference>
          <reference field="23" count="2">
            <x v="1"/>
            <x v="2"/>
          </reference>
        </references>
      </pivotArea>
    </format>
    <format dxfId="9682">
      <pivotArea dataOnly="0" labelOnly="1" outline="0" fieldPosition="0">
        <references count="4">
          <reference field="1" count="1" selected="0">
            <x v="19"/>
          </reference>
          <reference field="2" count="1" selected="0">
            <x v="6"/>
          </reference>
          <reference field="5" count="1" selected="0">
            <x v="5"/>
          </reference>
          <reference field="23" count="1">
            <x v="0"/>
          </reference>
        </references>
      </pivotArea>
    </format>
    <format dxfId="9681">
      <pivotArea dataOnly="0" labelOnly="1" outline="0" fieldPosition="0">
        <references count="4">
          <reference field="1" count="1" selected="0">
            <x v="19"/>
          </reference>
          <reference field="2" count="1" selected="0">
            <x v="6"/>
          </reference>
          <reference field="5" count="1" selected="0">
            <x v="7"/>
          </reference>
          <reference field="23" count="1">
            <x v="2"/>
          </reference>
        </references>
      </pivotArea>
    </format>
    <format dxfId="9680">
      <pivotArea dataOnly="0" labelOnly="1" outline="0" fieldPosition="0">
        <references count="4">
          <reference field="1" count="1" selected="0">
            <x v="21"/>
          </reference>
          <reference field="2" count="1" selected="0">
            <x v="5"/>
          </reference>
          <reference field="5" count="1" selected="0">
            <x v="5"/>
          </reference>
          <reference field="23" count="1">
            <x v="0"/>
          </reference>
        </references>
      </pivotArea>
    </format>
    <format dxfId="9679">
      <pivotArea dataOnly="0" labelOnly="1" outline="0" fieldPosition="0">
        <references count="4">
          <reference field="1" count="1" selected="0">
            <x v="21"/>
          </reference>
          <reference field="2" count="1" selected="0">
            <x v="6"/>
          </reference>
          <reference field="5" count="1" selected="0">
            <x v="7"/>
          </reference>
          <reference field="23" count="1">
            <x v="2"/>
          </reference>
        </references>
      </pivotArea>
    </format>
    <format dxfId="9678">
      <pivotArea dataOnly="0" labelOnly="1" outline="0" fieldPosition="0">
        <references count="4">
          <reference field="1" count="1" selected="0">
            <x v="25"/>
          </reference>
          <reference field="2" count="1" selected="0">
            <x v="10"/>
          </reference>
          <reference field="5" count="1" selected="0">
            <x v="5"/>
          </reference>
          <reference field="23" count="1">
            <x v="0"/>
          </reference>
        </references>
      </pivotArea>
    </format>
    <format dxfId="9677">
      <pivotArea dataOnly="0" labelOnly="1" outline="0" fieldPosition="0">
        <references count="4">
          <reference field="1" count="1" selected="0">
            <x v="27"/>
          </reference>
          <reference field="2" count="1" selected="0">
            <x v="10"/>
          </reference>
          <reference field="5" count="1" selected="0">
            <x v="4"/>
          </reference>
          <reference field="23" count="1">
            <x v="2"/>
          </reference>
        </references>
      </pivotArea>
    </format>
    <format dxfId="9676">
      <pivotArea dataOnly="0" labelOnly="1" outline="0" fieldPosition="0">
        <references count="4">
          <reference field="1" count="1" selected="0">
            <x v="29"/>
          </reference>
          <reference field="2" count="1" selected="0">
            <x v="2"/>
          </reference>
          <reference field="5" count="1" selected="0">
            <x v="5"/>
          </reference>
          <reference field="23" count="1">
            <x v="0"/>
          </reference>
        </references>
      </pivotArea>
    </format>
    <format dxfId="9675">
      <pivotArea dataOnly="0" labelOnly="1" outline="0" fieldPosition="0">
        <references count="4">
          <reference field="1" count="1" selected="0">
            <x v="29"/>
          </reference>
          <reference field="2" count="1" selected="0">
            <x v="2"/>
          </reference>
          <reference field="5" count="1" selected="0">
            <x v="7"/>
          </reference>
          <reference field="23" count="1">
            <x v="2"/>
          </reference>
        </references>
      </pivotArea>
    </format>
    <format dxfId="9674">
      <pivotArea dataOnly="0" labelOnly="1" outline="0" fieldPosition="0">
        <references count="4">
          <reference field="1" count="1" selected="0">
            <x v="29"/>
          </reference>
          <reference field="2" count="1" selected="0">
            <x v="2"/>
          </reference>
          <reference field="5" count="1" selected="0">
            <x v="8"/>
          </reference>
          <reference field="23" count="1">
            <x v="0"/>
          </reference>
        </references>
      </pivotArea>
    </format>
    <format dxfId="9673">
      <pivotArea dataOnly="0" labelOnly="1" outline="0" fieldPosition="0">
        <references count="4">
          <reference field="1" count="1" selected="0">
            <x v="29"/>
          </reference>
          <reference field="2" count="1" selected="0">
            <x v="2"/>
          </reference>
          <reference field="5" count="1" selected="0">
            <x v="12"/>
          </reference>
          <reference field="23" count="1">
            <x v="1"/>
          </reference>
        </references>
      </pivotArea>
    </format>
    <format dxfId="9672">
      <pivotArea dataOnly="0" labelOnly="1" outline="0" fieldPosition="0">
        <references count="4">
          <reference field="1" count="1" selected="0">
            <x v="29"/>
          </reference>
          <reference field="2" count="1" selected="0">
            <x v="16"/>
          </reference>
          <reference field="5" count="1" selected="0">
            <x v="0"/>
          </reference>
          <reference field="23" count="1">
            <x v="2"/>
          </reference>
        </references>
      </pivotArea>
    </format>
    <format dxfId="9671">
      <pivotArea dataOnly="0" labelOnly="1" outline="0" fieldPosition="0">
        <references count="4">
          <reference field="1" count="1" selected="0">
            <x v="29"/>
          </reference>
          <reference field="2" count="1" selected="0">
            <x v="16"/>
          </reference>
          <reference field="5" count="1" selected="0">
            <x v="12"/>
          </reference>
          <reference field="23" count="1">
            <x v="1"/>
          </reference>
        </references>
      </pivotArea>
    </format>
    <format dxfId="9670">
      <pivotArea dataOnly="0" labelOnly="1" outline="0" fieldPosition="0">
        <references count="4">
          <reference field="1" count="1" selected="0">
            <x v="30"/>
          </reference>
          <reference field="2" count="1" selected="0">
            <x v="0"/>
          </reference>
          <reference field="5" count="1" selected="0">
            <x v="8"/>
          </reference>
          <reference field="23" count="1">
            <x v="0"/>
          </reference>
        </references>
      </pivotArea>
    </format>
    <format dxfId="9669">
      <pivotArea dataOnly="0" labelOnly="1" outline="0" fieldPosition="0">
        <references count="4">
          <reference field="1" count="1" selected="0">
            <x v="30"/>
          </reference>
          <reference field="2" count="1" selected="0">
            <x v="0"/>
          </reference>
          <reference field="5" count="1" selected="0">
            <x v="11"/>
          </reference>
          <reference field="23" count="1">
            <x v="3"/>
          </reference>
        </references>
      </pivotArea>
    </format>
    <format dxfId="9668">
      <pivotArea dataOnly="0" labelOnly="1" outline="0" fieldPosition="0">
        <references count="4">
          <reference field="1" count="1" selected="0">
            <x v="30"/>
          </reference>
          <reference field="2" count="1" selected="0">
            <x v="14"/>
          </reference>
          <reference field="5" count="1" selected="0">
            <x v="10"/>
          </reference>
          <reference field="23" count="1">
            <x v="0"/>
          </reference>
        </references>
      </pivotArea>
    </format>
    <format dxfId="9667">
      <pivotArea dataOnly="0" labelOnly="1" outline="0" fieldPosition="0">
        <references count="4">
          <reference field="1" count="1" selected="0">
            <x v="30"/>
          </reference>
          <reference field="2" count="1" selected="0">
            <x v="14"/>
          </reference>
          <reference field="5" count="1" selected="0">
            <x v="11"/>
          </reference>
          <reference field="23" count="1">
            <x v="3"/>
          </reference>
        </references>
      </pivotArea>
    </format>
    <format dxfId="9666">
      <pivotArea dataOnly="0" labelOnly="1" outline="0" fieldPosition="0">
        <references count="4">
          <reference field="1" count="1" selected="0">
            <x v="31"/>
          </reference>
          <reference field="2" count="1" selected="0">
            <x v="0"/>
          </reference>
          <reference field="5" count="1" selected="0">
            <x v="8"/>
          </reference>
          <reference field="23" count="1">
            <x v="0"/>
          </reference>
        </references>
      </pivotArea>
    </format>
    <format dxfId="9665">
      <pivotArea dataOnly="0" labelOnly="1" outline="0" fieldPosition="0">
        <references count="4">
          <reference field="1" count="1" selected="0">
            <x v="32"/>
          </reference>
          <reference field="2" count="1" selected="0">
            <x v="0"/>
          </reference>
          <reference field="5" count="1" selected="0">
            <x v="11"/>
          </reference>
          <reference field="23" count="1">
            <x v="3"/>
          </reference>
        </references>
      </pivotArea>
    </format>
    <format dxfId="9664">
      <pivotArea dataOnly="0" labelOnly="1" outline="0" fieldPosition="0">
        <references count="4">
          <reference field="1" count="1" selected="0">
            <x v="32"/>
          </reference>
          <reference field="2" count="1" selected="0">
            <x v="0"/>
          </reference>
          <reference field="5" count="1" selected="0">
            <x v="12"/>
          </reference>
          <reference field="23" count="1">
            <x v="2"/>
          </reference>
        </references>
      </pivotArea>
    </format>
    <format dxfId="9663">
      <pivotArea dataOnly="0" labelOnly="1" outline="0" fieldPosition="0">
        <references count="4">
          <reference field="1" count="1" selected="0">
            <x v="32"/>
          </reference>
          <reference field="2" count="1" selected="0">
            <x v="14"/>
          </reference>
          <reference field="5" count="1" selected="0">
            <x v="11"/>
          </reference>
          <reference field="23" count="1">
            <x v="3"/>
          </reference>
        </references>
      </pivotArea>
    </format>
    <format dxfId="9662">
      <pivotArea dataOnly="0" labelOnly="1" outline="0" fieldPosition="0">
        <references count="4">
          <reference field="1" count="1" selected="0">
            <x v="33"/>
          </reference>
          <reference field="2" count="1" selected="0">
            <x v="1"/>
          </reference>
          <reference field="5" count="1" selected="0">
            <x v="8"/>
          </reference>
          <reference field="23" count="1">
            <x v="0"/>
          </reference>
        </references>
      </pivotArea>
    </format>
    <format dxfId="9661">
      <pivotArea dataOnly="0" labelOnly="1" outline="0" fieldPosition="0">
        <references count="4">
          <reference field="1" count="1" selected="0">
            <x v="35"/>
          </reference>
          <reference field="2" count="1" selected="0">
            <x v="13"/>
          </reference>
          <reference field="5" count="1" selected="0">
            <x v="9"/>
          </reference>
          <reference field="23" count="1">
            <x v="4"/>
          </reference>
        </references>
      </pivotArea>
    </format>
    <format dxfId="9660">
      <pivotArea dataOnly="0" labelOnly="1" outline="0" fieldPosition="0">
        <references count="4">
          <reference field="1" count="1" selected="0">
            <x v="36"/>
          </reference>
          <reference field="2" count="1" selected="0">
            <x v="0"/>
          </reference>
          <reference field="5" count="1" selected="0">
            <x v="10"/>
          </reference>
          <reference field="23" count="1">
            <x v="0"/>
          </reference>
        </references>
      </pivotArea>
    </format>
    <format dxfId="9659">
      <pivotArea dataOnly="0" labelOnly="1" outline="0" fieldPosition="0">
        <references count="4">
          <reference field="1" count="1" selected="0">
            <x v="38"/>
          </reference>
          <reference field="2" count="1" selected="0">
            <x v="3"/>
          </reference>
          <reference field="5" count="1" selected="0">
            <x v="12"/>
          </reference>
          <reference field="23" count="1">
            <x v="1"/>
          </reference>
        </references>
      </pivotArea>
    </format>
    <format dxfId="9658">
      <pivotArea dataOnly="0" labelOnly="1" outline="0" fieldPosition="0">
        <references count="4">
          <reference field="1" count="1" selected="0">
            <x v="38"/>
          </reference>
          <reference field="2" count="1" selected="0">
            <x v="5"/>
          </reference>
          <reference field="5" count="1" selected="0">
            <x v="4"/>
          </reference>
          <reference field="23" count="1">
            <x v="2"/>
          </reference>
        </references>
      </pivotArea>
    </format>
    <format dxfId="9657">
      <pivotArea dataOnly="0" labelOnly="1" outline="0" fieldPosition="0">
        <references count="4">
          <reference field="1" count="1" selected="0">
            <x v="38"/>
          </reference>
          <reference field="2" count="1" selected="0">
            <x v="6"/>
          </reference>
          <reference field="5" count="1" selected="0">
            <x v="12"/>
          </reference>
          <reference field="23" count="2">
            <x v="1"/>
            <x v="2"/>
          </reference>
        </references>
      </pivotArea>
    </format>
    <format dxfId="9656">
      <pivotArea dataOnly="0" labelOnly="1" outline="0" fieldPosition="0">
        <references count="4">
          <reference field="1" count="1" selected="0">
            <x v="41"/>
          </reference>
          <reference field="2" count="1" selected="0">
            <x v="0"/>
          </reference>
          <reference field="5" count="1" selected="0">
            <x v="8"/>
          </reference>
          <reference field="23" count="1">
            <x v="0"/>
          </reference>
        </references>
      </pivotArea>
    </format>
    <format dxfId="9655">
      <pivotArea dataOnly="0" labelOnly="1" outline="0" fieldPosition="0">
        <references count="4">
          <reference field="1" count="1" selected="0">
            <x v="42"/>
          </reference>
          <reference field="2" count="1" selected="0">
            <x v="10"/>
          </reference>
          <reference field="5" count="1" selected="0">
            <x v="6"/>
          </reference>
          <reference field="23" count="2">
            <x v="1"/>
            <x v="2"/>
          </reference>
        </references>
      </pivotArea>
    </format>
    <format dxfId="9654">
      <pivotArea dataOnly="0" labelOnly="1" outline="0" fieldPosition="0">
        <references count="4">
          <reference field="1" count="1" selected="0">
            <x v="44"/>
          </reference>
          <reference field="2" count="1" selected="0">
            <x v="6"/>
          </reference>
          <reference field="5" count="1" selected="0">
            <x v="6"/>
          </reference>
          <reference field="23" count="2">
            <x v="1"/>
            <x v="2"/>
          </reference>
        </references>
      </pivotArea>
    </format>
    <format dxfId="9653">
      <pivotArea dataOnly="0" labelOnly="1" outline="0" fieldPosition="0">
        <references count="4">
          <reference field="1" count="1" selected="0">
            <x v="47"/>
          </reference>
          <reference field="2" count="1" selected="0">
            <x v="10"/>
          </reference>
          <reference field="5" count="1" selected="0">
            <x v="5"/>
          </reference>
          <reference field="23" count="1">
            <x v="0"/>
          </reference>
        </references>
      </pivotArea>
    </format>
    <format dxfId="9652">
      <pivotArea dataOnly="0" labelOnly="1" outline="0" fieldPosition="0">
        <references count="7">
          <reference field="1" count="1" selected="0">
            <x v="0"/>
          </reference>
          <reference field="2" count="1" selected="0">
            <x v="6"/>
          </reference>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9651">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9650">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9649">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9648">
      <pivotArea dataOnly="0" labelOnly="1" outline="0" fieldPosition="0">
        <references count="7">
          <reference field="1" count="1" selected="0">
            <x v="0"/>
          </reference>
          <reference field="2" count="1" selected="0">
            <x v="6"/>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9647">
      <pivotArea dataOnly="0" labelOnly="1" outline="0" fieldPosition="0">
        <references count="7">
          <reference field="1" count="1" selected="0">
            <x v="0"/>
          </reference>
          <reference field="2" count="1" selected="0">
            <x v="6"/>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9646">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9645">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9644">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9643">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9642">
      <pivotArea dataOnly="0" labelOnly="1" outline="0" fieldPosition="0">
        <references count="7">
          <reference field="1" count="1" selected="0">
            <x v="0"/>
          </reference>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9641">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5"/>
          </reference>
          <reference field="23" count="1" selected="0">
            <x v="2"/>
          </reference>
          <reference field="72" count="1" selected="0">
            <x v="49"/>
          </reference>
        </references>
      </pivotArea>
    </format>
    <format dxfId="9640">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4"/>
          </reference>
          <reference field="23" count="1" selected="0">
            <x v="2"/>
          </reference>
          <reference field="72" count="1" selected="0">
            <x v="50"/>
          </reference>
        </references>
      </pivotArea>
    </format>
    <format dxfId="9639">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2"/>
          </reference>
          <reference field="23" count="1" selected="0">
            <x v="2"/>
          </reference>
          <reference field="72" count="1" selected="0">
            <x v="51"/>
          </reference>
        </references>
      </pivotArea>
    </format>
    <format dxfId="9638">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1"/>
          </reference>
          <reference field="23" count="1" selected="0">
            <x v="2"/>
          </reference>
          <reference field="72" count="1" selected="0">
            <x v="53"/>
          </reference>
        </references>
      </pivotArea>
    </format>
    <format dxfId="9637">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0"/>
          </reference>
          <reference field="23" count="1" selected="0">
            <x v="2"/>
          </reference>
          <reference field="72" count="1" selected="0">
            <x v="55"/>
          </reference>
        </references>
      </pivotArea>
    </format>
    <format dxfId="9636">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8"/>
          </reference>
          <reference field="23" count="1" selected="0">
            <x v="2"/>
          </reference>
          <reference field="72" count="1" selected="0">
            <x v="56"/>
          </reference>
        </references>
      </pivotArea>
    </format>
    <format dxfId="9635">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7"/>
          </reference>
          <reference field="23" count="1" selected="0">
            <x v="2"/>
          </reference>
          <reference field="72" count="1" selected="0">
            <x v="58"/>
          </reference>
        </references>
      </pivotArea>
    </format>
    <format dxfId="9634">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5"/>
          </reference>
          <reference field="23" count="1" selected="0">
            <x v="2"/>
          </reference>
          <reference field="72" count="1" selected="0">
            <x v="61"/>
          </reference>
        </references>
      </pivotArea>
    </format>
    <format dxfId="9633">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38"/>
          </reference>
        </references>
      </pivotArea>
    </format>
    <format dxfId="9632">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9631">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9630">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9629">
      <pivotArea dataOnly="0" labelOnly="1" outline="0" fieldPosition="0">
        <references count="7">
          <reference field="1" count="1" selected="0">
            <x v="0"/>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9628">
      <pivotArea dataOnly="0" labelOnly="1" outline="0" fieldPosition="0">
        <references count="7">
          <reference field="1" count="1" selected="0">
            <x v="0"/>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9627">
      <pivotArea dataOnly="0" labelOnly="1" outline="0" fieldPosition="0">
        <references count="7">
          <reference field="1" count="1" selected="0">
            <x v="0"/>
          </reference>
          <reference field="2" count="1" selected="0">
            <x v="10"/>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9626">
      <pivotArea dataOnly="0" labelOnly="1" outline="0" fieldPosition="0">
        <references count="7">
          <reference field="1" count="1" selected="0">
            <x v="1"/>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14"/>
          </reference>
        </references>
      </pivotArea>
    </format>
    <format dxfId="9625">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2"/>
          </reference>
        </references>
      </pivotArea>
    </format>
    <format dxfId="9624">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4"/>
          </reference>
        </references>
      </pivotArea>
    </format>
    <format dxfId="9623">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0"/>
          </reference>
        </references>
      </pivotArea>
    </format>
    <format dxfId="9622">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61"/>
          </reference>
        </references>
      </pivotArea>
    </format>
    <format dxfId="9621">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5"/>
          </reference>
        </references>
      </pivotArea>
    </format>
    <format dxfId="9620">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50"/>
          </reference>
        </references>
      </pivotArea>
    </format>
    <format dxfId="9619">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71"/>
          </reference>
        </references>
      </pivotArea>
    </format>
    <format dxfId="9618">
      <pivotArea dataOnly="0" labelOnly="1" outline="0" fieldPosition="0">
        <references count="7">
          <reference field="1" count="1" selected="0">
            <x v="1"/>
          </reference>
          <reference field="2" count="1" selected="0">
            <x v="3"/>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9617">
      <pivotArea dataOnly="0" labelOnly="1" outline="0" fieldPosition="0">
        <references count="7">
          <reference field="1" count="1" selected="0">
            <x v="2"/>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20"/>
          </reference>
        </references>
      </pivotArea>
    </format>
    <format dxfId="9616">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52"/>
          </reference>
        </references>
      </pivotArea>
    </format>
    <format dxfId="9615">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55"/>
          </reference>
        </references>
      </pivotArea>
    </format>
    <format dxfId="9614">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58"/>
          </reference>
        </references>
      </pivotArea>
    </format>
    <format dxfId="9613">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46"/>
          </reference>
        </references>
      </pivotArea>
    </format>
    <format dxfId="9612">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8"/>
          </reference>
        </references>
      </pivotArea>
    </format>
    <format dxfId="9611">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52"/>
          </reference>
        </references>
      </pivotArea>
    </format>
    <format dxfId="9610">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154"/>
          </reference>
        </references>
      </pivotArea>
    </format>
    <format dxfId="9609">
      <pivotArea dataOnly="0" labelOnly="1" outline="0" fieldPosition="0">
        <references count="7">
          <reference field="1" count="1" selected="0">
            <x v="2"/>
          </reference>
          <reference field="2" count="1" selected="0">
            <x v="3"/>
          </reference>
          <reference field="5" count="1" selected="0">
            <x v="6"/>
          </reference>
          <reference field="13" count="1" selected="0">
            <x v="4"/>
          </reference>
          <reference field="22" count="1">
            <x v="10"/>
          </reference>
          <reference field="23" count="1" selected="0">
            <x v="1"/>
          </reference>
          <reference field="72" count="1" selected="0">
            <x v="165"/>
          </reference>
        </references>
      </pivotArea>
    </format>
    <format dxfId="9608">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9607">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9606">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9605">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9604">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9603">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9602">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47"/>
          </reference>
        </references>
      </pivotArea>
    </format>
    <format dxfId="9601">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8"/>
          </reference>
        </references>
      </pivotArea>
    </format>
    <format dxfId="9600">
      <pivotArea dataOnly="0" labelOnly="1" outline="0" fieldPosition="0">
        <references count="7">
          <reference field="1" count="1" selected="0">
            <x v="3"/>
          </reference>
          <reference field="2" count="1" selected="0">
            <x v="3"/>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9599">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67"/>
          </reference>
        </references>
      </pivotArea>
    </format>
    <format dxfId="9598">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1"/>
          </reference>
        </references>
      </pivotArea>
    </format>
    <format dxfId="9597">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9596">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9595">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9594">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49"/>
          </reference>
        </references>
      </pivotArea>
    </format>
    <format dxfId="9593">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10"/>
          </reference>
          <reference field="23" count="1" selected="0">
            <x v="2"/>
          </reference>
          <reference field="72" count="1" selected="0">
            <x v="39"/>
          </reference>
        </references>
      </pivotArea>
    </format>
    <format dxfId="9592">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7"/>
          </reference>
          <reference field="23" count="1" selected="0">
            <x v="2"/>
          </reference>
          <reference field="72" count="1" selected="0">
            <x v="52"/>
          </reference>
        </references>
      </pivotArea>
    </format>
    <format dxfId="9591">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3"/>
          </reference>
          <reference field="23" count="1" selected="0">
            <x v="2"/>
          </reference>
          <reference field="72" count="1" selected="0">
            <x v="154"/>
          </reference>
        </references>
      </pivotArea>
    </format>
    <format dxfId="9590">
      <pivotArea dataOnly="0" labelOnly="1" outline="0" fieldPosition="0">
        <references count="7">
          <reference field="1" count="1" selected="0">
            <x v="5"/>
          </reference>
          <reference field="2" count="1" selected="0">
            <x v="8"/>
          </reference>
          <reference field="5" count="1" selected="0">
            <x v="6"/>
          </reference>
          <reference field="13" count="1" selected="0">
            <x v="5"/>
          </reference>
          <reference field="22" count="1">
            <x v="10"/>
          </reference>
          <reference field="23" count="1" selected="0">
            <x v="2"/>
          </reference>
          <reference field="72" count="1" selected="0">
            <x v="7"/>
          </reference>
        </references>
      </pivotArea>
    </format>
    <format dxfId="9589">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9588">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9587">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9586">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9585">
      <pivotArea dataOnly="0" labelOnly="1" outline="0" fieldPosition="0">
        <references count="7">
          <reference field="1" count="1" selected="0">
            <x v="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9584">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9583">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9582">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84"/>
          </reference>
        </references>
      </pivotArea>
    </format>
    <format dxfId="9581">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5"/>
          </reference>
        </references>
      </pivotArea>
    </format>
    <format dxfId="9580">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9"/>
          </reference>
        </references>
      </pivotArea>
    </format>
    <format dxfId="9579">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9578">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9577">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9576">
      <pivotArea dataOnly="0" labelOnly="1" outline="0" fieldPosition="0">
        <references count="7">
          <reference field="1" count="1" selected="0">
            <x v="9"/>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9575">
      <pivotArea dataOnly="0" labelOnly="1" outline="0" fieldPosition="0">
        <references count="7">
          <reference field="1" count="1" selected="0">
            <x v="9"/>
          </reference>
          <reference field="2" count="1" selected="0">
            <x v="5"/>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9574">
      <pivotArea dataOnly="0" labelOnly="1" outline="0" fieldPosition="0">
        <references count="7">
          <reference field="1" count="1" selected="0">
            <x v="9"/>
          </reference>
          <reference field="2" count="1" selected="0">
            <x v="5"/>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9573">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8"/>
          </reference>
        </references>
      </pivotArea>
    </format>
    <format dxfId="9572">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31"/>
          </reference>
        </references>
      </pivotArea>
    </format>
    <format dxfId="9571">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5"/>
          </reference>
        </references>
      </pivotArea>
    </format>
    <format dxfId="9570">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39"/>
          </reference>
        </references>
      </pivotArea>
    </format>
    <format dxfId="9569">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52"/>
          </reference>
        </references>
      </pivotArea>
    </format>
    <format dxfId="9568">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56"/>
          </reference>
        </references>
      </pivotArea>
    </format>
    <format dxfId="9567">
      <pivotArea dataOnly="0" labelOnly="1" outline="0" fieldPosition="0">
        <references count="7">
          <reference field="1" count="1" selected="0">
            <x v="9"/>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9566">
      <pivotArea dataOnly="0" labelOnly="1" outline="0" fieldPosition="0">
        <references count="7">
          <reference field="1" count="1" selected="0">
            <x v="10"/>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9565">
      <pivotArea dataOnly="0" labelOnly="1" outline="0" fieldPosition="0">
        <references count="7">
          <reference field="1" count="1" selected="0">
            <x v="11"/>
          </reference>
          <reference field="2" count="1" selected="0">
            <x v="10"/>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9564">
      <pivotArea dataOnly="0" labelOnly="1" outline="0" fieldPosition="0">
        <references count="7">
          <reference field="1" count="1" selected="0">
            <x v="12"/>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9563">
      <pivotArea dataOnly="0" labelOnly="1" outline="0" fieldPosition="0">
        <references count="7">
          <reference field="1" count="1" selected="0">
            <x v="12"/>
          </reference>
          <reference field="2" count="1" selected="0">
            <x v="5"/>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9562">
      <pivotArea dataOnly="0" labelOnly="1" outline="0" fieldPosition="0">
        <references count="7">
          <reference field="1" count="1" selected="0">
            <x v="12"/>
          </reference>
          <reference field="2" count="1" selected="0">
            <x v="5"/>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9561">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2"/>
          </reference>
        </references>
      </pivotArea>
    </format>
    <format dxfId="9560">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25"/>
          </reference>
        </references>
      </pivotArea>
    </format>
    <format dxfId="9559">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0"/>
          </reference>
        </references>
      </pivotArea>
    </format>
    <format dxfId="9558">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30"/>
          </reference>
        </references>
      </pivotArea>
    </format>
    <format dxfId="9557">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6"/>
          </reference>
        </references>
      </pivotArea>
    </format>
    <format dxfId="9556">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57"/>
          </reference>
        </references>
      </pivotArea>
    </format>
    <format dxfId="9555">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67"/>
          </reference>
        </references>
      </pivotArea>
    </format>
    <format dxfId="9554">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9553">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9552">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9551">
      <pivotArea dataOnly="0" labelOnly="1" outline="0" fieldPosition="0">
        <references count="7">
          <reference field="1" count="1" selected="0">
            <x v="13"/>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9550">
      <pivotArea dataOnly="0" labelOnly="1" outline="0" fieldPosition="0">
        <references count="7">
          <reference field="1" count="1" selected="0">
            <x v="14"/>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9549">
      <pivotArea dataOnly="0" labelOnly="1" outline="0" fieldPosition="0">
        <references count="7">
          <reference field="1" count="1" selected="0">
            <x v="15"/>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9548">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31"/>
          </reference>
        </references>
      </pivotArea>
    </format>
    <format dxfId="9547">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32"/>
          </reference>
        </references>
      </pivotArea>
    </format>
    <format dxfId="9546">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7"/>
          </reference>
        </references>
      </pivotArea>
    </format>
    <format dxfId="9545">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9544">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9543">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9542">
      <pivotArea dataOnly="0" labelOnly="1" outline="0" fieldPosition="0">
        <references count="7">
          <reference field="1" count="1" selected="0">
            <x v="16"/>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9541">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51"/>
          </reference>
        </references>
      </pivotArea>
    </format>
    <format dxfId="9540">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55"/>
          </reference>
        </references>
      </pivotArea>
    </format>
    <format dxfId="9539">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56"/>
          </reference>
        </references>
      </pivotArea>
    </format>
    <format dxfId="9538">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9537">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9536">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9535">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
          </reference>
          <reference field="23" count="1" selected="0">
            <x v="2"/>
          </reference>
          <reference field="72" count="1" selected="0">
            <x v="77"/>
          </reference>
        </references>
      </pivotArea>
    </format>
    <format dxfId="9534">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0"/>
          </reference>
          <reference field="23" count="1" selected="0">
            <x v="2"/>
          </reference>
          <reference field="72" count="1" selected="0">
            <x v="104"/>
          </reference>
        </references>
      </pivotArea>
    </format>
    <format dxfId="9533">
      <pivotArea dataOnly="0" labelOnly="1" outline="0" fieldPosition="0">
        <references count="7">
          <reference field="1" count="1" selected="0">
            <x v="1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9532">
      <pivotArea dataOnly="0" labelOnly="1" outline="0" fieldPosition="0">
        <references count="7">
          <reference field="1" count="1" selected="0">
            <x v="17"/>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9531">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9530">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9529">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9528">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9527">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9526">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9525">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9524">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9523">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9522">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9521">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9520">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9519">
      <pivotArea dataOnly="0" labelOnly="1" outline="0" fieldPosition="0">
        <references count="7">
          <reference field="1" count="1" selected="0">
            <x v="19"/>
          </reference>
          <reference field="2" count="1" selected="0">
            <x v="3"/>
          </reference>
          <reference field="5" count="1" selected="0">
            <x v="1"/>
          </reference>
          <reference field="13" count="1" selected="0">
            <x v="5"/>
          </reference>
          <reference field="22" count="1">
            <x v="10"/>
          </reference>
          <reference field="23" count="1" selected="0">
            <x v="1"/>
          </reference>
          <reference field="72" count="1" selected="0">
            <x v="164"/>
          </reference>
        </references>
      </pivotArea>
    </format>
    <format dxfId="9518">
      <pivotArea dataOnly="0" labelOnly="1" outline="0" fieldPosition="0">
        <references count="7">
          <reference field="1" count="1" selected="0">
            <x v="19"/>
          </reference>
          <reference field="2" count="1" selected="0">
            <x v="6"/>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9517">
      <pivotArea dataOnly="0" labelOnly="1" outline="0" fieldPosition="0">
        <references count="7">
          <reference field="1" count="1" selected="0">
            <x v="19"/>
          </reference>
          <reference field="2" count="1" selected="0">
            <x v="6"/>
          </reference>
          <reference field="5" count="1" selected="0">
            <x v="7"/>
          </reference>
          <reference field="13" count="1" selected="0">
            <x v="0"/>
          </reference>
          <reference field="22" count="1">
            <x v="17"/>
          </reference>
          <reference field="23" count="1" selected="0">
            <x v="2"/>
          </reference>
          <reference field="72" count="1" selected="0">
            <x v="50"/>
          </reference>
        </references>
      </pivotArea>
    </format>
    <format dxfId="9516">
      <pivotArea dataOnly="0" labelOnly="1" outline="0" fieldPosition="0">
        <references count="7">
          <reference field="1" count="1" selected="0">
            <x v="19"/>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2"/>
          </reference>
        </references>
      </pivotArea>
    </format>
    <format dxfId="9515">
      <pivotArea dataOnly="0" labelOnly="1" outline="0" fieldPosition="0">
        <references count="7">
          <reference field="1" count="1" selected="0">
            <x v="19"/>
          </reference>
          <reference field="2" count="1" selected="0">
            <x v="10"/>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9514">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9513">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9512">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9511">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9510">
      <pivotArea dataOnly="0" labelOnly="1" outline="0" fieldPosition="0">
        <references count="7">
          <reference field="1" count="1" selected="0">
            <x v="21"/>
          </reference>
          <reference field="2" count="1" selected="0">
            <x v="5"/>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9509">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9508">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9507">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9506">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9505">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9504">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7"/>
          </reference>
          <reference field="23" count="1" selected="0">
            <x v="2"/>
          </reference>
          <reference field="72" count="1" selected="0">
            <x v="61"/>
          </reference>
        </references>
      </pivotArea>
    </format>
    <format dxfId="9503">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5"/>
          </reference>
          <reference field="23" count="1" selected="0">
            <x v="2"/>
          </reference>
          <reference field="72" count="1" selected="0">
            <x v="65"/>
          </reference>
        </references>
      </pivotArea>
    </format>
    <format dxfId="9502">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3"/>
          </reference>
          <reference field="23" count="1" selected="0">
            <x v="2"/>
          </reference>
          <reference field="72" count="1" selected="0">
            <x v="68"/>
          </reference>
        </references>
      </pivotArea>
    </format>
    <format dxfId="9501">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1"/>
          </reference>
          <reference field="23" count="1" selected="0">
            <x v="2"/>
          </reference>
          <reference field="72" count="1" selected="0">
            <x v="75"/>
          </reference>
        </references>
      </pivotArea>
    </format>
    <format dxfId="9500">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4"/>
          </reference>
        </references>
      </pivotArea>
    </format>
    <format dxfId="9499">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7"/>
          </reference>
        </references>
      </pivotArea>
    </format>
    <format dxfId="9498">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1"/>
          </reference>
        </references>
      </pivotArea>
    </format>
    <format dxfId="9497">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9"/>
          </reference>
        </references>
      </pivotArea>
    </format>
    <format dxfId="9496">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7"/>
          </reference>
          <reference field="23" count="1" selected="0">
            <x v="2"/>
          </reference>
          <reference field="72" count="1" selected="0">
            <x v="92"/>
          </reference>
        </references>
      </pivotArea>
    </format>
    <format dxfId="9495">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5"/>
          </reference>
          <reference field="23" count="1" selected="0">
            <x v="2"/>
          </reference>
          <reference field="72" count="1" selected="0">
            <x v="95"/>
          </reference>
        </references>
      </pivotArea>
    </format>
    <format dxfId="9494">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3"/>
          </reference>
          <reference field="23" count="1" selected="0">
            <x v="2"/>
          </reference>
          <reference field="72" count="1" selected="0">
            <x v="97"/>
          </reference>
        </references>
      </pivotArea>
    </format>
    <format dxfId="9493">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1"/>
          </reference>
          <reference field="23" count="1" selected="0">
            <x v="2"/>
          </reference>
          <reference field="72" count="1" selected="0">
            <x v="99"/>
          </reference>
        </references>
      </pivotArea>
    </format>
    <format dxfId="9492">
      <pivotArea dataOnly="0" labelOnly="1" outline="0" fieldPosition="0">
        <references count="7">
          <reference field="1" count="1" selected="0">
            <x v="25"/>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9491">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10"/>
          </reference>
          <reference field="23" count="1" selected="0">
            <x v="2"/>
          </reference>
          <reference field="72" count="1" selected="0">
            <x v="94"/>
          </reference>
        </references>
      </pivotArea>
    </format>
    <format dxfId="9490">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6"/>
          </reference>
        </references>
      </pivotArea>
    </format>
    <format dxfId="9489">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3"/>
          </reference>
          <reference field="23" count="1" selected="0">
            <x v="2"/>
          </reference>
          <reference field="72" count="1" selected="0">
            <x v="101"/>
          </reference>
        </references>
      </pivotArea>
    </format>
    <format dxfId="9488">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9487">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9486">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9485">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9484">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9483">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9482">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9481">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9480">
      <pivotArea dataOnly="0" labelOnly="1" outline="0" fieldPosition="0">
        <references count="7">
          <reference field="1" count="1" selected="0">
            <x v="29"/>
          </reference>
          <reference field="2" count="1" selected="0">
            <x v="2"/>
          </reference>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9479">
      <pivotArea dataOnly="0" labelOnly="1" outline="0" fieldPosition="0">
        <references count="7">
          <reference field="1" count="1" selected="0">
            <x v="29"/>
          </reference>
          <reference field="2" count="1" selected="0">
            <x v="2"/>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9478">
      <pivotArea dataOnly="0" labelOnly="1" outline="0" fieldPosition="0">
        <references count="7">
          <reference field="1" count="1" selected="0">
            <x v="29"/>
          </reference>
          <reference field="2" count="1" selected="0">
            <x v="2"/>
          </reference>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9477">
      <pivotArea dataOnly="0" labelOnly="1" outline="0" fieldPosition="0">
        <references count="7">
          <reference field="1" count="1" selected="0">
            <x v="32"/>
          </reference>
          <reference field="2" count="1" selected="0">
            <x v="0"/>
          </reference>
          <reference field="5" count="1" selected="0">
            <x v="12"/>
          </reference>
          <reference field="13" count="1" selected="0">
            <x v="5"/>
          </reference>
          <reference field="22" count="1">
            <x v="21"/>
          </reference>
          <reference field="23" count="1" selected="0">
            <x v="2"/>
          </reference>
          <reference field="72" count="1" selected="0">
            <x v="81"/>
          </reference>
        </references>
      </pivotArea>
    </format>
    <format dxfId="9476">
      <pivotArea dataOnly="0" labelOnly="1" outline="0" fieldPosition="0">
        <references count="7">
          <reference field="1" count="1" selected="0">
            <x v="32"/>
          </reference>
          <reference field="2" count="1" selected="0">
            <x v="14"/>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9475">
      <pivotArea dataOnly="0" labelOnly="1" outline="0" fieldPosition="0">
        <references count="7">
          <reference field="1" count="1" selected="0">
            <x v="37"/>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83"/>
          </reference>
        </references>
      </pivotArea>
    </format>
    <format dxfId="9474">
      <pivotArea dataOnly="0" labelOnly="1" outline="0" fieldPosition="0">
        <references count="7">
          <reference field="1" count="1" selected="0">
            <x v="38"/>
          </reference>
          <reference field="2" count="1" selected="0">
            <x v="3"/>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9473">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9472">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9471">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9470">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9469">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9468">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9467">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9466">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9465">
      <pivotArea dataOnly="0" labelOnly="1" outline="0" fieldPosition="0">
        <references count="7">
          <reference field="1" count="1" selected="0">
            <x v="38"/>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9464">
      <pivotArea dataOnly="0" labelOnly="1" outline="0" fieldPosition="0">
        <references count="7">
          <reference field="1" count="1" selected="0">
            <x v="38"/>
          </reference>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9463">
      <pivotArea dataOnly="0" labelOnly="1" outline="0" fieldPosition="0">
        <references count="7">
          <reference field="1" count="1" selected="0">
            <x v="38"/>
          </reference>
          <reference field="2" count="1" selected="0">
            <x v="6"/>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9462">
      <pivotArea dataOnly="0" labelOnly="1" outline="0" fieldPosition="0">
        <references count="7">
          <reference field="1" count="1" selected="0">
            <x v="39"/>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163"/>
          </reference>
        </references>
      </pivotArea>
    </format>
    <format dxfId="9461">
      <pivotArea dataOnly="0" labelOnly="1" outline="0" fieldPosition="0">
        <references count="7">
          <reference field="1" count="1" selected="0">
            <x v="41"/>
          </reference>
          <reference field="2" count="1" selected="0">
            <x v="0"/>
          </reference>
          <reference field="5" count="1" selected="0">
            <x v="8"/>
          </reference>
          <reference field="13" count="1" selected="0">
            <x v="2"/>
          </reference>
          <reference field="22" count="1">
            <x v="17"/>
          </reference>
          <reference field="23" count="1" selected="0">
            <x v="0"/>
          </reference>
          <reference field="72" count="1" selected="0">
            <x v="107"/>
          </reference>
        </references>
      </pivotArea>
    </format>
    <format dxfId="9460">
      <pivotArea dataOnly="0" labelOnly="1" outline="0" fieldPosition="0">
        <references count="7">
          <reference field="1" count="1" selected="0">
            <x v="42"/>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9459">
      <pivotArea dataOnly="0" labelOnly="1" outline="0" fieldPosition="0">
        <references count="7">
          <reference field="1" count="1" selected="0">
            <x v="47"/>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9458">
      <pivotArea dataOnly="0" labelOnly="1" outline="0" fieldPosition="0">
        <references count="7">
          <reference field="1" count="1" selected="0">
            <x v="48"/>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9457">
      <pivotArea dataOnly="0" labelOnly="1" outline="0" fieldPosition="0">
        <references count="10">
          <reference field="1" count="1" selected="0">
            <x v="0"/>
          </reference>
          <reference field="2" count="1" selected="0">
            <x v="6"/>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9456">
      <pivotArea dataOnly="0" labelOnly="1" outline="0" fieldPosition="0">
        <references count="10">
          <reference field="1" count="1" selected="0">
            <x v="0"/>
          </reference>
          <reference field="2"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9455">
      <pivotArea dataOnly="0" labelOnly="1" outline="0" fieldPosition="0">
        <references count="10">
          <reference field="1" count="1" selected="0">
            <x v="7"/>
          </reference>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9454">
      <pivotArea dataOnly="0" labelOnly="1" outline="0" fieldPosition="0">
        <references count="10">
          <reference field="1" count="1" selected="0">
            <x v="10"/>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s>
      </pivotArea>
    </format>
    <format dxfId="9453">
      <pivotArea dataOnly="0" labelOnly="1" outline="0" fieldPosition="0">
        <references count="10">
          <reference field="1" count="1" selected="0">
            <x v="13"/>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s>
      </pivotArea>
    </format>
    <format dxfId="9452">
      <pivotArea dataOnly="0" labelOnly="1" outline="0" fieldPosition="0">
        <references count="10">
          <reference field="1" count="1" selected="0">
            <x v="17"/>
          </reference>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9451">
      <pivotArea dataOnly="0" labelOnly="1" outline="0" fieldPosition="0">
        <references count="10">
          <reference field="1" count="1" selected="0">
            <x v="21"/>
          </reference>
          <reference field="2" count="1" selected="0">
            <x v="5"/>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9450">
      <pivotArea dataOnly="0" labelOnly="1" outline="0" fieldPosition="0">
        <references count="10">
          <reference field="1" count="1" selected="0">
            <x v="25"/>
          </reference>
          <reference field="2"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s>
      </pivotArea>
    </format>
    <format dxfId="9449">
      <pivotArea dataOnly="0" labelOnly="1" outline="0" fieldPosition="0">
        <references count="10">
          <reference field="1" count="1" selected="0">
            <x v="29"/>
          </reference>
          <reference field="2" count="1" selected="0">
            <x v="2"/>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9448">
      <pivotArea dataOnly="0" labelOnly="1" outline="0" fieldPosition="0">
        <references count="10">
          <reference field="1" count="1" selected="0">
            <x v="29"/>
          </reference>
          <reference field="2" count="1" selected="0">
            <x v="2"/>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9447">
      <pivotArea dataOnly="0" labelOnly="1" outline="0" fieldPosition="0">
        <references count="10">
          <reference field="1" count="1" selected="0">
            <x v="30"/>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s>
      </pivotArea>
    </format>
    <format dxfId="9446">
      <pivotArea dataOnly="0" labelOnly="1" outline="0" fieldPosition="0">
        <references count="10">
          <reference field="1" count="1" selected="0">
            <x v="30"/>
          </reference>
          <reference field="2" count="1" selected="0">
            <x v="0"/>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s>
      </pivotArea>
    </format>
    <format dxfId="9445">
      <pivotArea dataOnly="0" labelOnly="1" outline="0" fieldPosition="0">
        <references count="10">
          <reference field="1" count="1" selected="0">
            <x v="30"/>
          </reference>
          <reference field="2" count="1" selected="0">
            <x v="14"/>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s>
      </pivotArea>
    </format>
    <format dxfId="9444">
      <pivotArea dataOnly="0" labelOnly="1" outline="0" fieldPosition="0">
        <references count="10">
          <reference field="1" count="1" selected="0">
            <x v="31"/>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s>
      </pivotArea>
    </format>
    <format dxfId="9443">
      <pivotArea dataOnly="0" labelOnly="1" outline="0" fieldPosition="0">
        <references count="10">
          <reference field="1" count="1" selected="0">
            <x v="33"/>
          </reference>
          <reference field="2" count="1" selected="0">
            <x v="1"/>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s>
      </pivotArea>
    </format>
    <format dxfId="9442">
      <pivotArea dataOnly="0" labelOnly="1" outline="0" fieldPosition="0">
        <references count="10">
          <reference field="1" count="1" selected="0">
            <x v="35"/>
          </reference>
          <reference field="2" count="1" selected="0">
            <x v="13"/>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9441">
      <pivotArea dataOnly="0" labelOnly="1" outline="0" fieldPosition="0">
        <references count="10">
          <reference field="1" count="1" selected="0">
            <x v="36"/>
          </reference>
          <reference field="2" count="1" selected="0">
            <x v="0"/>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s>
      </pivotArea>
    </format>
    <format dxfId="9440">
      <pivotArea dataOnly="0" labelOnly="1" outline="0" fieldPosition="0">
        <references count="10">
          <reference field="1" count="1" selected="0">
            <x v="41"/>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9439">
      <pivotArea dataOnly="0" labelOnly="1" outline="0" fieldPosition="0">
        <references count="10">
          <reference field="1" count="1" selected="0">
            <x v="47"/>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s>
      </pivotArea>
    </format>
    <format dxfId="9438">
      <pivotArea dataOnly="0" labelOnly="1" outline="0" fieldPosition="0">
        <references count="11">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9437">
      <pivotArea dataOnly="0" labelOnly="1" outline="0" fieldPosition="0">
        <references count="11">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9436">
      <pivotArea dataOnly="0" labelOnly="1" outline="0" fieldPosition="0">
        <references count="11">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9435">
      <pivotArea dataOnly="0" labelOnly="1" outline="0" fieldPosition="0">
        <references count="11">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x v="2"/>
          </reference>
        </references>
      </pivotArea>
    </format>
    <format dxfId="9434">
      <pivotArea dataOnly="0" labelOnly="1" outline="0" fieldPosition="0">
        <references count="11">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x v="2"/>
          </reference>
        </references>
      </pivotArea>
    </format>
    <format dxfId="9433">
      <pivotArea dataOnly="0" labelOnly="1" outline="0" fieldPosition="0">
        <references count="11">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9432">
      <pivotArea dataOnly="0" labelOnly="1" outline="0" fieldPosition="0">
        <references count="11">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x v="2"/>
          </reference>
        </references>
      </pivotArea>
    </format>
    <format dxfId="9431">
      <pivotArea dataOnly="0" labelOnly="1" outline="0" fieldPosition="0">
        <references count="11">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9430">
      <pivotArea dataOnly="0" labelOnly="1" outline="0" fieldPosition="0">
        <references count="11">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9429">
      <pivotArea dataOnly="0" labelOnly="1" outline="0" fieldPosition="0">
        <references count="11">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x v="3"/>
          </reference>
        </references>
      </pivotArea>
    </format>
    <format dxfId="9428">
      <pivotArea dataOnly="0" labelOnly="1" outline="0" fieldPosition="0">
        <references count="11">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x v="3"/>
          </reference>
        </references>
      </pivotArea>
    </format>
    <format dxfId="9427">
      <pivotArea dataOnly="0" labelOnly="1" outline="0" fieldPosition="0">
        <references count="11">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x v="2"/>
          </reference>
        </references>
      </pivotArea>
    </format>
    <format dxfId="9426">
      <pivotArea dataOnly="0" labelOnly="1" outline="0" fieldPosition="0">
        <references count="11">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x v="2"/>
          </reference>
        </references>
      </pivotArea>
    </format>
    <format dxfId="9425">
      <pivotArea dataOnly="0" labelOnly="1" outline="0" fieldPosition="0">
        <references count="11">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9424">
      <pivotArea dataOnly="0" labelOnly="1" outline="0" fieldPosition="0">
        <references count="11">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x v="3"/>
          </reference>
        </references>
      </pivotArea>
    </format>
    <format dxfId="9423">
      <pivotArea dataOnly="0" labelOnly="1" outline="0" fieldPosition="0">
        <references count="11">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9422">
      <pivotArea dataOnly="0" labelOnly="1" outline="0" fieldPosition="0">
        <references count="11">
          <reference field="1" count="1" selected="0">
            <x v="47"/>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x v="2"/>
          </reference>
        </references>
      </pivotArea>
    </format>
    <format dxfId="9421">
      <pivotArea field="72" type="button" dataOnly="0" labelOnly="1" outline="0" axis="axisRow" fieldPosition="5"/>
    </format>
    <format dxfId="9420">
      <pivotArea field="13" type="button" dataOnly="0" labelOnly="1" outline="0" axis="axisRow" fieldPosition="6"/>
    </format>
    <format dxfId="9419">
      <pivotArea dataOnly="0" labelOnly="1" outline="0" fieldPosition="0">
        <references count="6">
          <reference field="1" count="1" selected="0">
            <x v="0"/>
          </reference>
          <reference field="2" count="1" selected="0">
            <x v="6"/>
          </reference>
          <reference field="5" count="1" selected="0">
            <x v="1"/>
          </reference>
          <reference field="13" count="1">
            <x v="4"/>
          </reference>
          <reference field="23" count="1" selected="0">
            <x v="1"/>
          </reference>
          <reference field="72" count="1" selected="0">
            <x v="123"/>
          </reference>
        </references>
      </pivotArea>
    </format>
    <format dxfId="9418">
      <pivotArea dataOnly="0" labelOnly="1" outline="0" fieldPosition="0">
        <references count="6">
          <reference field="1" count="1" selected="0">
            <x v="0"/>
          </reference>
          <reference field="2" count="1" selected="0">
            <x v="6"/>
          </reference>
          <reference field="5" count="1" selected="0">
            <x v="1"/>
          </reference>
          <reference field="13" count="1">
            <x v="5"/>
          </reference>
          <reference field="23" count="1" selected="0">
            <x v="2"/>
          </reference>
          <reference field="72" count="1" selected="0">
            <x v="15"/>
          </reference>
        </references>
      </pivotArea>
    </format>
    <format dxfId="9417">
      <pivotArea dataOnly="0" labelOnly="1" outline="0" fieldPosition="0">
        <references count="6">
          <reference field="1" count="1" selected="0">
            <x v="0"/>
          </reference>
          <reference field="2" count="1" selected="0">
            <x v="6"/>
          </reference>
          <reference field="5" count="1" selected="0">
            <x v="3"/>
          </reference>
          <reference field="13" count="1">
            <x v="1"/>
          </reference>
          <reference field="23" count="1" selected="0">
            <x v="2"/>
          </reference>
          <reference field="72" count="1" selected="0">
            <x v="44"/>
          </reference>
        </references>
      </pivotArea>
    </format>
    <format dxfId="9416">
      <pivotArea dataOnly="0" labelOnly="1" outline="0" fieldPosition="0">
        <references count="6">
          <reference field="1" count="1" selected="0">
            <x v="0"/>
          </reference>
          <reference field="2" count="1" selected="0">
            <x v="6"/>
          </reference>
          <reference field="5" count="1" selected="0">
            <x v="5"/>
          </reference>
          <reference field="13" count="1">
            <x v="2"/>
          </reference>
          <reference field="23" count="1" selected="0">
            <x v="0"/>
          </reference>
          <reference field="72" count="1" selected="0">
            <x v="121"/>
          </reference>
        </references>
      </pivotArea>
    </format>
    <format dxfId="9415">
      <pivotArea dataOnly="0" labelOnly="1" outline="0" fieldPosition="0">
        <references count="6">
          <reference field="1" count="1" selected="0">
            <x v="0"/>
          </reference>
          <reference field="2" count="1" selected="0">
            <x v="6"/>
          </reference>
          <reference field="5" count="1" selected="0">
            <x v="6"/>
          </reference>
          <reference field="13" count="1">
            <x v="4"/>
          </reference>
          <reference field="23" count="1" selected="0">
            <x v="1"/>
          </reference>
          <reference field="72" count="1" selected="0">
            <x v="119"/>
          </reference>
        </references>
      </pivotArea>
    </format>
    <format dxfId="9414">
      <pivotArea dataOnly="0" labelOnly="1" outline="0" fieldPosition="0">
        <references count="6">
          <reference field="1" count="1" selected="0">
            <x v="0"/>
          </reference>
          <reference field="2" count="1" selected="0">
            <x v="6"/>
          </reference>
          <reference field="5" count="1" selected="0">
            <x v="6"/>
          </reference>
          <reference field="13" count="1">
            <x v="5"/>
          </reference>
          <reference field="23" count="1" selected="0">
            <x v="2"/>
          </reference>
          <reference field="72" count="1" selected="0">
            <x v="12"/>
          </reference>
        </references>
      </pivotArea>
    </format>
    <format dxfId="9413">
      <pivotArea dataOnly="0" labelOnly="1" outline="0" fieldPosition="0">
        <references count="6">
          <reference field="1" count="1" selected="0">
            <x v="0"/>
          </reference>
          <reference field="2" count="1" selected="0">
            <x v="6"/>
          </reference>
          <reference field="5" count="1" selected="0">
            <x v="7"/>
          </reference>
          <reference field="13" count="1">
            <x v="0"/>
          </reference>
          <reference field="23" count="1" selected="0">
            <x v="2"/>
          </reference>
          <reference field="72" count="1" selected="0">
            <x v="60"/>
          </reference>
        </references>
      </pivotArea>
    </format>
    <format dxfId="9412">
      <pivotArea dataOnly="0" labelOnly="1" outline="0" fieldPosition="0">
        <references count="6">
          <reference field="1" count="1" selected="0">
            <x v="0"/>
          </reference>
          <reference field="2" count="1" selected="0">
            <x v="6"/>
          </reference>
          <reference field="5" count="1" selected="0">
            <x v="12"/>
          </reference>
          <reference field="13" count="1">
            <x v="4"/>
          </reference>
          <reference field="23" count="1" selected="0">
            <x v="1"/>
          </reference>
          <reference field="72" count="1" selected="0">
            <x v="117"/>
          </reference>
        </references>
      </pivotArea>
    </format>
    <format dxfId="9411">
      <pivotArea dataOnly="0" labelOnly="1" outline="0" fieldPosition="0">
        <references count="6">
          <reference field="1" count="1" selected="0">
            <x v="0"/>
          </reference>
          <reference field="2" count="1" selected="0">
            <x v="10"/>
          </reference>
          <reference field="5" count="1" selected="0">
            <x v="2"/>
          </reference>
          <reference field="13" count="1">
            <x v="2"/>
          </reference>
          <reference field="23" count="1" selected="0">
            <x v="2"/>
          </reference>
          <reference field="72" count="1" selected="0">
            <x v="49"/>
          </reference>
        </references>
      </pivotArea>
    </format>
    <format dxfId="9410">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38"/>
          </reference>
        </references>
      </pivotArea>
    </format>
    <format dxfId="9409">
      <pivotArea dataOnly="0" labelOnly="1" outline="0" fieldPosition="0">
        <references count="6">
          <reference field="1" count="1" selected="0">
            <x v="0"/>
          </reference>
          <reference field="2" count="1" selected="0">
            <x v="10"/>
          </reference>
          <reference field="5" count="1" selected="0">
            <x v="5"/>
          </reference>
          <reference field="13" count="1">
            <x v="2"/>
          </reference>
          <reference field="23" count="1" selected="0">
            <x v="0"/>
          </reference>
          <reference field="72" count="1" selected="0">
            <x v="121"/>
          </reference>
        </references>
      </pivotArea>
    </format>
    <format dxfId="9408">
      <pivotArea dataOnly="0" labelOnly="1" outline="0" fieldPosition="0">
        <references count="6">
          <reference field="1" count="1" selected="0">
            <x v="0"/>
          </reference>
          <reference field="2" count="1" selected="0">
            <x v="10"/>
          </reference>
          <reference field="5" count="1" selected="0">
            <x v="6"/>
          </reference>
          <reference field="13" count="1">
            <x v="4"/>
          </reference>
          <reference field="23" count="1" selected="0">
            <x v="1"/>
          </reference>
          <reference field="72" count="1" selected="0">
            <x v="116"/>
          </reference>
        </references>
      </pivotArea>
    </format>
    <format dxfId="9407">
      <pivotArea dataOnly="0" labelOnly="1" outline="0" fieldPosition="0">
        <references count="6">
          <reference field="1" count="1" selected="0">
            <x v="0"/>
          </reference>
          <reference field="2" count="1" selected="0">
            <x v="10"/>
          </reference>
          <reference field="5" count="1" selected="0">
            <x v="6"/>
          </reference>
          <reference field="13" count="1">
            <x v="5"/>
          </reference>
          <reference field="23" count="1" selected="0">
            <x v="2"/>
          </reference>
          <reference field="72" count="1" selected="0">
            <x v="10"/>
          </reference>
        </references>
      </pivotArea>
    </format>
    <format dxfId="9406">
      <pivotArea dataOnly="0" labelOnly="1" outline="0" fieldPosition="0">
        <references count="6">
          <reference field="1" count="1" selected="0">
            <x v="0"/>
          </reference>
          <reference field="2" count="1" selected="0">
            <x v="10"/>
          </reference>
          <reference field="5" count="1" selected="0">
            <x v="12"/>
          </reference>
          <reference field="13" count="1">
            <x v="4"/>
          </reference>
          <reference field="23" count="1" selected="0">
            <x v="1"/>
          </reference>
          <reference field="72" count="1" selected="0">
            <x v="117"/>
          </reference>
        </references>
      </pivotArea>
    </format>
    <format dxfId="9405">
      <pivotArea dataOnly="0" labelOnly="1" outline="0" fieldPosition="0">
        <references count="6">
          <reference field="1" count="1" selected="0">
            <x v="1"/>
          </reference>
          <reference field="2" count="1" selected="0">
            <x v="3"/>
          </reference>
          <reference field="5" count="1" selected="0">
            <x v="1"/>
          </reference>
          <reference field="13" count="1">
            <x v="5"/>
          </reference>
          <reference field="23" count="1" selected="0">
            <x v="1"/>
          </reference>
          <reference field="72" count="1" selected="0">
            <x v="114"/>
          </reference>
        </references>
      </pivotArea>
    </format>
    <format dxfId="9404">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42"/>
          </reference>
        </references>
      </pivotArea>
    </format>
    <format dxfId="9403">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71"/>
          </reference>
        </references>
      </pivotArea>
    </format>
    <format dxfId="9402">
      <pivotArea dataOnly="0" labelOnly="1" outline="0" fieldPosition="0">
        <references count="6">
          <reference field="1" count="1" selected="0">
            <x v="1"/>
          </reference>
          <reference field="2" count="1" selected="0">
            <x v="3"/>
          </reference>
          <reference field="5" count="1" selected="0">
            <x v="6"/>
          </reference>
          <reference field="13" count="1">
            <x v="5"/>
          </reference>
          <reference field="23" count="1" selected="0">
            <x v="2"/>
          </reference>
          <reference field="72" count="1" selected="0">
            <x v="8"/>
          </reference>
        </references>
      </pivotArea>
    </format>
    <format dxfId="9401">
      <pivotArea dataOnly="0" labelOnly="1" outline="0" fieldPosition="0">
        <references count="6">
          <reference field="1" count="1" selected="0">
            <x v="1"/>
          </reference>
          <reference field="2" count="1" selected="0">
            <x v="3"/>
          </reference>
          <reference field="5" count="1" selected="0">
            <x v="12"/>
          </reference>
          <reference field="13" count="1">
            <x v="4"/>
          </reference>
          <reference field="23" count="1" selected="0">
            <x v="1"/>
          </reference>
          <reference field="72" count="1" selected="0">
            <x v="113"/>
          </reference>
        </references>
      </pivotArea>
    </format>
    <format dxfId="9400">
      <pivotArea dataOnly="0" labelOnly="1" outline="0" fieldPosition="0">
        <references count="6">
          <reference field="1" count="1" selected="0">
            <x v="2"/>
          </reference>
          <reference field="2" count="1" selected="0">
            <x v="3"/>
          </reference>
          <reference field="5" count="1" selected="0">
            <x v="1"/>
          </reference>
          <reference field="13" count="1">
            <x v="5"/>
          </reference>
          <reference field="23" count="1" selected="0">
            <x v="2"/>
          </reference>
          <reference field="72" count="1" selected="0">
            <x v="15"/>
          </reference>
        </references>
      </pivotArea>
    </format>
    <format dxfId="9399">
      <pivotArea dataOnly="0" labelOnly="1" outline="0" fieldPosition="0">
        <references count="6">
          <reference field="1" count="1" selected="0">
            <x v="2"/>
          </reference>
          <reference field="2" count="1" selected="0">
            <x v="3"/>
          </reference>
          <reference field="5" count="1" selected="0">
            <x v="2"/>
          </reference>
          <reference field="13" count="1">
            <x v="2"/>
          </reference>
          <reference field="23" count="1" selected="0">
            <x v="2"/>
          </reference>
          <reference field="72" count="1" selected="0">
            <x v="50"/>
          </reference>
        </references>
      </pivotArea>
    </format>
    <format dxfId="9398">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46"/>
          </reference>
        </references>
      </pivotArea>
    </format>
    <format dxfId="9397">
      <pivotArea dataOnly="0" labelOnly="1" outline="0" fieldPosition="0">
        <references count="6">
          <reference field="1" count="1" selected="0">
            <x v="2"/>
          </reference>
          <reference field="2" count="1" selected="0">
            <x v="3"/>
          </reference>
          <reference field="5" count="1" selected="0">
            <x v="6"/>
          </reference>
          <reference field="13" count="1">
            <x v="4"/>
          </reference>
          <reference field="23" count="1" selected="0">
            <x v="1"/>
          </reference>
          <reference field="72" count="1" selected="0">
            <x v="165"/>
          </reference>
        </references>
      </pivotArea>
    </format>
    <format dxfId="9396">
      <pivotArea dataOnly="0" labelOnly="1" outline="0" fieldPosition="0">
        <references count="6">
          <reference field="1" count="1" selected="0">
            <x v="3"/>
          </reference>
          <reference field="2" count="1" selected="0">
            <x v="3"/>
          </reference>
          <reference field="5" count="1" selected="0">
            <x v="1"/>
          </reference>
          <reference field="13" count="1">
            <x v="5"/>
          </reference>
          <reference field="23" count="1" selected="0">
            <x v="2"/>
          </reference>
          <reference field="72" count="1" selected="0">
            <x v="5"/>
          </reference>
        </references>
      </pivotArea>
    </format>
    <format dxfId="9395">
      <pivotArea dataOnly="0" labelOnly="1" outline="0" fieldPosition="0">
        <references count="6">
          <reference field="1" count="1" selected="0">
            <x v="3"/>
          </reference>
          <reference field="2" count="1" selected="0">
            <x v="3"/>
          </reference>
          <reference field="5" count="1" selected="0">
            <x v="2"/>
          </reference>
          <reference field="13" count="1">
            <x v="2"/>
          </reference>
          <reference field="23" count="1" selected="0">
            <x v="2"/>
          </reference>
          <reference field="72" count="1" selected="0">
            <x v="62"/>
          </reference>
        </references>
      </pivotArea>
    </format>
    <format dxfId="9394">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83"/>
          </reference>
        </references>
      </pivotArea>
    </format>
    <format dxfId="9393">
      <pivotArea dataOnly="0" labelOnly="1" outline="0" fieldPosition="0">
        <references count="6">
          <reference field="1" count="1" selected="0">
            <x v="3"/>
          </reference>
          <reference field="2" count="1" selected="0">
            <x v="3"/>
          </reference>
          <reference field="5" count="1" selected="0">
            <x v="6"/>
          </reference>
          <reference field="13" count="1">
            <x v="5"/>
          </reference>
          <reference field="23" count="1" selected="0">
            <x v="2"/>
          </reference>
          <reference field="72" count="1" selected="0">
            <x v="15"/>
          </reference>
        </references>
      </pivotArea>
    </format>
    <format dxfId="9392">
      <pivotArea dataOnly="0" labelOnly="1" outline="0" fieldPosition="0">
        <references count="6">
          <reference field="1" count="1" selected="0">
            <x v="4"/>
          </reference>
          <reference field="2" count="1" selected="0">
            <x v="3"/>
          </reference>
          <reference field="5" count="1" selected="0">
            <x v="1"/>
          </reference>
          <reference field="13" count="1">
            <x v="4"/>
          </reference>
          <reference field="23" count="1" selected="0">
            <x v="1"/>
          </reference>
          <reference field="72" count="1" selected="0">
            <x v="122"/>
          </reference>
        </references>
      </pivotArea>
    </format>
    <format dxfId="9391">
      <pivotArea dataOnly="0" labelOnly="1" outline="0" fieldPosition="0">
        <references count="6">
          <reference field="1" count="1" selected="0">
            <x v="4"/>
          </reference>
          <reference field="2" count="1" selected="0">
            <x v="3"/>
          </reference>
          <reference field="5" count="1" selected="0">
            <x v="1"/>
          </reference>
          <reference field="13" count="1">
            <x v="5"/>
          </reference>
          <reference field="23" count="1" selected="0">
            <x v="2"/>
          </reference>
          <reference field="72" count="1" selected="0">
            <x v="15"/>
          </reference>
        </references>
      </pivotArea>
    </format>
    <format dxfId="9390">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67"/>
          </reference>
        </references>
      </pivotArea>
    </format>
    <format dxfId="9389">
      <pivotArea dataOnly="0" labelOnly="1" outline="0" fieldPosition="0">
        <references count="6">
          <reference field="1" count="1" selected="0">
            <x v="4"/>
          </reference>
          <reference field="2" count="1" selected="0">
            <x v="3"/>
          </reference>
          <reference field="5" count="1" selected="0">
            <x v="4"/>
          </reference>
          <reference field="13" count="1">
            <x v="2"/>
          </reference>
          <reference field="23" count="1" selected="0">
            <x v="2"/>
          </reference>
          <reference field="72" count="1" selected="0">
            <x v="39"/>
          </reference>
        </references>
      </pivotArea>
    </format>
    <format dxfId="9388">
      <pivotArea dataOnly="0" labelOnly="1" outline="0" fieldPosition="0">
        <references count="6">
          <reference field="1" count="1" selected="0">
            <x v="5"/>
          </reference>
          <reference field="2" count="1" selected="0">
            <x v="8"/>
          </reference>
          <reference field="5" count="1" selected="0">
            <x v="6"/>
          </reference>
          <reference field="13" count="1">
            <x v="5"/>
          </reference>
          <reference field="23" count="1" selected="0">
            <x v="2"/>
          </reference>
          <reference field="72" count="1" selected="0">
            <x v="7"/>
          </reference>
        </references>
      </pivotArea>
    </format>
    <format dxfId="9387">
      <pivotArea dataOnly="0" labelOnly="1" outline="0" fieldPosition="0">
        <references count="6">
          <reference field="1" count="1" selected="0">
            <x v="6"/>
          </reference>
          <reference field="2" count="1" selected="0">
            <x v="5"/>
          </reference>
          <reference field="5" count="1" selected="0">
            <x v="7"/>
          </reference>
          <reference field="13" count="1">
            <x v="0"/>
          </reference>
          <reference field="23" count="1" selected="0">
            <x v="2"/>
          </reference>
          <reference field="72" count="1" selected="0">
            <x v="60"/>
          </reference>
        </references>
      </pivotArea>
    </format>
    <format dxfId="9386">
      <pivotArea dataOnly="0" labelOnly="1" outline="0" fieldPosition="0">
        <references count="6">
          <reference field="1" count="1" selected="0">
            <x v="7"/>
          </reference>
          <reference field="2" count="1" selected="0">
            <x v="4"/>
          </reference>
          <reference field="5" count="1" selected="0">
            <x v="5"/>
          </reference>
          <reference field="13" count="1">
            <x v="2"/>
          </reference>
          <reference field="23" count="1" selected="0">
            <x v="0"/>
          </reference>
          <reference field="72" count="1" selected="0">
            <x v="128"/>
          </reference>
        </references>
      </pivotArea>
    </format>
    <format dxfId="9385">
      <pivotArea dataOnly="0" labelOnly="1" outline="0" fieldPosition="0">
        <references count="6">
          <reference field="1" count="1" selected="0">
            <x v="7"/>
          </reference>
          <reference field="2" count="1" selected="0">
            <x v="5"/>
          </reference>
          <reference field="5" count="1" selected="0">
            <x v="7"/>
          </reference>
          <reference field="13" count="1">
            <x v="0"/>
          </reference>
          <reference field="23" count="1" selected="0">
            <x v="2"/>
          </reference>
          <reference field="72" count="1" selected="0">
            <x v="80"/>
          </reference>
        </references>
      </pivotArea>
    </format>
    <format dxfId="9384">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70"/>
          </reference>
        </references>
      </pivotArea>
    </format>
    <format dxfId="9383">
      <pivotArea dataOnly="0" labelOnly="1" outline="0" fieldPosition="0">
        <references count="6">
          <reference field="1" count="1" selected="0">
            <x v="9"/>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9382">
      <pivotArea dataOnly="0" labelOnly="1" outline="0" fieldPosition="0">
        <references count="6">
          <reference field="1" count="1" selected="0">
            <x v="9"/>
          </reference>
          <reference field="2" count="1" selected="0">
            <x v="5"/>
          </reference>
          <reference field="5" count="1" selected="0">
            <x v="1"/>
          </reference>
          <reference field="13" count="1">
            <x v="5"/>
          </reference>
          <reference field="23" count="1" selected="0">
            <x v="2"/>
          </reference>
          <reference field="72" count="1" selected="0">
            <x v="9"/>
          </reference>
        </references>
      </pivotArea>
    </format>
    <format dxfId="9381">
      <pivotArea dataOnly="0" labelOnly="1" outline="0" fieldPosition="0">
        <references count="6">
          <reference field="1" count="1" selected="0">
            <x v="9"/>
          </reference>
          <reference field="2" count="1" selected="0">
            <x v="5"/>
          </reference>
          <reference field="5" count="1" selected="0">
            <x v="2"/>
          </reference>
          <reference field="13" count="1">
            <x v="2"/>
          </reference>
          <reference field="23" count="1" selected="0">
            <x v="2"/>
          </reference>
          <reference field="72" count="1" selected="0">
            <x v="26"/>
          </reference>
        </references>
      </pivotArea>
    </format>
    <format dxfId="9380">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39"/>
          </reference>
        </references>
      </pivotArea>
    </format>
    <format dxfId="9379">
      <pivotArea dataOnly="0" labelOnly="1" outline="0" fieldPosition="0">
        <references count="6">
          <reference field="1" count="1" selected="0">
            <x v="9"/>
          </reference>
          <reference field="2" count="1" selected="0">
            <x v="5"/>
          </reference>
          <reference field="5" count="1" selected="0">
            <x v="6"/>
          </reference>
          <reference field="13" count="1">
            <x v="4"/>
          </reference>
          <reference field="23" count="1" selected="0">
            <x v="1"/>
          </reference>
          <reference field="72" count="1" selected="0">
            <x v="116"/>
          </reference>
        </references>
      </pivotArea>
    </format>
    <format dxfId="9378">
      <pivotArea dataOnly="0" labelOnly="1" outline="0" fieldPosition="0">
        <references count="6">
          <reference field="1" count="1" selected="0">
            <x v="9"/>
          </reference>
          <reference field="2" count="1" selected="0">
            <x v="5"/>
          </reference>
          <reference field="5" count="1" selected="0">
            <x v="6"/>
          </reference>
          <reference field="13" count="1">
            <x v="5"/>
          </reference>
          <reference field="23" count="1" selected="0">
            <x v="2"/>
          </reference>
          <reference field="72" count="1" selected="0">
            <x v="7"/>
          </reference>
        </references>
      </pivotArea>
    </format>
    <format dxfId="9377">
      <pivotArea dataOnly="0" labelOnly="1" outline="0" fieldPosition="0">
        <references count="6">
          <reference field="1" count="1" selected="0">
            <x v="10"/>
          </reference>
          <reference field="2" count="1" selected="0">
            <x v="10"/>
          </reference>
          <reference field="5" count="1" selected="0">
            <x v="5"/>
          </reference>
          <reference field="13" count="1">
            <x v="2"/>
          </reference>
          <reference field="23" count="1" selected="0">
            <x v="0"/>
          </reference>
          <reference field="72" count="1" selected="0">
            <x v="140"/>
          </reference>
        </references>
      </pivotArea>
    </format>
    <format dxfId="9376">
      <pivotArea dataOnly="0" labelOnly="1" outline="0" fieldPosition="0">
        <references count="6">
          <reference field="1" count="1" selected="0">
            <x v="12"/>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9375">
      <pivotArea dataOnly="0" labelOnly="1" outline="0" fieldPosition="0">
        <references count="6">
          <reference field="1" count="1" selected="0">
            <x v="12"/>
          </reference>
          <reference field="2" count="1" selected="0">
            <x v="5"/>
          </reference>
          <reference field="5" count="1" selected="0">
            <x v="1"/>
          </reference>
          <reference field="13" count="1">
            <x v="5"/>
          </reference>
          <reference field="23" count="1" selected="0">
            <x v="2"/>
          </reference>
          <reference field="72" count="1" selected="0">
            <x v="9"/>
          </reference>
        </references>
      </pivotArea>
    </format>
    <format dxfId="9374">
      <pivotArea dataOnly="0" labelOnly="1" outline="0" fieldPosition="0">
        <references count="6">
          <reference field="1" count="1" selected="0">
            <x v="12"/>
          </reference>
          <reference field="2" count="1" selected="0">
            <x v="5"/>
          </reference>
          <reference field="5" count="1" selected="0">
            <x v="2"/>
          </reference>
          <reference field="13" count="1">
            <x v="2"/>
          </reference>
          <reference field="23" count="1" selected="0">
            <x v="2"/>
          </reference>
          <reference field="72" count="1" selected="0">
            <x v="20"/>
          </reference>
        </references>
      </pivotArea>
    </format>
    <format dxfId="9373">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30"/>
          </reference>
        </references>
      </pivotArea>
    </format>
    <format dxfId="9372">
      <pivotArea dataOnly="0" labelOnly="1" outline="0" fieldPosition="0">
        <references count="6">
          <reference field="1" count="1" selected="0">
            <x v="13"/>
          </reference>
          <reference field="2" count="1" selected="0">
            <x v="10"/>
          </reference>
          <reference field="5" count="1" selected="0">
            <x v="0"/>
          </reference>
          <reference field="13" count="1">
            <x v="2"/>
          </reference>
          <reference field="23" count="1" selected="0">
            <x v="2"/>
          </reference>
          <reference field="72" count="1" selected="0">
            <x v="67"/>
          </reference>
        </references>
      </pivotArea>
    </format>
    <format dxfId="9371">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31"/>
          </reference>
        </references>
      </pivotArea>
    </format>
    <format dxfId="9370">
      <pivotArea dataOnly="0" labelOnly="1" outline="0" fieldPosition="0">
        <references count="6">
          <reference field="1" count="1" selected="0">
            <x v="15"/>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9369">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151"/>
          </reference>
        </references>
      </pivotArea>
    </format>
    <format dxfId="9368">
      <pivotArea dataOnly="0" labelOnly="1" outline="0" fieldPosition="0">
        <references count="6">
          <reference field="1" count="1" selected="0">
            <x v="16"/>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9367">
      <pivotArea dataOnly="0" labelOnly="1" outline="0" fieldPosition="0">
        <references count="6">
          <reference field="1" count="1" selected="0">
            <x v="17"/>
          </reference>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9366">
      <pivotArea dataOnly="0" labelOnly="1" outline="0" fieldPosition="0">
        <references count="6">
          <reference field="1" count="1" selected="0">
            <x v="17"/>
          </reference>
          <reference field="2" count="1" selected="0">
            <x v="5"/>
          </reference>
          <reference field="5" count="1" selected="0">
            <x v="6"/>
          </reference>
          <reference field="13" count="1">
            <x v="5"/>
          </reference>
          <reference field="23" count="1" selected="0">
            <x v="2"/>
          </reference>
          <reference field="72" count="1" selected="0">
            <x v="14"/>
          </reference>
        </references>
      </pivotArea>
    </format>
    <format dxfId="9365">
      <pivotArea dataOnly="0" labelOnly="1" outline="0" fieldPosition="0">
        <references count="6">
          <reference field="1" count="1" selected="0">
            <x v="17"/>
          </reference>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9364">
      <pivotArea dataOnly="0" labelOnly="1" outline="0" fieldPosition="0">
        <references count="6">
          <reference field="1" count="1" selected="0">
            <x v="18"/>
          </reference>
          <reference field="2" count="1" selected="0">
            <x v="3"/>
          </reference>
          <reference field="5" count="1" selected="0">
            <x v="7"/>
          </reference>
          <reference field="13" count="1">
            <x v="0"/>
          </reference>
          <reference field="23" count="1" selected="0">
            <x v="2"/>
          </reference>
          <reference field="72" count="1" selected="0">
            <x v="72"/>
          </reference>
        </references>
      </pivotArea>
    </format>
    <format dxfId="9363">
      <pivotArea dataOnly="0" labelOnly="1" outline="0" fieldPosition="0">
        <references count="6">
          <reference field="1" count="1" selected="0">
            <x v="19"/>
          </reference>
          <reference field="2" count="1" selected="0">
            <x v="3"/>
          </reference>
          <reference field="5" count="1" selected="0">
            <x v="1"/>
          </reference>
          <reference field="13" count="1">
            <x v="5"/>
          </reference>
          <reference field="23" count="1" selected="0">
            <x v="1"/>
          </reference>
          <reference field="72" count="1" selected="0">
            <x v="164"/>
          </reference>
        </references>
      </pivotArea>
    </format>
    <format dxfId="9362">
      <pivotArea dataOnly="0" labelOnly="1" outline="0" fieldPosition="0">
        <references count="6">
          <reference field="1" count="1" selected="0">
            <x v="19"/>
          </reference>
          <reference field="2" count="1" selected="0">
            <x v="6"/>
          </reference>
          <reference field="5" count="1" selected="0">
            <x v="5"/>
          </reference>
          <reference field="13" count="1">
            <x v="2"/>
          </reference>
          <reference field="23" count="1" selected="0">
            <x v="0"/>
          </reference>
          <reference field="72" count="1" selected="0">
            <x v="134"/>
          </reference>
        </references>
      </pivotArea>
    </format>
    <format dxfId="9361">
      <pivotArea dataOnly="0" labelOnly="1" outline="0" fieldPosition="0">
        <references count="6">
          <reference field="1" count="1" selected="0">
            <x v="19"/>
          </reference>
          <reference field="2" count="1" selected="0">
            <x v="6"/>
          </reference>
          <reference field="5" count="1" selected="0">
            <x v="7"/>
          </reference>
          <reference field="13" count="1">
            <x v="0"/>
          </reference>
          <reference field="23" count="1" selected="0">
            <x v="2"/>
          </reference>
          <reference field="72" count="1" selected="0">
            <x v="50"/>
          </reference>
        </references>
      </pivotArea>
    </format>
    <format dxfId="9360">
      <pivotArea dataOnly="0" labelOnly="1" outline="0" fieldPosition="0">
        <references count="6">
          <reference field="1" count="1" selected="0">
            <x v="19"/>
          </reference>
          <reference field="2" count="1" selected="0">
            <x v="10"/>
          </reference>
          <reference field="5" count="1" selected="0">
            <x v="4"/>
          </reference>
          <reference field="13" count="1">
            <x v="2"/>
          </reference>
          <reference field="23" count="1" selected="0">
            <x v="2"/>
          </reference>
          <reference field="72" count="1" selected="0">
            <x v="92"/>
          </reference>
        </references>
      </pivotArea>
    </format>
    <format dxfId="9359">
      <pivotArea dataOnly="0" labelOnly="1" outline="0" fieldPosition="0">
        <references count="6">
          <reference field="1" count="1" selected="0">
            <x v="19"/>
          </reference>
          <reference field="2" count="1" selected="0">
            <x v="10"/>
          </reference>
          <reference field="5" count="1" selected="0">
            <x v="7"/>
          </reference>
          <reference field="13" count="1">
            <x v="0"/>
          </reference>
          <reference field="23" count="1" selected="0">
            <x v="2"/>
          </reference>
          <reference field="72" count="1" selected="0">
            <x v="36"/>
          </reference>
        </references>
      </pivotArea>
    </format>
    <format dxfId="9358">
      <pivotArea dataOnly="0" labelOnly="1" outline="0" fieldPosition="0">
        <references count="6">
          <reference field="1" count="1" selected="0">
            <x v="21"/>
          </reference>
          <reference field="2" count="1" selected="0">
            <x v="5"/>
          </reference>
          <reference field="5" count="1" selected="0">
            <x v="2"/>
          </reference>
          <reference field="13" count="1">
            <x v="2"/>
          </reference>
          <reference field="23" count="1" selected="0">
            <x v="2"/>
          </reference>
          <reference field="72" count="1" selected="0">
            <x v="41"/>
          </reference>
        </references>
      </pivotArea>
    </format>
    <format dxfId="9357">
      <pivotArea dataOnly="0" labelOnly="1" outline="0" fieldPosition="0">
        <references count="6">
          <reference field="1" count="1" selected="0">
            <x v="21"/>
          </reference>
          <reference field="2" count="1" selected="0">
            <x v="6"/>
          </reference>
          <reference field="5" count="1" selected="0">
            <x v="7"/>
          </reference>
          <reference field="13" count="1">
            <x v="0"/>
          </reference>
          <reference field="23" count="1" selected="0">
            <x v="2"/>
          </reference>
          <reference field="72" count="1" selected="0">
            <x v="11"/>
          </reference>
        </references>
      </pivotArea>
    </format>
    <format dxfId="9356">
      <pivotArea dataOnly="0" labelOnly="1" outline="0" fieldPosition="0">
        <references count="6">
          <reference field="1" count="1" selected="0">
            <x v="25"/>
          </reference>
          <reference field="2" count="1" selected="0">
            <x v="10"/>
          </reference>
          <reference field="5" count="1" selected="0">
            <x v="5"/>
          </reference>
          <reference field="13" count="1">
            <x v="2"/>
          </reference>
          <reference field="23" count="1" selected="0">
            <x v="0"/>
          </reference>
          <reference field="72" count="1" selected="0">
            <x v="131"/>
          </reference>
        </references>
      </pivotArea>
    </format>
    <format dxfId="9355">
      <pivotArea dataOnly="0" labelOnly="1" outline="0" fieldPosition="0">
        <references count="6">
          <reference field="1" count="1" selected="0">
            <x v="28"/>
          </reference>
          <reference field="2" count="1" selected="0">
            <x v="7"/>
          </reference>
          <reference field="5" count="1" selected="0">
            <x v="7"/>
          </reference>
          <reference field="13" count="1">
            <x v="0"/>
          </reference>
          <reference field="23" count="1" selected="0">
            <x v="2"/>
          </reference>
          <reference field="72" count="1" selected="0">
            <x v="57"/>
          </reference>
        </references>
      </pivotArea>
    </format>
    <format dxfId="9354">
      <pivotArea dataOnly="0" labelOnly="1" outline="0" fieldPosition="0">
        <references count="6">
          <reference field="1" count="1" selected="0">
            <x v="29"/>
          </reference>
          <reference field="2" count="1" selected="0">
            <x v="2"/>
          </reference>
          <reference field="5" count="1" selected="0">
            <x v="0"/>
          </reference>
          <reference field="13" count="1">
            <x v="2"/>
          </reference>
          <reference field="23" count="1" selected="0">
            <x v="2"/>
          </reference>
          <reference field="72" count="1" selected="0">
            <x v="144"/>
          </reference>
        </references>
      </pivotArea>
    </format>
    <format dxfId="9353">
      <pivotArea dataOnly="0" labelOnly="1" outline="0" fieldPosition="0">
        <references count="6">
          <reference field="1" count="1" selected="0">
            <x v="29"/>
          </reference>
          <reference field="2" count="1" selected="0">
            <x v="2"/>
          </reference>
          <reference field="5" count="1" selected="0">
            <x v="7"/>
          </reference>
          <reference field="13" count="1">
            <x v="0"/>
          </reference>
          <reference field="23" count="1" selected="0">
            <x v="2"/>
          </reference>
          <reference field="72" count="1" selected="0">
            <x v="3"/>
          </reference>
        </references>
      </pivotArea>
    </format>
    <format dxfId="9352">
      <pivotArea dataOnly="0" labelOnly="1" outline="0" fieldPosition="0">
        <references count="6">
          <reference field="1" count="1" selected="0">
            <x v="29"/>
          </reference>
          <reference field="2" count="1" selected="0">
            <x v="2"/>
          </reference>
          <reference field="5" count="1" selected="0">
            <x v="8"/>
          </reference>
          <reference field="13" count="1">
            <x v="2"/>
          </reference>
          <reference field="23" count="1" selected="0">
            <x v="0"/>
          </reference>
          <reference field="72" count="1" selected="0">
            <x v="160"/>
          </reference>
        </references>
      </pivotArea>
    </format>
    <format dxfId="9351">
      <pivotArea dataOnly="0" labelOnly="1" outline="0" fieldPosition="0">
        <references count="6">
          <reference field="1" count="1" selected="0">
            <x v="29"/>
          </reference>
          <reference field="2" count="1" selected="0">
            <x v="2"/>
          </reference>
          <reference field="5" count="1" selected="0">
            <x v="12"/>
          </reference>
          <reference field="13" count="1">
            <x v="4"/>
          </reference>
          <reference field="23" count="1" selected="0">
            <x v="1"/>
          </reference>
          <reference field="72" count="1" selected="0">
            <x v="145"/>
          </reference>
        </references>
      </pivotArea>
    </format>
    <format dxfId="9350">
      <pivotArea dataOnly="0" labelOnly="1" outline="0" fieldPosition="0">
        <references count="6">
          <reference field="1" count="1" selected="0">
            <x v="29"/>
          </reference>
          <reference field="2" count="1" selected="0">
            <x v="16"/>
          </reference>
          <reference field="5" count="1" selected="0">
            <x v="0"/>
          </reference>
          <reference field="13" count="1">
            <x v="2"/>
          </reference>
          <reference field="23" count="1" selected="0">
            <x v="2"/>
          </reference>
          <reference field="72" count="1" selected="0">
            <x v="159"/>
          </reference>
        </references>
      </pivotArea>
    </format>
    <format dxfId="9349">
      <pivotArea dataOnly="0" labelOnly="1" outline="0" fieldPosition="0">
        <references count="6">
          <reference field="1" count="1" selected="0">
            <x v="29"/>
          </reference>
          <reference field="2" count="1" selected="0">
            <x v="16"/>
          </reference>
          <reference field="5" count="1" selected="0">
            <x v="12"/>
          </reference>
          <reference field="13" count="1">
            <x v="4"/>
          </reference>
          <reference field="23" count="1" selected="0">
            <x v="1"/>
          </reference>
          <reference field="72" count="1" selected="0">
            <x v="158"/>
          </reference>
        </references>
      </pivotArea>
    </format>
    <format dxfId="9348">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25"/>
          </reference>
        </references>
      </pivotArea>
    </format>
    <format dxfId="9347">
      <pivotArea dataOnly="0" labelOnly="1" outline="0" fieldPosition="0">
        <references count="6">
          <reference field="1" count="1" selected="0">
            <x v="32"/>
          </reference>
          <reference field="2" count="1" selected="0">
            <x v="0"/>
          </reference>
          <reference field="5" count="1" selected="0">
            <x v="12"/>
          </reference>
          <reference field="13" count="1">
            <x v="5"/>
          </reference>
          <reference field="23" count="1" selected="0">
            <x v="2"/>
          </reference>
          <reference field="72" count="1" selected="0">
            <x v="81"/>
          </reference>
        </references>
      </pivotArea>
    </format>
    <format dxfId="9346">
      <pivotArea dataOnly="0" labelOnly="1" outline="0" fieldPosition="0">
        <references count="6">
          <reference field="1" count="1" selected="0">
            <x v="32"/>
          </reference>
          <reference field="2" count="1" selected="0">
            <x v="14"/>
          </reference>
          <reference field="5" count="1" selected="0">
            <x v="11"/>
          </reference>
          <reference field="13" count="1">
            <x v="2"/>
          </reference>
          <reference field="23" count="1" selected="0">
            <x v="3"/>
          </reference>
          <reference field="72" count="1" selected="0">
            <x v="33"/>
          </reference>
        </references>
      </pivotArea>
    </format>
    <format dxfId="9345">
      <pivotArea dataOnly="0" labelOnly="1" outline="0" fieldPosition="0">
        <references count="6">
          <reference field="1" count="1" selected="0">
            <x v="37"/>
          </reference>
          <reference field="2" count="1" selected="0">
            <x v="10"/>
          </reference>
          <reference field="5" count="1" selected="0">
            <x v="0"/>
          </reference>
          <reference field="13" count="1">
            <x v="2"/>
          </reference>
          <reference field="23" count="1" selected="0">
            <x v="2"/>
          </reference>
          <reference field="72" count="1" selected="0">
            <x v="83"/>
          </reference>
        </references>
      </pivotArea>
    </format>
    <format dxfId="9344">
      <pivotArea dataOnly="0" labelOnly="1" outline="0" fieldPosition="0">
        <references count="6">
          <reference field="1" count="1" selected="0">
            <x v="37"/>
          </reference>
          <reference field="2" count="1" selected="0">
            <x v="10"/>
          </reference>
          <reference field="5" count="1" selected="0">
            <x v="7"/>
          </reference>
          <reference field="13" count="1">
            <x v="0"/>
          </reference>
          <reference field="23" count="1" selected="0">
            <x v="2"/>
          </reference>
          <reference field="72" count="1" selected="0">
            <x v="47"/>
          </reference>
        </references>
      </pivotArea>
    </format>
    <format dxfId="9343">
      <pivotArea dataOnly="0" labelOnly="1" outline="0" fieldPosition="0">
        <references count="6">
          <reference field="1" count="1" selected="0">
            <x v="38"/>
          </reference>
          <reference field="2" count="1" selected="0">
            <x v="3"/>
          </reference>
          <reference field="5" count="1" selected="0">
            <x v="12"/>
          </reference>
          <reference field="13" count="1">
            <x v="4"/>
          </reference>
          <reference field="23" count="1" selected="0">
            <x v="1"/>
          </reference>
          <reference field="72" count="1" selected="0">
            <x v="136"/>
          </reference>
        </references>
      </pivotArea>
    </format>
    <format dxfId="9342">
      <pivotArea dataOnly="0" labelOnly="1" outline="0" fieldPosition="0">
        <references count="6">
          <reference field="1" count="1" selected="0">
            <x v="38"/>
          </reference>
          <reference field="2" count="1" selected="0">
            <x v="5"/>
          </reference>
          <reference field="5" count="1" selected="0">
            <x v="4"/>
          </reference>
          <reference field="13" count="1">
            <x v="2"/>
          </reference>
          <reference field="23" count="1" selected="0">
            <x v="2"/>
          </reference>
          <reference field="72" count="1" selected="0">
            <x v="88"/>
          </reference>
        </references>
      </pivotArea>
    </format>
    <format dxfId="9341">
      <pivotArea dataOnly="0" labelOnly="1" outline="0" fieldPosition="0">
        <references count="6">
          <reference field="1" count="1" selected="0">
            <x v="38"/>
          </reference>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9340">
      <pivotArea dataOnly="0" labelOnly="1" outline="0" fieldPosition="0">
        <references count="6">
          <reference field="1" count="1" selected="0">
            <x v="38"/>
          </reference>
          <reference field="2" count="1" selected="0">
            <x v="6"/>
          </reference>
          <reference field="5" count="1" selected="0">
            <x v="12"/>
          </reference>
          <reference field="13" count="1">
            <x v="4"/>
          </reference>
          <reference field="23" count="1" selected="0">
            <x v="1"/>
          </reference>
          <reference field="72" count="1" selected="0">
            <x v="136"/>
          </reference>
        </references>
      </pivotArea>
    </format>
    <format dxfId="9339">
      <pivotArea dataOnly="0" labelOnly="1" outline="0" fieldPosition="0">
        <references count="6">
          <reference field="1" count="1" selected="0">
            <x v="38"/>
          </reference>
          <reference field="2" count="1" selected="0">
            <x v="6"/>
          </reference>
          <reference field="5" count="1" selected="0">
            <x v="12"/>
          </reference>
          <reference field="13" count="1">
            <x v="5"/>
          </reference>
          <reference field="23" count="1" selected="0">
            <x v="2"/>
          </reference>
          <reference field="72" count="1" selected="0">
            <x v="71"/>
          </reference>
        </references>
      </pivotArea>
    </format>
    <format dxfId="9338">
      <pivotArea dataOnly="0" labelOnly="1" outline="0" fieldPosition="0">
        <references count="6">
          <reference field="1" count="1" selected="0">
            <x v="39"/>
          </reference>
          <reference field="2" count="1" selected="0">
            <x v="6"/>
          </reference>
          <reference field="5" count="1" selected="0">
            <x v="7"/>
          </reference>
          <reference field="13" count="1">
            <x v="0"/>
          </reference>
          <reference field="23" count="1" selected="0">
            <x v="2"/>
          </reference>
          <reference field="72" count="1" selected="0">
            <x v="163"/>
          </reference>
        </references>
      </pivotArea>
    </format>
    <format dxfId="9337">
      <pivotArea dataOnly="0" labelOnly="1" outline="0" fieldPosition="0">
        <references count="6">
          <reference field="1" count="1" selected="0">
            <x v="41"/>
          </reference>
          <reference field="2" count="1" selected="0">
            <x v="0"/>
          </reference>
          <reference field="5" count="1" selected="0">
            <x v="8"/>
          </reference>
          <reference field="13" count="1">
            <x v="2"/>
          </reference>
          <reference field="23" count="1" selected="0">
            <x v="0"/>
          </reference>
          <reference field="72" count="1" selected="0">
            <x v="107"/>
          </reference>
        </references>
      </pivotArea>
    </format>
    <format dxfId="9336">
      <pivotArea dataOnly="0" labelOnly="1" outline="0" fieldPosition="0">
        <references count="6">
          <reference field="1" count="1" selected="0">
            <x v="42"/>
          </reference>
          <reference field="2" count="1" selected="0">
            <x v="10"/>
          </reference>
          <reference field="5" count="1" selected="0">
            <x v="6"/>
          </reference>
          <reference field="13" count="1">
            <x v="4"/>
          </reference>
          <reference field="23" count="1" selected="0">
            <x v="1"/>
          </reference>
          <reference field="72" count="1" selected="0">
            <x v="167"/>
          </reference>
        </references>
      </pivotArea>
    </format>
    <format dxfId="9335">
      <pivotArea dataOnly="0" labelOnly="1" outline="0" fieldPosition="0">
        <references count="6">
          <reference field="1" count="1" selected="0">
            <x v="42"/>
          </reference>
          <reference field="2" count="1" selected="0">
            <x v="10"/>
          </reference>
          <reference field="5" count="1" selected="0">
            <x v="6"/>
          </reference>
          <reference field="13" count="1">
            <x v="5"/>
          </reference>
          <reference field="23" count="1" selected="0">
            <x v="2"/>
          </reference>
          <reference field="72" count="1" selected="0">
            <x v="168"/>
          </reference>
        </references>
      </pivotArea>
    </format>
    <format dxfId="9334">
      <pivotArea dataOnly="0" labelOnly="1" outline="0" fieldPosition="0">
        <references count="6">
          <reference field="1" count="1" selected="0">
            <x v="44"/>
          </reference>
          <reference field="2" count="1" selected="0">
            <x v="6"/>
          </reference>
          <reference field="5" count="1" selected="0">
            <x v="6"/>
          </reference>
          <reference field="13" count="1">
            <x v="4"/>
          </reference>
          <reference field="23" count="1" selected="0">
            <x v="1"/>
          </reference>
          <reference field="72" count="1" selected="0">
            <x v="111"/>
          </reference>
        </references>
      </pivotArea>
    </format>
    <format dxfId="9333">
      <pivotArea dataOnly="0" labelOnly="1" outline="0" fieldPosition="0">
        <references count="6">
          <reference field="1" count="1" selected="0">
            <x v="44"/>
          </reference>
          <reference field="2" count="1" selected="0">
            <x v="6"/>
          </reference>
          <reference field="5" count="1" selected="0">
            <x v="6"/>
          </reference>
          <reference field="13" count="1">
            <x v="5"/>
          </reference>
          <reference field="23" count="1" selected="0">
            <x v="2"/>
          </reference>
          <reference field="72" count="1" selected="0">
            <x v="2"/>
          </reference>
        </references>
      </pivotArea>
    </format>
    <format dxfId="9332">
      <pivotArea dataOnly="0" labelOnly="1" outline="0" fieldPosition="0">
        <references count="6">
          <reference field="1" count="1" selected="0">
            <x v="47"/>
          </reference>
          <reference field="2" count="1" selected="0">
            <x v="10"/>
          </reference>
          <reference field="5" count="1" selected="0">
            <x v="5"/>
          </reference>
          <reference field="13" count="1">
            <x v="2"/>
          </reference>
          <reference field="23" count="1" selected="0">
            <x v="0"/>
          </reference>
          <reference field="72" count="1" selected="0">
            <x v="142"/>
          </reference>
        </references>
      </pivotArea>
    </format>
    <format dxfId="9331">
      <pivotArea field="81" type="button" dataOnly="0" labelOnly="1" outline="0" axis="axisRow" fieldPosition="8"/>
    </format>
    <format dxfId="9330">
      <pivotArea dataOnly="0" labelOnly="1" outline="0" fieldPosition="0">
        <references count="8">
          <reference field="1" count="1" selected="0">
            <x v="0"/>
          </reference>
          <reference field="2" count="1" selected="0">
            <x v="6"/>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105"/>
          </reference>
        </references>
      </pivotArea>
    </format>
    <format dxfId="9329">
      <pivotArea dataOnly="0" labelOnly="1" outline="0" fieldPosition="0">
        <references count="8">
          <reference field="1" count="1" selected="0">
            <x v="0"/>
          </reference>
          <reference field="2" count="1" selected="0">
            <x v="6"/>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5"/>
          </reference>
        </references>
      </pivotArea>
    </format>
    <format dxfId="9328">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9"/>
          </reference>
          <reference field="23" count="1" selected="0">
            <x v="2"/>
          </reference>
          <reference field="72" count="1" selected="0">
            <x v="44"/>
          </reference>
          <reference field="81" count="1">
            <x v="119"/>
          </reference>
        </references>
      </pivotArea>
    </format>
    <format dxfId="9327">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7"/>
          </reference>
          <reference field="23" count="1" selected="0">
            <x v="2"/>
          </reference>
          <reference field="72" count="1" selected="0">
            <x v="46"/>
          </reference>
          <reference field="81" count="1">
            <x v="120"/>
          </reference>
        </references>
      </pivotArea>
    </format>
    <format dxfId="9326">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3"/>
          </reference>
          <reference field="23" count="1" selected="0">
            <x v="2"/>
          </reference>
          <reference field="72" count="1" selected="0">
            <x v="52"/>
          </reference>
          <reference field="81" count="1">
            <x v="59"/>
          </reference>
        </references>
      </pivotArea>
    </format>
    <format dxfId="9325">
      <pivotArea dataOnly="0" labelOnly="1" outline="0" fieldPosition="0">
        <references count="8">
          <reference field="1" count="1" selected="0">
            <x v="0"/>
          </reference>
          <reference field="2" count="1" selected="0">
            <x v="6"/>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9324">
      <pivotArea dataOnly="0" labelOnly="1" outline="0" fieldPosition="0">
        <references count="8">
          <reference field="1" count="1" selected="0">
            <x v="0"/>
          </reference>
          <reference field="2" count="1" selected="0">
            <x v="6"/>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82"/>
          </reference>
        </references>
      </pivotArea>
    </format>
    <format dxfId="9323">
      <pivotArea dataOnly="0" labelOnly="1" outline="0" fieldPosition="0">
        <references count="8">
          <reference field="1" count="1" selected="0">
            <x v="0"/>
          </reference>
          <reference field="2" count="1" selected="0">
            <x v="6"/>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83"/>
          </reference>
        </references>
      </pivotArea>
    </format>
    <format dxfId="9322">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4"/>
          </reference>
        </references>
      </pivotArea>
    </format>
    <format dxfId="9321">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4"/>
          </reference>
          <reference field="81" count="1">
            <x v="35"/>
          </reference>
        </references>
      </pivotArea>
    </format>
    <format dxfId="9320">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67"/>
          </reference>
          <reference field="81" count="1">
            <x v="38"/>
          </reference>
        </references>
      </pivotArea>
    </format>
    <format dxfId="9319">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4"/>
          </reference>
          <reference field="81" count="1">
            <x v="41"/>
          </reference>
        </references>
      </pivotArea>
    </format>
    <format dxfId="9318">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4"/>
          </reference>
          <reference field="23" count="1" selected="0">
            <x v="2"/>
          </reference>
          <reference field="72" count="1" selected="0">
            <x v="50"/>
          </reference>
          <reference field="81" count="1">
            <x v="78"/>
          </reference>
        </references>
      </pivotArea>
    </format>
    <format dxfId="9317">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0"/>
          </reference>
          <reference field="23" count="1" selected="0">
            <x v="2"/>
          </reference>
          <reference field="72" count="1" selected="0">
            <x v="55"/>
          </reference>
          <reference field="81" count="1">
            <x v="79"/>
          </reference>
        </references>
      </pivotArea>
    </format>
    <format dxfId="9316">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9"/>
          </reference>
          <reference field="23" count="1" selected="0">
            <x v="2"/>
          </reference>
          <reference field="72" count="1" selected="0">
            <x v="38"/>
          </reference>
          <reference field="81" count="1">
            <x v="121"/>
          </reference>
        </references>
      </pivotArea>
    </format>
    <format dxfId="9315">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9"/>
          </reference>
          <reference field="23" count="1" selected="0">
            <x v="2"/>
          </reference>
          <reference field="72" count="1" selected="0">
            <x v="44"/>
          </reference>
          <reference field="81" count="1">
            <x v="119"/>
          </reference>
        </references>
      </pivotArea>
    </format>
    <format dxfId="9314">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7"/>
          </reference>
          <reference field="23" count="1" selected="0">
            <x v="2"/>
          </reference>
          <reference field="72" count="1" selected="0">
            <x v="46"/>
          </reference>
          <reference field="81" count="1">
            <x v="120"/>
          </reference>
        </references>
      </pivotArea>
    </format>
    <format dxfId="9313">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3"/>
          </reference>
          <reference field="23" count="1" selected="0">
            <x v="2"/>
          </reference>
          <reference field="72" count="1" selected="0">
            <x v="52"/>
          </reference>
          <reference field="81" count="1">
            <x v="59"/>
          </reference>
        </references>
      </pivotArea>
    </format>
    <format dxfId="9312">
      <pivotArea dataOnly="0" labelOnly="1" outline="0" fieldPosition="0">
        <references count="8">
          <reference field="1" count="1" selected="0">
            <x v="0"/>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9311">
      <pivotArea dataOnly="0" labelOnly="1" outline="0" fieldPosition="0">
        <references count="8">
          <reference field="1" count="1" selected="0">
            <x v="0"/>
          </reference>
          <reference field="2" count="1" selected="0">
            <x v="10"/>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84"/>
          </reference>
        </references>
      </pivotArea>
    </format>
    <format dxfId="9310">
      <pivotArea dataOnly="0" labelOnly="1" outline="0" fieldPosition="0">
        <references count="8">
          <reference field="1" count="1" selected="0">
            <x v="0"/>
          </reference>
          <reference field="2" count="1" selected="0">
            <x v="1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85"/>
          </reference>
        </references>
      </pivotArea>
    </format>
    <format dxfId="9309">
      <pivotArea dataOnly="0" labelOnly="1" outline="0" fieldPosition="0">
        <references count="8">
          <reference field="1" count="1" selected="0">
            <x v="1"/>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101"/>
          </reference>
        </references>
      </pivotArea>
    </format>
    <format dxfId="9308">
      <pivotArea dataOnly="0" labelOnly="1" outline="0" fieldPosition="0">
        <references count="8">
          <reference field="1" count="1" selected="0">
            <x v="1"/>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90"/>
          </reference>
        </references>
      </pivotArea>
    </format>
    <format dxfId="9307">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42"/>
          </reference>
          <reference field="81" count="1">
            <x v="57"/>
          </reference>
        </references>
      </pivotArea>
    </format>
    <format dxfId="9306">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44"/>
          </reference>
          <reference field="81" count="1">
            <x v="119"/>
          </reference>
        </references>
      </pivotArea>
    </format>
    <format dxfId="9305">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50"/>
          </reference>
          <reference field="81" count="1">
            <x v="51"/>
          </reference>
        </references>
      </pivotArea>
    </format>
    <format dxfId="9304">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61"/>
          </reference>
          <reference field="81" count="1">
            <x v="47"/>
          </reference>
        </references>
      </pivotArea>
    </format>
    <format dxfId="9303">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65"/>
          </reference>
          <reference field="81" count="1">
            <x v="48"/>
          </reference>
        </references>
      </pivotArea>
    </format>
    <format dxfId="9302">
      <pivotArea dataOnly="0" labelOnly="1" outline="0" fieldPosition="0">
        <references count="8">
          <reference field="1" count="1" selected="0">
            <x v="1"/>
          </reference>
          <reference field="2" count="1" selected="0">
            <x v="3"/>
          </reference>
          <reference field="5" count="1" selected="0">
            <x v="6"/>
          </reference>
          <reference field="13" count="1" selected="0">
            <x v="2"/>
          </reference>
          <reference field="22" count="1" selected="0">
            <x v="10"/>
          </reference>
          <reference field="23" count="1" selected="0">
            <x v="1"/>
          </reference>
          <reference field="72" count="1" selected="0">
            <x v="171"/>
          </reference>
          <reference field="81" count="1">
            <x v="86"/>
          </reference>
        </references>
      </pivotArea>
    </format>
    <format dxfId="9301">
      <pivotArea dataOnly="0" labelOnly="1" outline="0" fieldPosition="0">
        <references count="8">
          <reference field="1" count="1" selected="0">
            <x v="1"/>
          </reference>
          <reference field="2" count="1" selected="0">
            <x v="3"/>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87"/>
          </reference>
        </references>
      </pivotArea>
    </format>
    <format dxfId="9300">
      <pivotArea dataOnly="0" labelOnly="1" outline="0" fieldPosition="0">
        <references count="8">
          <reference field="1" count="1" selected="0">
            <x v="2"/>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98"/>
          </reference>
        </references>
      </pivotArea>
    </format>
    <format dxfId="9299">
      <pivotArea dataOnly="0" labelOnly="1" outline="0" fieldPosition="0">
        <references count="8">
          <reference field="1" count="1" selected="0">
            <x v="2"/>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5"/>
          </reference>
        </references>
      </pivotArea>
    </format>
    <format dxfId="9298">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10"/>
          </reference>
          <reference field="23" count="1" selected="0">
            <x v="2"/>
          </reference>
          <reference field="72" count="1" selected="0">
            <x v="50"/>
          </reference>
          <reference field="81" count="1">
            <x v="78"/>
          </reference>
        </references>
      </pivotArea>
    </format>
    <format dxfId="9297">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7"/>
          </reference>
          <reference field="23" count="1" selected="0">
            <x v="2"/>
          </reference>
          <reference field="72" count="1" selected="0">
            <x v="55"/>
          </reference>
          <reference field="81" count="1">
            <x v="79"/>
          </reference>
        </references>
      </pivotArea>
    </format>
    <format dxfId="9296">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46"/>
          </reference>
          <reference field="81" count="1">
            <x v="120"/>
          </reference>
        </references>
      </pivotArea>
    </format>
    <format dxfId="9295">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51"/>
          </reference>
          <reference field="81" count="1">
            <x v="122"/>
          </reference>
        </references>
      </pivotArea>
    </format>
    <format dxfId="9294">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154"/>
          </reference>
          <reference field="81" count="1">
            <x v="61"/>
          </reference>
        </references>
      </pivotArea>
    </format>
    <format dxfId="9293">
      <pivotArea dataOnly="0" labelOnly="1" outline="0" fieldPosition="0">
        <references count="8">
          <reference field="1" count="1" selected="0">
            <x v="3"/>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04"/>
          </reference>
        </references>
      </pivotArea>
    </format>
    <format dxfId="9292">
      <pivotArea dataOnly="0" labelOnly="1" outline="0" fieldPosition="0">
        <references count="8">
          <reference field="1" count="1" selected="0">
            <x v="3"/>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03"/>
          </reference>
        </references>
      </pivotArea>
    </format>
    <format dxfId="9291">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10"/>
          </reference>
          <reference field="23" count="1" selected="0">
            <x v="2"/>
          </reference>
          <reference field="72" count="1" selected="0">
            <x v="62"/>
          </reference>
          <reference field="81" count="1">
            <x v="80"/>
          </reference>
        </references>
      </pivotArea>
    </format>
    <format dxfId="9290">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83"/>
          </reference>
          <reference field="81" count="1">
            <x v="113"/>
          </reference>
        </references>
      </pivotArea>
    </format>
    <format dxfId="9289">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86"/>
          </reference>
          <reference field="81" count="1">
            <x v="115"/>
          </reference>
        </references>
      </pivotArea>
    </format>
    <format dxfId="9288">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93"/>
          </reference>
          <reference field="81" count="1">
            <x v="110"/>
          </reference>
        </references>
      </pivotArea>
    </format>
    <format dxfId="9287">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6"/>
          </reference>
          <reference field="81" count="1">
            <x v="114"/>
          </reference>
        </references>
      </pivotArea>
    </format>
    <format dxfId="9286">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47"/>
          </reference>
          <reference field="81" count="1">
            <x v="116"/>
          </reference>
        </references>
      </pivotArea>
    </format>
    <format dxfId="9285">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8"/>
          </reference>
          <reference field="81" count="1">
            <x v="117"/>
          </reference>
        </references>
      </pivotArea>
    </format>
    <format dxfId="9284">
      <pivotArea dataOnly="0" labelOnly="1" outline="0" fieldPosition="0">
        <references count="8">
          <reference field="1" count="1" selected="0">
            <x v="3"/>
          </reference>
          <reference field="2" count="1" selected="0">
            <x v="3"/>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95"/>
          </reference>
        </references>
      </pivotArea>
    </format>
    <format dxfId="9283">
      <pivotArea dataOnly="0" labelOnly="1" outline="0" fieldPosition="0">
        <references count="8">
          <reference field="1" count="1" selected="0">
            <x v="4"/>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02"/>
          </reference>
        </references>
      </pivotArea>
    </format>
    <format dxfId="9282">
      <pivotArea dataOnly="0" labelOnly="1" outline="0" fieldPosition="0">
        <references count="8">
          <reference field="1" count="1" selected="0">
            <x v="4"/>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5"/>
          </reference>
        </references>
      </pivotArea>
    </format>
    <format dxfId="9281">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67"/>
          </reference>
          <reference field="81" count="1">
            <x v="38"/>
          </reference>
        </references>
      </pivotArea>
    </format>
    <format dxfId="9280">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71"/>
          </reference>
          <reference field="81" count="1">
            <x v="39"/>
          </reference>
        </references>
      </pivotArea>
    </format>
    <format dxfId="9279">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83"/>
          </reference>
          <reference field="81" count="1">
            <x v="113"/>
          </reference>
        </references>
      </pivotArea>
    </format>
    <format dxfId="9278">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86"/>
          </reference>
          <reference field="81" count="1">
            <x v="115"/>
          </reference>
        </references>
      </pivotArea>
    </format>
    <format dxfId="9277">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6"/>
          </reference>
          <reference field="81" count="1">
            <x v="114"/>
          </reference>
        </references>
      </pivotArea>
    </format>
    <format dxfId="9276">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49"/>
          </reference>
          <reference field="81" count="1">
            <x v="118"/>
          </reference>
        </references>
      </pivotArea>
    </format>
    <format dxfId="9275">
      <pivotArea dataOnly="0" labelOnly="1" outline="0" fieldPosition="0">
        <references count="8">
          <reference field="1" count="1" selected="0">
            <x v="4"/>
          </reference>
          <reference field="2" count="1" selected="0">
            <x v="3"/>
          </reference>
          <reference field="5" count="1" selected="0">
            <x v="4"/>
          </reference>
          <reference field="13" count="1" selected="0">
            <x v="2"/>
          </reference>
          <reference field="22" count="1" selected="0">
            <x v="10"/>
          </reference>
          <reference field="23" count="1" selected="0">
            <x v="2"/>
          </reference>
          <reference field="72" count="1" selected="0">
            <x v="39"/>
          </reference>
          <reference field="81" count="1">
            <x v="60"/>
          </reference>
        </references>
      </pivotArea>
    </format>
    <format dxfId="9274">
      <pivotArea dataOnly="0" labelOnly="1" outline="0" fieldPosition="0">
        <references count="8">
          <reference field="1" count="1" selected="0">
            <x v="4"/>
          </reference>
          <reference field="2" count="1" selected="0">
            <x v="3"/>
          </reference>
          <reference field="5" count="1" selected="0">
            <x v="4"/>
          </reference>
          <reference field="13" count="1" selected="0">
            <x v="2"/>
          </reference>
          <reference field="22" count="1" selected="0">
            <x v="7"/>
          </reference>
          <reference field="23" count="1" selected="0">
            <x v="2"/>
          </reference>
          <reference field="72" count="1" selected="0">
            <x v="52"/>
          </reference>
          <reference field="81" count="1">
            <x v="59"/>
          </reference>
        </references>
      </pivotArea>
    </format>
    <format dxfId="9273">
      <pivotArea dataOnly="0" labelOnly="1" outline="0" fieldPosition="0">
        <references count="8">
          <reference field="1" count="1" selected="0">
            <x v="4"/>
          </reference>
          <reference field="2" count="1" selected="0">
            <x v="3"/>
          </reference>
          <reference field="5" count="1" selected="0">
            <x v="4"/>
          </reference>
          <reference field="13" count="1" selected="0">
            <x v="2"/>
          </reference>
          <reference field="22" count="1" selected="0">
            <x v="3"/>
          </reference>
          <reference field="23" count="1" selected="0">
            <x v="2"/>
          </reference>
          <reference field="72" count="1" selected="0">
            <x v="154"/>
          </reference>
          <reference field="81" count="1">
            <x v="61"/>
          </reference>
        </references>
      </pivotArea>
    </format>
    <format dxfId="9272">
      <pivotArea dataOnly="0" labelOnly="1" outline="0" fieldPosition="0">
        <references count="8">
          <reference field="1" count="1" selected="0">
            <x v="5"/>
          </reference>
          <reference field="2" count="1" selected="0">
            <x v="8"/>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90"/>
          </reference>
        </references>
      </pivotArea>
    </format>
    <format dxfId="9271">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4"/>
          </reference>
        </references>
      </pivotArea>
    </format>
    <format dxfId="9270">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64"/>
          </reference>
          <reference field="81" count="1">
            <x v="35"/>
          </reference>
        </references>
      </pivotArea>
    </format>
    <format dxfId="9269">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67"/>
          </reference>
          <reference field="81" count="1">
            <x v="38"/>
          </reference>
        </references>
      </pivotArea>
    </format>
    <format dxfId="9268">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74"/>
          </reference>
          <reference field="81" count="1">
            <x v="41"/>
          </reference>
        </references>
      </pivotArea>
    </format>
    <format dxfId="9267">
      <pivotArea dataOnly="0" labelOnly="1" outline="0" fieldPosition="0">
        <references count="8">
          <reference field="1" count="1" selected="0">
            <x v="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9266">
      <pivotArea dataOnly="0" labelOnly="1" outline="0" fieldPosition="0">
        <references count="8">
          <reference field="1" count="1" selected="0">
            <x v="7"/>
          </reference>
          <reference field="2" count="1" selected="0">
            <x v="5"/>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09"/>
          </reference>
        </references>
      </pivotArea>
    </format>
    <format dxfId="9265">
      <pivotArea dataOnly="0" labelOnly="1" outline="0" fieldPosition="0">
        <references count="8">
          <reference field="1" count="1" selected="0">
            <x v="7"/>
          </reference>
          <reference field="2" count="1" selected="0">
            <x v="5"/>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08"/>
          </reference>
        </references>
      </pivotArea>
    </format>
    <format dxfId="9264">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80"/>
          </reference>
          <reference field="81" count="1">
            <x v="25"/>
          </reference>
        </references>
      </pivotArea>
    </format>
    <format dxfId="9263">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84"/>
          </reference>
          <reference field="81" count="1">
            <x v="26"/>
          </reference>
        </references>
      </pivotArea>
    </format>
    <format dxfId="9262">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85"/>
          </reference>
          <reference field="81" count="1">
            <x v="27"/>
          </reference>
        </references>
      </pivotArea>
    </format>
    <format dxfId="9261">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89"/>
          </reference>
          <reference field="81" count="1">
            <x v="28"/>
          </reference>
        </references>
      </pivotArea>
    </format>
    <format dxfId="9260">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36"/>
          </reference>
        </references>
      </pivotArea>
    </format>
    <format dxfId="9259">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39"/>
          </reference>
        </references>
      </pivotArea>
    </format>
    <format dxfId="9258">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12"/>
          </reference>
        </references>
      </pivotArea>
    </format>
    <format dxfId="9257">
      <pivotArea dataOnly="0" labelOnly="1" outline="0" fieldPosition="0">
        <references count="8">
          <reference field="1" count="1" selected="0">
            <x v="9"/>
          </reference>
          <reference field="2" count="1" selected="0">
            <x v="5"/>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99"/>
          </reference>
        </references>
      </pivotArea>
    </format>
    <format dxfId="9256">
      <pivotArea dataOnly="0" labelOnly="1" outline="0" fieldPosition="0">
        <references count="8">
          <reference field="1" count="1" selected="0">
            <x v="9"/>
          </reference>
          <reference field="2" count="1" selected="0">
            <x v="5"/>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00"/>
          </reference>
        </references>
      </pivotArea>
    </format>
    <format dxfId="9255">
      <pivotArea dataOnly="0" labelOnly="1" outline="0" fieldPosition="0">
        <references count="8">
          <reference field="1" count="1" selected="0">
            <x v="9"/>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5"/>
          </reference>
        </references>
      </pivotArea>
    </format>
    <format dxfId="9254">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26"/>
          </reference>
          <reference field="81" count="1">
            <x v="77"/>
          </reference>
        </references>
      </pivotArea>
    </format>
    <format dxfId="9253">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28"/>
          </reference>
          <reference field="81" count="1">
            <x v="74"/>
          </reference>
        </references>
      </pivotArea>
    </format>
    <format dxfId="9252">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39"/>
          </reference>
          <reference field="81" count="1">
            <x v="60"/>
          </reference>
        </references>
      </pivotArea>
    </format>
    <format dxfId="9251">
      <pivotArea dataOnly="0" labelOnly="1" outline="0" fieldPosition="0">
        <references count="8">
          <reference field="1" count="1" selected="0">
            <x v="9"/>
          </reference>
          <reference field="2" count="1" selected="0">
            <x v="5"/>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84"/>
          </reference>
        </references>
      </pivotArea>
    </format>
    <format dxfId="9250">
      <pivotArea dataOnly="0" labelOnly="1" outline="0" fieldPosition="0">
        <references count="8">
          <reference field="1" count="1" selected="0">
            <x v="9"/>
          </reference>
          <reference field="2"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90"/>
          </reference>
        </references>
      </pivotArea>
    </format>
    <format dxfId="9249">
      <pivotArea dataOnly="0" labelOnly="1" outline="0" fieldPosition="0">
        <references count="8">
          <reference field="1" count="1" selected="0">
            <x v="10"/>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x v="10"/>
          </reference>
        </references>
      </pivotArea>
    </format>
    <format dxfId="9248">
      <pivotArea dataOnly="0" labelOnly="1" outline="0" fieldPosition="0">
        <references count="8">
          <reference field="1" count="1" selected="0">
            <x v="11"/>
          </reference>
          <reference field="2" count="1" selected="0">
            <x v="10"/>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x v="11"/>
          </reference>
        </references>
      </pivotArea>
    </format>
    <format dxfId="9247">
      <pivotArea dataOnly="0" labelOnly="1" outline="0" fieldPosition="0">
        <references count="8">
          <reference field="1" count="1" selected="0">
            <x v="12"/>
          </reference>
          <reference field="2" count="1" selected="0">
            <x v="5"/>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99"/>
          </reference>
        </references>
      </pivotArea>
    </format>
    <format dxfId="9246">
      <pivotArea dataOnly="0" labelOnly="1" outline="0" fieldPosition="0">
        <references count="8">
          <reference field="1" count="1" selected="0">
            <x v="12"/>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00"/>
          </reference>
        </references>
      </pivotArea>
    </format>
    <format dxfId="9245">
      <pivotArea dataOnly="0" labelOnly="1" outline="0" fieldPosition="0">
        <references count="8">
          <reference field="1" count="1" selected="0">
            <x v="12"/>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5"/>
          </reference>
        </references>
      </pivotArea>
    </format>
    <format dxfId="9244">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20"/>
          </reference>
          <reference field="81" count="1">
            <x v="76"/>
          </reference>
        </references>
      </pivotArea>
    </format>
    <format dxfId="9243">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36"/>
          </reference>
          <reference field="81" count="1">
            <x v="50"/>
          </reference>
        </references>
      </pivotArea>
    </format>
    <format dxfId="9242">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38"/>
          </reference>
        </references>
      </pivotArea>
    </format>
    <format dxfId="9241">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12"/>
          </reference>
        </references>
      </pivotArea>
    </format>
    <format dxfId="9240">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10"/>
          </reference>
        </references>
      </pivotArea>
    </format>
    <format dxfId="9239">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11"/>
          </reference>
        </references>
      </pivotArea>
    </format>
    <format dxfId="9238">
      <pivotArea dataOnly="0" labelOnly="1" outline="0" fieldPosition="0">
        <references count="8">
          <reference field="1" count="1" selected="0">
            <x v="13"/>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x v="8"/>
          </reference>
        </references>
      </pivotArea>
    </format>
    <format dxfId="9237">
      <pivotArea dataOnly="0" labelOnly="1" outline="0" fieldPosition="0">
        <references count="8">
          <reference field="1" count="1" selected="0">
            <x v="14"/>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x v="9"/>
          </reference>
        </references>
      </pivotArea>
    </format>
    <format dxfId="9236">
      <pivotArea dataOnly="0" labelOnly="1" outline="0" fieldPosition="0">
        <references count="8">
          <reference field="1" count="1" selected="0">
            <x v="15"/>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81"/>
          </reference>
        </references>
      </pivotArea>
    </format>
    <format dxfId="9235">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29"/>
          </reference>
          <reference field="81" count="1">
            <x v="55"/>
          </reference>
        </references>
      </pivotArea>
    </format>
    <format dxfId="9234">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33"/>
          </reference>
          <reference field="81" count="1">
            <x v="56"/>
          </reference>
        </references>
      </pivotArea>
    </format>
    <format dxfId="9233">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3"/>
          </reference>
          <reference field="23" count="1" selected="0">
            <x v="2"/>
          </reference>
          <reference field="72" count="1" selected="0">
            <x v="42"/>
          </reference>
          <reference field="81" count="1">
            <x v="57"/>
          </reference>
        </references>
      </pivotArea>
    </format>
    <format dxfId="9232">
      <pivotArea dataOnly="0" labelOnly="1" outline="0" fieldPosition="0">
        <references count="8">
          <reference field="1" count="1" selected="0">
            <x v="16"/>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81"/>
          </reference>
        </references>
      </pivotArea>
    </format>
    <format dxfId="9231">
      <pivotArea dataOnly="0" labelOnly="1" outline="0" fieldPosition="0">
        <references count="8">
          <reference field="1" count="1" selected="0">
            <x v="16"/>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151"/>
          </reference>
          <reference field="81" count="1">
            <x v="122"/>
          </reference>
        </references>
      </pivotArea>
    </format>
    <format dxfId="9230">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29"/>
          </reference>
          <reference field="81" count="1">
            <x v="55"/>
          </reference>
        </references>
      </pivotArea>
    </format>
    <format dxfId="9229">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33"/>
          </reference>
          <reference field="81" count="1">
            <x v="56"/>
          </reference>
        </references>
      </pivotArea>
    </format>
    <format dxfId="9228">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3"/>
          </reference>
          <reference field="23" count="1" selected="0">
            <x v="2"/>
          </reference>
          <reference field="72" count="1" selected="0">
            <x v="42"/>
          </reference>
          <reference field="81" count="1">
            <x v="57"/>
          </reference>
        </references>
      </pivotArea>
    </format>
    <format dxfId="9227">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1"/>
          </reference>
          <reference field="23" count="1" selected="0">
            <x v="2"/>
          </reference>
          <reference field="72" count="1" selected="0">
            <x v="77"/>
          </reference>
          <reference field="81" count="1">
            <x v="43"/>
          </reference>
        </references>
      </pivotArea>
    </format>
    <format dxfId="9226">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0"/>
          </reference>
          <reference field="23" count="1" selected="0">
            <x v="2"/>
          </reference>
          <reference field="72" count="1" selected="0">
            <x v="104"/>
          </reference>
          <reference field="81" count="1">
            <x v="58"/>
          </reference>
        </references>
      </pivotArea>
    </format>
    <format dxfId="9225">
      <pivotArea dataOnly="0" labelOnly="1" outline="0" fieldPosition="0">
        <references count="8">
          <reference field="1" count="1" selected="0">
            <x v="1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9224">
      <pivotArea dataOnly="0" labelOnly="1" outline="0" fieldPosition="0">
        <references count="8">
          <reference field="1" count="1" selected="0">
            <x v="17"/>
          </reference>
          <reference field="2" count="1" selected="0">
            <x v="5"/>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96"/>
          </reference>
        </references>
      </pivotArea>
    </format>
    <format dxfId="9223">
      <pivotArea dataOnly="0" labelOnly="1" outline="0" fieldPosition="0">
        <references count="8">
          <reference field="1" count="1" selected="0">
            <x v="17"/>
          </reference>
          <reference field="2" count="1" selected="0">
            <x v="5"/>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97"/>
          </reference>
        </references>
      </pivotArea>
    </format>
    <format dxfId="9222">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42"/>
          </reference>
        </references>
      </pivotArea>
    </format>
    <format dxfId="9221">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43"/>
          </reference>
        </references>
      </pivotArea>
    </format>
    <format dxfId="9220">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44"/>
          </reference>
        </references>
      </pivotArea>
    </format>
    <format dxfId="9219">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7"/>
          </reference>
        </references>
      </pivotArea>
    </format>
    <format dxfId="9218">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42"/>
          </reference>
        </references>
      </pivotArea>
    </format>
    <format dxfId="9217">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43"/>
          </reference>
        </references>
      </pivotArea>
    </format>
    <format dxfId="9216">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44"/>
          </reference>
        </references>
      </pivotArea>
    </format>
    <format dxfId="9215">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7"/>
          </reference>
        </references>
      </pivotArea>
    </format>
    <format dxfId="9214">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45"/>
          </reference>
        </references>
      </pivotArea>
    </format>
    <format dxfId="9213">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42"/>
          </reference>
        </references>
      </pivotArea>
    </format>
    <format dxfId="9212">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43"/>
          </reference>
        </references>
      </pivotArea>
    </format>
    <format dxfId="9211">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26"/>
          </reference>
        </references>
      </pivotArea>
    </format>
    <format dxfId="9210">
      <pivotArea dataOnly="0" labelOnly="1" outline="0" fieldPosition="0">
        <references count="8">
          <reference field="1" count="1" selected="0">
            <x v="19"/>
          </reference>
          <reference field="2" count="1" selected="0">
            <x v="3"/>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104"/>
          </reference>
        </references>
      </pivotArea>
    </format>
    <format dxfId="9209">
      <pivotArea dataOnly="0" labelOnly="1" outline="0" fieldPosition="0">
        <references count="8">
          <reference field="1" count="1" selected="0">
            <x v="19"/>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06"/>
          </reference>
        </references>
      </pivotArea>
    </format>
    <format dxfId="9208">
      <pivotArea dataOnly="0" labelOnly="1" outline="0" fieldPosition="0">
        <references count="8">
          <reference field="1" count="1" selected="0">
            <x v="19"/>
          </reference>
          <reference field="2" count="1" selected="0">
            <x v="6"/>
          </reference>
          <reference field="5" count="1" selected="0">
            <x v="5"/>
          </reference>
          <reference field="13" count="1" selected="0">
            <x v="2"/>
          </reference>
          <reference field="22" count="1" selected="0">
            <x v="3"/>
          </reference>
          <reference field="23" count="1" selected="0">
            <x v="0"/>
          </reference>
          <reference field="72" count="1" selected="0">
            <x v="134"/>
          </reference>
          <reference field="81" count="1">
            <x v="21"/>
          </reference>
        </references>
      </pivotArea>
    </format>
    <format dxfId="9207">
      <pivotArea dataOnly="0" labelOnly="1" outline="0" fieldPosition="0">
        <references count="8">
          <reference field="1" count="1" selected="0">
            <x v="19"/>
          </reference>
          <reference field="2" count="1" selected="0">
            <x v="6"/>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51"/>
          </reference>
        </references>
      </pivotArea>
    </format>
    <format dxfId="9206">
      <pivotArea dataOnly="0" labelOnly="1" outline="0" fieldPosition="0">
        <references count="8">
          <reference field="1" count="1" selected="0">
            <x v="19"/>
          </reference>
          <reference field="2" count="1" selected="0">
            <x v="10"/>
          </reference>
          <reference field="5" count="1" selected="0">
            <x v="4"/>
          </reference>
          <reference field="13" count="1" selected="0">
            <x v="2"/>
          </reference>
          <reference field="22" count="1" selected="0">
            <x v="7"/>
          </reference>
          <reference field="23" count="1" selected="0">
            <x v="2"/>
          </reference>
          <reference field="72" count="1" selected="0">
            <x v="92"/>
          </reference>
          <reference field="81" count="1">
            <x v="29"/>
          </reference>
        </references>
      </pivotArea>
    </format>
    <format dxfId="9205">
      <pivotArea dataOnly="0" labelOnly="1" outline="0" fieldPosition="0">
        <references count="8">
          <reference field="1" count="1" selected="0">
            <x v="19"/>
          </reference>
          <reference field="2" count="1" selected="0">
            <x v="10"/>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50"/>
          </reference>
        </references>
      </pivotArea>
    </format>
    <format dxfId="9204">
      <pivotArea dataOnly="0" labelOnly="1" outline="0" fieldPosition="0">
        <references count="8">
          <reference field="1" count="1" selected="0">
            <x v="20"/>
          </reference>
          <reference field="2" count="1" selected="0">
            <x v="10"/>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53"/>
          </reference>
        </references>
      </pivotArea>
    </format>
    <format dxfId="9203">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41"/>
          </reference>
          <reference field="81" count="1">
            <x v="72"/>
          </reference>
        </references>
      </pivotArea>
    </format>
    <format dxfId="9202">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42"/>
          </reference>
          <reference field="81" count="1">
            <x v="73"/>
          </reference>
        </references>
      </pivotArea>
    </format>
    <format dxfId="9201">
      <pivotArea dataOnly="0" labelOnly="1" outline="0" fieldPosition="0">
        <references count="8">
          <reference field="1" count="1" selected="0">
            <x v="21"/>
          </reference>
          <reference field="2" count="1" selected="0">
            <x v="5"/>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9200">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7"/>
          </reference>
        </references>
      </pivotArea>
    </format>
    <format dxfId="9199">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33"/>
          </reference>
        </references>
      </pivotArea>
    </format>
    <format dxfId="9198">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34"/>
          </reference>
        </references>
      </pivotArea>
    </format>
    <format dxfId="9197">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35"/>
          </reference>
        </references>
      </pivotArea>
    </format>
    <format dxfId="9196">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36"/>
          </reference>
        </references>
      </pivotArea>
    </format>
    <format dxfId="9195">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7"/>
          </reference>
          <reference field="23" count="1" selected="0">
            <x v="2"/>
          </reference>
          <reference field="72" count="1" selected="0">
            <x v="61"/>
          </reference>
          <reference field="81" count="1">
            <x v="47"/>
          </reference>
        </references>
      </pivotArea>
    </format>
    <format dxfId="9194">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5"/>
          </reference>
          <reference field="23" count="1" selected="0">
            <x v="2"/>
          </reference>
          <reference field="72" count="1" selected="0">
            <x v="65"/>
          </reference>
          <reference field="81" count="1">
            <x v="48"/>
          </reference>
        </references>
      </pivotArea>
    </format>
    <format dxfId="9193">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3"/>
          </reference>
          <reference field="23" count="1" selected="0">
            <x v="2"/>
          </reference>
          <reference field="72" count="1" selected="0">
            <x v="68"/>
          </reference>
          <reference field="81" count="1">
            <x v="45"/>
          </reference>
        </references>
      </pivotArea>
    </format>
    <format dxfId="9192">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1"/>
          </reference>
          <reference field="23" count="1" selected="0">
            <x v="2"/>
          </reference>
          <reference field="72" count="1" selected="0">
            <x v="75"/>
          </reference>
          <reference field="81" count="1">
            <x v="49"/>
          </reference>
        </references>
      </pivotArea>
    </format>
    <format dxfId="9191">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4"/>
          </reference>
          <reference field="81" count="1">
            <x v="35"/>
          </reference>
        </references>
      </pivotArea>
    </format>
    <format dxfId="9190">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7"/>
          </reference>
          <reference field="81" count="1">
            <x v="38"/>
          </reference>
        </references>
      </pivotArea>
    </format>
    <format dxfId="9189">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71"/>
          </reference>
          <reference field="81" count="1">
            <x v="39"/>
          </reference>
        </references>
      </pivotArea>
    </format>
    <format dxfId="9188">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9"/>
          </reference>
          <reference field="81" count="1">
            <x v="40"/>
          </reference>
        </references>
      </pivotArea>
    </format>
    <format dxfId="9187">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7"/>
          </reference>
          <reference field="23" count="1" selected="0">
            <x v="2"/>
          </reference>
          <reference field="72" count="1" selected="0">
            <x v="92"/>
          </reference>
          <reference field="81" count="1">
            <x v="29"/>
          </reference>
        </references>
      </pivotArea>
    </format>
    <format dxfId="9186">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5"/>
          </reference>
          <reference field="23" count="1" selected="0">
            <x v="2"/>
          </reference>
          <reference field="72" count="1" selected="0">
            <x v="95"/>
          </reference>
          <reference field="81" count="1">
            <x v="30"/>
          </reference>
        </references>
      </pivotArea>
    </format>
    <format dxfId="9185">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3"/>
          </reference>
          <reference field="23" count="1" selected="0">
            <x v="2"/>
          </reference>
          <reference field="72" count="1" selected="0">
            <x v="97"/>
          </reference>
          <reference field="81" count="1">
            <x v="31"/>
          </reference>
        </references>
      </pivotArea>
    </format>
    <format dxfId="9184">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1"/>
          </reference>
          <reference field="23" count="1" selected="0">
            <x v="2"/>
          </reference>
          <reference field="72" count="1" selected="0">
            <x v="99"/>
          </reference>
          <reference field="81" count="1">
            <x v="32"/>
          </reference>
        </references>
      </pivotArea>
    </format>
    <format dxfId="9183">
      <pivotArea dataOnly="0" labelOnly="1" outline="0" fieldPosition="0">
        <references count="8">
          <reference field="1" count="1" selected="0">
            <x v="25"/>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x v="7"/>
          </reference>
        </references>
      </pivotArea>
    </format>
    <format dxfId="9182">
      <pivotArea dataOnly="0" labelOnly="1" outline="0" fieldPosition="0">
        <references count="8">
          <reference field="1" count="1" selected="0">
            <x v="26"/>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x v="6"/>
          </reference>
        </references>
      </pivotArea>
    </format>
    <format dxfId="9181">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10"/>
          </reference>
          <reference field="23" count="1" selected="0">
            <x v="2"/>
          </reference>
          <reference field="72" count="1" selected="0">
            <x v="94"/>
          </reference>
          <reference field="81" count="1">
            <x v="64"/>
          </reference>
        </references>
      </pivotArea>
    </format>
    <format dxfId="9180">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7"/>
          </reference>
          <reference field="23" count="1" selected="0">
            <x v="2"/>
          </reference>
          <reference field="72" count="1" selected="0">
            <x v="96"/>
          </reference>
          <reference field="81" count="1">
            <x v="70"/>
          </reference>
        </references>
      </pivotArea>
    </format>
    <format dxfId="9179">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3"/>
          </reference>
          <reference field="23" count="1" selected="0">
            <x v="2"/>
          </reference>
          <reference field="72" count="1" selected="0">
            <x v="101"/>
          </reference>
          <reference field="81" count="1">
            <x v="71"/>
          </reference>
        </references>
      </pivotArea>
    </format>
    <format dxfId="9178">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41"/>
          </reference>
          <reference field="81" count="1">
            <x v="72"/>
          </reference>
        </references>
      </pivotArea>
    </format>
    <format dxfId="9177">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42"/>
          </reference>
          <reference field="81" count="1">
            <x v="73"/>
          </reference>
        </references>
      </pivotArea>
    </format>
    <format dxfId="9176">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33"/>
          </reference>
        </references>
      </pivotArea>
    </format>
    <format dxfId="9175">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34"/>
          </reference>
        </references>
      </pivotArea>
    </format>
    <format dxfId="9174">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35"/>
          </reference>
        </references>
      </pivotArea>
    </format>
    <format dxfId="9173">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36"/>
          </reference>
        </references>
      </pivotArea>
    </format>
    <format dxfId="9172">
      <pivotArea dataOnly="0" labelOnly="1" outline="0" fieldPosition="0">
        <references count="8">
          <reference field="1" count="1" selected="0">
            <x v="29"/>
          </reference>
          <reference field="2" count="1" selected="0">
            <x v="2"/>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9171">
      <pivotArea dataOnly="0" labelOnly="1" outline="0" fieldPosition="0">
        <references count="8">
          <reference field="1" count="1" selected="0">
            <x v="29"/>
          </reference>
          <reference field="2" count="1" selected="0">
            <x v="2"/>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54"/>
          </reference>
        </references>
      </pivotArea>
    </format>
    <format dxfId="9170">
      <pivotArea dataOnly="0" labelOnly="1" outline="0" fieldPosition="0">
        <references count="8">
          <reference field="1" count="1" selected="0">
            <x v="29"/>
          </reference>
          <reference field="2" count="1" selected="0">
            <x v="2"/>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9169">
      <pivotArea dataOnly="0" labelOnly="1" outline="0" fieldPosition="0">
        <references count="8">
          <reference field="1" count="1" selected="0">
            <x v="30"/>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x v="14"/>
          </reference>
        </references>
      </pivotArea>
    </format>
    <format dxfId="9168">
      <pivotArea dataOnly="0" labelOnly="1" outline="0" fieldPosition="0">
        <references count="8">
          <reference field="1" count="1" selected="0">
            <x v="30"/>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x v="24"/>
          </reference>
        </references>
      </pivotArea>
    </format>
    <format dxfId="9167">
      <pivotArea dataOnly="0" labelOnly="1" outline="0" fieldPosition="0">
        <references count="8">
          <reference field="1" count="1" selected="0">
            <x v="30"/>
          </reference>
          <reference field="2" count="1" selected="0">
            <x v="14"/>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9166">
      <pivotArea dataOnly="0" labelOnly="1" outline="0" fieldPosition="0">
        <references count="8">
          <reference field="1" count="1" selected="0">
            <x v="3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x v="17"/>
          </reference>
        </references>
      </pivotArea>
    </format>
    <format dxfId="9165">
      <pivotArea dataOnly="0" labelOnly="1" outline="0" fieldPosition="0">
        <references count="8">
          <reference field="1" count="1" selected="0">
            <x v="32"/>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9164">
      <pivotArea dataOnly="0" labelOnly="1" outline="0" fieldPosition="0">
        <references count="8">
          <reference field="1" count="1" selected="0">
            <x v="33"/>
          </reference>
          <reference field="2" count="1" selected="0">
            <x v="1"/>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x v="18"/>
          </reference>
        </references>
      </pivotArea>
    </format>
    <format dxfId="9163">
      <pivotArea dataOnly="0" labelOnly="1" outline="0" fieldPosition="0">
        <references count="8">
          <reference field="1" count="1" selected="0">
            <x v="34"/>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x v="16"/>
          </reference>
        </references>
      </pivotArea>
    </format>
    <format dxfId="9162">
      <pivotArea dataOnly="0" labelOnly="1" outline="0" fieldPosition="0">
        <references count="8">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9161">
      <pivotArea dataOnly="0" labelOnly="1" outline="0" fieldPosition="0">
        <references count="8">
          <reference field="1" count="1" selected="0">
            <x v="36"/>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9160">
      <pivotArea dataOnly="0" labelOnly="1" outline="0" fieldPosition="0">
        <references count="8">
          <reference field="1" count="1" selected="0">
            <x v="36"/>
          </reference>
          <reference field="2"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9159">
      <pivotArea dataOnly="0" labelOnly="1" outline="0" fieldPosition="0">
        <references count="8">
          <reference field="1" count="1" selected="0">
            <x v="37"/>
          </reference>
          <reference field="2" count="1" selected="0">
            <x v="10"/>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13"/>
          </reference>
        </references>
      </pivotArea>
    </format>
    <format dxfId="9158">
      <pivotArea dataOnly="0" labelOnly="1" outline="0" fieldPosition="0">
        <references count="8">
          <reference field="1" count="1" selected="0">
            <x v="37"/>
          </reference>
          <reference field="2" count="1" selected="0">
            <x v="10"/>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52"/>
          </reference>
        </references>
      </pivotArea>
    </format>
    <format dxfId="9157">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20"/>
          </reference>
          <reference field="23" count="1" selected="0">
            <x v="2"/>
          </reference>
          <reference field="72" count="1" selected="0">
            <x v="88"/>
          </reference>
          <reference field="81" count="1">
            <x v="63"/>
          </reference>
        </references>
      </pivotArea>
    </format>
    <format dxfId="9156">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3"/>
          </reference>
          <reference field="23" count="1" selected="0">
            <x v="2"/>
          </reference>
          <reference field="72" count="1" selected="0">
            <x v="91"/>
          </reference>
          <reference field="81" count="1">
            <x v="62"/>
          </reference>
        </references>
      </pivotArea>
    </format>
    <format dxfId="9155">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64"/>
          </reference>
        </references>
      </pivotArea>
    </format>
    <format dxfId="9154">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3"/>
          </reference>
          <reference field="23" count="1" selected="0">
            <x v="2"/>
          </reference>
          <reference field="72" count="1" selected="0">
            <x v="98"/>
          </reference>
          <reference field="81" count="1">
            <x v="53"/>
          </reference>
        </references>
      </pivotArea>
    </format>
    <format dxfId="9153">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69"/>
          </reference>
        </references>
      </pivotArea>
    </format>
    <format dxfId="9152">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68"/>
          </reference>
        </references>
      </pivotArea>
    </format>
    <format dxfId="9151">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67"/>
          </reference>
        </references>
      </pivotArea>
    </format>
    <format dxfId="9150">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66"/>
          </reference>
        </references>
      </pivotArea>
    </format>
    <format dxfId="9149">
      <pivotArea dataOnly="0" labelOnly="1" outline="0" fieldPosition="0">
        <references count="8">
          <reference field="1" count="1" selected="0">
            <x v="38"/>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65"/>
          </reference>
        </references>
      </pivotArea>
    </format>
    <format dxfId="9148">
      <pivotArea dataOnly="0" labelOnly="1" outline="0" fieldPosition="0">
        <references count="8">
          <reference field="1" count="1" selected="0">
            <x v="39"/>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46"/>
          </reference>
        </references>
      </pivotArea>
    </format>
    <format dxfId="9147">
      <pivotArea dataOnly="0" labelOnly="1" outline="0" fieldPosition="0">
        <references count="8">
          <reference field="1" count="1" selected="0">
            <x v="4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9146">
      <pivotArea dataOnly="0" labelOnly="1" outline="0" fieldPosition="0">
        <references count="8">
          <reference field="1" count="1" selected="0">
            <x v="42"/>
          </reference>
          <reference field="2" count="1" selected="0">
            <x v="10"/>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88"/>
          </reference>
        </references>
      </pivotArea>
    </format>
    <format dxfId="9145">
      <pivotArea dataOnly="0" labelOnly="1" outline="0" fieldPosition="0">
        <references count="8">
          <reference field="1" count="1" selected="0">
            <x v="42"/>
          </reference>
          <reference field="2" count="1" selected="0">
            <x v="10"/>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89"/>
          </reference>
        </references>
      </pivotArea>
    </format>
    <format dxfId="9144">
      <pivotArea dataOnly="0" labelOnly="1" outline="0" fieldPosition="0">
        <references count="8">
          <reference field="1" count="1" selected="0">
            <x v="44"/>
          </reference>
          <reference field="2" count="1" selected="0">
            <x v="6"/>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93"/>
          </reference>
        </references>
      </pivotArea>
    </format>
    <format dxfId="9143">
      <pivotArea dataOnly="0" labelOnly="1" outline="0" fieldPosition="0">
        <references count="8">
          <reference field="1" count="1" selected="0">
            <x v="44"/>
          </reference>
          <reference field="2" count="1" selected="0">
            <x v="6"/>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94"/>
          </reference>
        </references>
      </pivotArea>
    </format>
    <format dxfId="9142">
      <pivotArea dataOnly="0" labelOnly="1" outline="0" fieldPosition="0">
        <references count="8">
          <reference field="1" count="1" selected="0">
            <x v="45"/>
          </reference>
          <reference field="2" count="1" selected="0">
            <x v="6"/>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07"/>
          </reference>
        </references>
      </pivotArea>
    </format>
    <format dxfId="9141">
      <pivotArea dataOnly="0" labelOnly="1" outline="0" fieldPosition="0">
        <references count="8">
          <reference field="1" count="1" selected="0">
            <x v="47"/>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9140">
      <pivotArea dataOnly="0" labelOnly="1" outline="0" fieldPosition="0">
        <references count="8">
          <reference field="1" count="1" selected="0">
            <x v="48"/>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9139">
      <pivotArea field="82" type="button" dataOnly="0" labelOnly="1" outline="0" axis="axisRow" fieldPosition="9"/>
    </format>
    <format dxfId="9138">
      <pivotArea dataOnly="0" labelOnly="1" outline="0" fieldPosition="0">
        <references count="9">
          <reference field="1" count="1" selected="0">
            <x v="0"/>
          </reference>
          <reference field="2" count="1" selected="0">
            <x v="6"/>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9137">
      <pivotArea dataOnly="0" labelOnly="1" outline="0" fieldPosition="0">
        <references count="9">
          <reference field="1" count="1" selected="0">
            <x v="0"/>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9136">
      <pivotArea dataOnly="0" labelOnly="1" outline="0" fieldPosition="0">
        <references count="9">
          <reference field="1" count="1" selected="0">
            <x v="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9135">
      <pivotArea dataOnly="0" labelOnly="1" outline="0" fieldPosition="0">
        <references count="9">
          <reference field="1" count="1" selected="0">
            <x v="10"/>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x v="10"/>
          </reference>
        </references>
      </pivotArea>
    </format>
    <format dxfId="9134">
      <pivotArea dataOnly="0" labelOnly="1" outline="0" fieldPosition="0">
        <references count="9">
          <reference field="1" count="1" selected="0">
            <x v="11"/>
          </reference>
          <reference field="2" count="1" selected="0">
            <x v="10"/>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x v="11"/>
          </reference>
        </references>
      </pivotArea>
    </format>
    <format dxfId="9133">
      <pivotArea dataOnly="0" labelOnly="1" outline="0" fieldPosition="0">
        <references count="9">
          <reference field="1" count="1" selected="0">
            <x v="13"/>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x v="8"/>
          </reference>
        </references>
      </pivotArea>
    </format>
    <format dxfId="9132">
      <pivotArea dataOnly="0" labelOnly="1" outline="0" fieldPosition="0">
        <references count="9">
          <reference field="1" count="1" selected="0">
            <x v="14"/>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x v="9"/>
          </reference>
        </references>
      </pivotArea>
    </format>
    <format dxfId="9131">
      <pivotArea dataOnly="0" labelOnly="1" outline="0" fieldPosition="0">
        <references count="9">
          <reference field="1" count="1" selected="0">
            <x v="1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9130">
      <pivotArea dataOnly="0" labelOnly="1" outline="0" fieldPosition="0">
        <references count="9">
          <reference field="1" count="1" selected="0">
            <x v="21"/>
          </reference>
          <reference field="2" count="1" selected="0">
            <x v="5"/>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9129">
      <pivotArea dataOnly="0" labelOnly="1" outline="0" fieldPosition="0">
        <references count="9">
          <reference field="1" count="1" selected="0">
            <x v="25"/>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x v="7"/>
          </reference>
        </references>
      </pivotArea>
    </format>
    <format dxfId="9128">
      <pivotArea dataOnly="0" labelOnly="1" outline="0" fieldPosition="0">
        <references count="9">
          <reference field="1" count="1" selected="0">
            <x v="26"/>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x v="6"/>
          </reference>
        </references>
      </pivotArea>
    </format>
    <format dxfId="9127">
      <pivotArea dataOnly="0" labelOnly="1" outline="0" fieldPosition="0">
        <references count="9">
          <reference field="1" count="1" selected="0">
            <x v="29"/>
          </reference>
          <reference field="2" count="1" selected="0">
            <x v="2"/>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9126">
      <pivotArea dataOnly="0" labelOnly="1" outline="0" fieldPosition="0">
        <references count="9">
          <reference field="1" count="1" selected="0">
            <x v="29"/>
          </reference>
          <reference field="2" count="1" selected="0">
            <x v="2"/>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9125">
      <pivotArea dataOnly="0" labelOnly="1" outline="0" fieldPosition="0">
        <references count="9">
          <reference field="1" count="1" selected="0">
            <x v="30"/>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x v="15"/>
          </reference>
        </references>
      </pivotArea>
    </format>
    <format dxfId="9124">
      <pivotArea dataOnly="0" labelOnly="1" outline="0" fieldPosition="0">
        <references count="9">
          <reference field="1" count="1" selected="0">
            <x v="30"/>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x v="25"/>
          </reference>
        </references>
      </pivotArea>
    </format>
    <format dxfId="9123">
      <pivotArea dataOnly="0" labelOnly="1" outline="0" fieldPosition="0">
        <references count="9">
          <reference field="1" count="1" selected="0">
            <x v="30"/>
          </reference>
          <reference field="2" count="1" selected="0">
            <x v="14"/>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1"/>
          </reference>
        </references>
      </pivotArea>
    </format>
    <format dxfId="9122">
      <pivotArea dataOnly="0" labelOnly="1" outline="0" fieldPosition="0">
        <references count="9">
          <reference field="1" count="1" selected="0">
            <x v="3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x v="18"/>
          </reference>
        </references>
      </pivotArea>
    </format>
    <format dxfId="9121">
      <pivotArea dataOnly="0" labelOnly="1" outline="0" fieldPosition="0">
        <references count="9">
          <reference field="1" count="1" selected="0">
            <x v="32"/>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9120">
      <pivotArea dataOnly="0" labelOnly="1" outline="0" fieldPosition="0">
        <references count="9">
          <reference field="1" count="1" selected="0">
            <x v="33"/>
          </reference>
          <reference field="2" count="1" selected="0">
            <x v="1"/>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x v="19"/>
          </reference>
        </references>
      </pivotArea>
    </format>
    <format dxfId="9119">
      <pivotArea dataOnly="0" labelOnly="1" outline="0" fieldPosition="0">
        <references count="9">
          <reference field="1" count="1" selected="0">
            <x v="34"/>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x v="17"/>
          </reference>
        </references>
      </pivotArea>
    </format>
    <format dxfId="9118">
      <pivotArea dataOnly="0" labelOnly="1" outline="0" fieldPosition="0">
        <references count="9">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9117">
      <pivotArea dataOnly="0" labelOnly="1" outline="0" fieldPosition="0">
        <references count="9">
          <reference field="1" count="1" selected="0">
            <x v="36"/>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9116">
      <pivotArea dataOnly="0" labelOnly="1" outline="0" fieldPosition="0">
        <references count="9">
          <reference field="1" count="1" selected="0">
            <x v="36"/>
          </reference>
          <reference field="2"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2"/>
          </reference>
        </references>
      </pivotArea>
    </format>
    <format dxfId="9115">
      <pivotArea dataOnly="0" labelOnly="1" outline="0" fieldPosition="0">
        <references count="9">
          <reference field="1" count="1" selected="0">
            <x v="4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9114">
      <pivotArea dataOnly="0" labelOnly="1" outline="0" fieldPosition="0">
        <references count="9">
          <reference field="1" count="1" selected="0">
            <x v="47"/>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9113">
      <pivotArea dataOnly="0" labelOnly="1" outline="0" fieldPosition="0">
        <references count="9">
          <reference field="1" count="1" selected="0">
            <x v="48"/>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9112">
      <pivotArea field="87" type="button" dataOnly="0" labelOnly="1" outline="0" axis="axisRow" fieldPosition="12"/>
    </format>
    <format dxfId="9111">
      <pivotArea dataOnly="0" labelOnly="1" outline="0" fieldPosition="0">
        <references count="12">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9110">
      <pivotArea dataOnly="0" labelOnly="1" outline="0" fieldPosition="0">
        <references count="12">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9109">
      <pivotArea dataOnly="0" labelOnly="1" outline="0" fieldPosition="0">
        <references count="12">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9108">
      <pivotArea dataOnly="0" labelOnly="1" outline="0" fieldPosition="0">
        <references count="12">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x v="10"/>
          </reference>
        </references>
      </pivotArea>
    </format>
    <format dxfId="9107">
      <pivotArea dataOnly="0" labelOnly="1" outline="0" fieldPosition="0">
        <references count="12">
          <reference field="1" count="1" selected="0">
            <x v="11"/>
          </reference>
          <reference field="2" count="1" selected="0">
            <x v="10"/>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x v="11"/>
          </reference>
        </references>
      </pivotArea>
    </format>
    <format dxfId="9106">
      <pivotArea dataOnly="0" labelOnly="1" outline="0" fieldPosition="0">
        <references count="12">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x v="8"/>
          </reference>
        </references>
      </pivotArea>
    </format>
    <format dxfId="9105">
      <pivotArea dataOnly="0" labelOnly="1" outline="0" fieldPosition="0">
        <references count="12">
          <reference field="1" count="1" selected="0">
            <x v="14"/>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x v="9"/>
          </reference>
        </references>
      </pivotArea>
    </format>
    <format dxfId="9104">
      <pivotArea dataOnly="0" labelOnly="1" outline="0" fieldPosition="0">
        <references count="12">
          <reference field="1" count="1" selected="0">
            <x v="1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9103">
      <pivotArea dataOnly="0" labelOnly="1" outline="0" fieldPosition="0">
        <references count="12">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9102">
      <pivotArea dataOnly="0" labelOnly="1" outline="0" fieldPosition="0">
        <references count="12">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x v="7"/>
          </reference>
        </references>
      </pivotArea>
    </format>
    <format dxfId="9101">
      <pivotArea dataOnly="0" labelOnly="1" outline="0" fieldPosition="0">
        <references count="12">
          <reference field="1" count="1" selected="0">
            <x v="26"/>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x v="6"/>
          </reference>
        </references>
      </pivotArea>
    </format>
    <format dxfId="9100">
      <pivotArea dataOnly="0" labelOnly="1" outline="0" fieldPosition="0">
        <references count="12">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9099">
      <pivotArea dataOnly="0" labelOnly="1" outline="0" fieldPosition="0">
        <references count="12">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1"/>
          </reference>
        </references>
      </pivotArea>
    </format>
    <format dxfId="9098">
      <pivotArea dataOnly="0" labelOnly="1" outline="0" fieldPosition="0">
        <references count="12">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x v="14"/>
          </reference>
        </references>
      </pivotArea>
    </format>
    <format dxfId="9097">
      <pivotArea dataOnly="0" labelOnly="1" outline="0" fieldPosition="0">
        <references count="12">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x v="23"/>
          </reference>
        </references>
      </pivotArea>
    </format>
    <format dxfId="9096">
      <pivotArea dataOnly="0" labelOnly="1" outline="0" fieldPosition="0">
        <references count="12">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x v="20"/>
          </reference>
        </references>
      </pivotArea>
    </format>
    <format dxfId="9095">
      <pivotArea dataOnly="0" labelOnly="1" outline="0" fieldPosition="0">
        <references count="12">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x v="17"/>
          </reference>
        </references>
      </pivotArea>
    </format>
    <format dxfId="9094">
      <pivotArea dataOnly="0" labelOnly="1" outline="0" fieldPosition="0">
        <references count="12">
          <reference field="1" count="1" selected="0">
            <x v="32"/>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9093">
      <pivotArea dataOnly="0" labelOnly="1" outline="0" fieldPosition="0">
        <references count="12">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x v="18"/>
          </reference>
        </references>
      </pivotArea>
    </format>
    <format dxfId="9092">
      <pivotArea dataOnly="0" labelOnly="1" outline="0" fieldPosition="0">
        <references count="12">
          <reference field="1" count="1" selected="0">
            <x v="34"/>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x v="16"/>
          </reference>
        </references>
      </pivotArea>
    </format>
    <format dxfId="9091">
      <pivotArea dataOnly="0" labelOnly="1" outline="0" fieldPosition="0">
        <references count="12">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9090">
      <pivotArea dataOnly="0" labelOnly="1" outline="0" fieldPosition="0">
        <references count="12">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9089">
      <pivotArea dataOnly="0" labelOnly="1" outline="0" fieldPosition="0">
        <references count="12">
          <reference field="1" count="1" selected="0">
            <x v="36"/>
          </reference>
          <reference field="2"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x v="20"/>
          </reference>
        </references>
      </pivotArea>
    </format>
    <format dxfId="9088">
      <pivotArea dataOnly="0" labelOnly="1" outline="0" fieldPosition="0">
        <references count="12">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2"/>
          </reference>
        </references>
      </pivotArea>
    </format>
    <format dxfId="9087">
      <pivotArea dataOnly="0" labelOnly="1" outline="0" fieldPosition="0">
        <references count="12">
          <reference field="1" count="1" selected="0">
            <x v="47"/>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9086">
      <pivotArea dataOnly="0" labelOnly="1" outline="0" fieldPosition="0">
        <references count="12">
          <reference field="1" count="1" selected="0">
            <x v="48"/>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9085">
      <pivotArea field="88" type="button" dataOnly="0" labelOnly="1" outline="0" axis="axisRow" fieldPosition="13"/>
    </format>
    <format dxfId="9084">
      <pivotArea dataOnly="0" labelOnly="1" outline="0" fieldPosition="0">
        <references count="13">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9083">
      <pivotArea dataOnly="0" labelOnly="1" outline="0" fieldPosition="0">
        <references count="13">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9082">
      <pivotArea dataOnly="0" labelOnly="1" outline="0" fieldPosition="0">
        <references count="13">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9081">
      <pivotArea dataOnly="0" labelOnly="1" outline="0" fieldPosition="0">
        <references count="13">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selected="0">
            <x v="10"/>
          </reference>
          <reference field="88" count="1">
            <x v="10"/>
          </reference>
        </references>
      </pivotArea>
    </format>
    <format dxfId="9080">
      <pivotArea dataOnly="0" labelOnly="1" outline="0" fieldPosition="0">
        <references count="13">
          <reference field="1" count="1" selected="0">
            <x v="11"/>
          </reference>
          <reference field="2" count="1" selected="0">
            <x v="10"/>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selected="0">
            <x v="11"/>
          </reference>
          <reference field="88" count="1">
            <x v="11"/>
          </reference>
        </references>
      </pivotArea>
    </format>
    <format dxfId="9079">
      <pivotArea dataOnly="0" labelOnly="1" outline="0" fieldPosition="0">
        <references count="13">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selected="0">
            <x v="8"/>
          </reference>
          <reference field="88" count="1">
            <x v="8"/>
          </reference>
        </references>
      </pivotArea>
    </format>
    <format dxfId="9078">
      <pivotArea dataOnly="0" labelOnly="1" outline="0" fieldPosition="0">
        <references count="13">
          <reference field="1" count="1" selected="0">
            <x v="14"/>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selected="0">
            <x v="9"/>
          </reference>
          <reference field="88" count="1">
            <x v="9"/>
          </reference>
        </references>
      </pivotArea>
    </format>
    <format dxfId="9077">
      <pivotArea dataOnly="0" labelOnly="1" outline="0" fieldPosition="0">
        <references count="13">
          <reference field="1" count="1" selected="0">
            <x v="1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9076">
      <pivotArea dataOnly="0" labelOnly="1" outline="0" fieldPosition="0">
        <references count="13">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9075">
      <pivotArea dataOnly="0" labelOnly="1" outline="0" fieldPosition="0">
        <references count="13">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selected="0">
            <x v="7"/>
          </reference>
          <reference field="88" count="1">
            <x v="7"/>
          </reference>
        </references>
      </pivotArea>
    </format>
    <format dxfId="9074">
      <pivotArea dataOnly="0" labelOnly="1" outline="0" fieldPosition="0">
        <references count="13">
          <reference field="1" count="1" selected="0">
            <x v="26"/>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selected="0">
            <x v="6"/>
          </reference>
          <reference field="88" count="1">
            <x v="6"/>
          </reference>
        </references>
      </pivotArea>
    </format>
    <format dxfId="9073">
      <pivotArea dataOnly="0" labelOnly="1" outline="0" fieldPosition="0">
        <references count="13">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9072">
      <pivotArea dataOnly="0" labelOnly="1" outline="0" fieldPosition="0">
        <references count="13">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1"/>
          </reference>
          <reference field="88" count="1">
            <x v="23"/>
          </reference>
        </references>
      </pivotArea>
    </format>
    <format dxfId="9071">
      <pivotArea dataOnly="0" labelOnly="1" outline="0" fieldPosition="0">
        <references count="13">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selected="0">
            <x v="14"/>
          </reference>
          <reference field="88" count="1">
            <x v="15"/>
          </reference>
        </references>
      </pivotArea>
    </format>
    <format dxfId="9070">
      <pivotArea dataOnly="0" labelOnly="1" outline="0" fieldPosition="0">
        <references count="13">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selected="0">
            <x v="23"/>
          </reference>
          <reference field="88" count="1">
            <x v="25"/>
          </reference>
        </references>
      </pivotArea>
    </format>
    <format dxfId="9069">
      <pivotArea dataOnly="0" labelOnly="1" outline="0" fieldPosition="0">
        <references count="13">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selected="0">
            <x v="20"/>
          </reference>
          <reference field="88" count="1">
            <x v="21"/>
          </reference>
        </references>
      </pivotArea>
    </format>
    <format dxfId="9068">
      <pivotArea dataOnly="0" labelOnly="1" outline="0" fieldPosition="0">
        <references count="13">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selected="0">
            <x v="17"/>
          </reference>
          <reference field="88" count="1">
            <x v="18"/>
          </reference>
        </references>
      </pivotArea>
    </format>
    <format dxfId="9067">
      <pivotArea dataOnly="0" labelOnly="1" outline="0" fieldPosition="0">
        <references count="13">
          <reference field="1" count="1" selected="0">
            <x v="32"/>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9066">
      <pivotArea dataOnly="0" labelOnly="1" outline="0" fieldPosition="0">
        <references count="13">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selected="0">
            <x v="18"/>
          </reference>
          <reference field="88" count="1">
            <x v="19"/>
          </reference>
        </references>
      </pivotArea>
    </format>
    <format dxfId="9065">
      <pivotArea dataOnly="0" labelOnly="1" outline="0" fieldPosition="0">
        <references count="13">
          <reference field="1" count="1" selected="0">
            <x v="34"/>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selected="0">
            <x v="16"/>
          </reference>
          <reference field="88" count="1">
            <x v="17"/>
          </reference>
        </references>
      </pivotArea>
    </format>
    <format dxfId="9064">
      <pivotArea dataOnly="0" labelOnly="1" outline="0" fieldPosition="0">
        <references count="13">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9063">
      <pivotArea dataOnly="0" labelOnly="1" outline="0" fieldPosition="0">
        <references count="13">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9062">
      <pivotArea dataOnly="0" labelOnly="1" outline="0" fieldPosition="0">
        <references count="13">
          <reference field="1" count="1" selected="0">
            <x v="36"/>
          </reference>
          <reference field="2"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selected="0">
            <x v="20"/>
          </reference>
          <reference field="88" count="1">
            <x v="22"/>
          </reference>
        </references>
      </pivotArea>
    </format>
    <format dxfId="9061">
      <pivotArea dataOnly="0" labelOnly="1" outline="0" fieldPosition="0">
        <references count="13">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2"/>
          </reference>
          <reference field="88" count="1">
            <x v="24"/>
          </reference>
        </references>
      </pivotArea>
    </format>
    <format dxfId="9060">
      <pivotArea dataOnly="0" labelOnly="1" outline="0" fieldPosition="0">
        <references count="13">
          <reference field="1" count="1" selected="0">
            <x v="47"/>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9059">
      <pivotArea dataOnly="0" labelOnly="1" outline="0" fieldPosition="0">
        <references count="13">
          <reference field="1" count="1" selected="0">
            <x v="48"/>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9058">
      <pivotArea field="72" type="button" dataOnly="0" labelOnly="1" outline="0" axis="axisRow" fieldPosition="5"/>
    </format>
    <format dxfId="9057">
      <pivotArea field="13" type="button" dataOnly="0" labelOnly="1" outline="0" axis="axisRow" fieldPosition="6"/>
    </format>
    <format dxfId="9056">
      <pivotArea field="81" type="button" dataOnly="0" labelOnly="1" outline="0" axis="axisRow" fieldPosition="8"/>
    </format>
    <format dxfId="9055">
      <pivotArea field="82" type="button" dataOnly="0" labelOnly="1" outline="0" axis="axisRow" fieldPosition="9"/>
    </format>
    <format dxfId="9054">
      <pivotArea field="87" type="button" dataOnly="0" labelOnly="1" outline="0" axis="axisRow" fieldPosition="12"/>
    </format>
    <format dxfId="9053">
      <pivotArea field="88" type="button" dataOnly="0" labelOnly="1" outline="0" axis="axisRow" fieldPosition="13"/>
    </format>
    <format dxfId="9052">
      <pivotArea field="72" type="button" dataOnly="0" labelOnly="1" outline="0" axis="axisRow" fieldPosition="5"/>
    </format>
    <format dxfId="9051">
      <pivotArea field="13" type="button" dataOnly="0" labelOnly="1" outline="0" axis="axisRow" fieldPosition="6"/>
    </format>
    <format dxfId="9050">
      <pivotArea field="81" type="button" dataOnly="0" labelOnly="1" outline="0" axis="axisRow" fieldPosition="8"/>
    </format>
    <format dxfId="9049">
      <pivotArea field="82" type="button" dataOnly="0" labelOnly="1" outline="0" axis="axisRow" fieldPosition="9"/>
    </format>
    <format dxfId="9048">
      <pivotArea field="87" type="button" dataOnly="0" labelOnly="1" outline="0" axis="axisRow" fieldPosition="12"/>
    </format>
    <format dxfId="9047">
      <pivotArea field="88" type="button" dataOnly="0" labelOnly="1" outline="0" axis="axisRow" fieldPosition="13"/>
    </format>
    <format dxfId="9046">
      <pivotArea field="1" type="button" dataOnly="0" labelOnly="1" outline="0" axis="axisRow" fieldPosition="0"/>
    </format>
    <format dxfId="9045">
      <pivotArea field="72" type="button" dataOnly="0" labelOnly="1" outline="0" axis="axisRow" fieldPosition="5"/>
    </format>
    <format dxfId="9044">
      <pivotArea field="13" type="button" dataOnly="0" labelOnly="1" outline="0" axis="axisRow" fieldPosition="6"/>
    </format>
    <format dxfId="9043">
      <pivotArea field="81" type="button" dataOnly="0" labelOnly="1" outline="0" axis="axisRow" fieldPosition="8"/>
    </format>
    <format dxfId="9042">
      <pivotArea field="82" type="button" dataOnly="0" labelOnly="1" outline="0" axis="axisRow" fieldPosition="9"/>
    </format>
    <format dxfId="9041">
      <pivotArea field="87" type="button" dataOnly="0" labelOnly="1" outline="0" axis="axisRow" fieldPosition="12"/>
    </format>
    <format dxfId="9040">
      <pivotArea field="88" type="button" dataOnly="0" labelOnly="1" outline="0" axis="axisRow" fieldPosition="13"/>
    </format>
    <format dxfId="9039">
      <pivotArea field="72" type="button" dataOnly="0" labelOnly="1" outline="0" axis="axisRow" fieldPosition="5"/>
    </format>
    <format dxfId="9038">
      <pivotArea field="13" type="button" dataOnly="0" labelOnly="1" outline="0" axis="axisRow" fieldPosition="6"/>
    </format>
    <format dxfId="9037">
      <pivotArea field="81" type="button" dataOnly="0" labelOnly="1" outline="0" axis="axisRow" fieldPosition="8"/>
    </format>
    <format dxfId="9036">
      <pivotArea field="82" type="button" dataOnly="0" labelOnly="1" outline="0" axis="axisRow" fieldPosition="9"/>
    </format>
    <format dxfId="9035">
      <pivotArea field="87" type="button" dataOnly="0" labelOnly="1" outline="0" axis="axisRow" fieldPosition="12"/>
    </format>
    <format dxfId="9034">
      <pivotArea field="88" type="button" dataOnly="0" labelOnly="1" outline="0" axis="axisRow" fieldPosition="13"/>
    </format>
    <format dxfId="9033">
      <pivotArea field="72" type="button" dataOnly="0" labelOnly="1" outline="0" axis="axisRow" fieldPosition="5"/>
    </format>
    <format dxfId="9032">
      <pivotArea field="13" type="button" dataOnly="0" labelOnly="1" outline="0" axis="axisRow" fieldPosition="6"/>
    </format>
    <format dxfId="9031">
      <pivotArea field="81" type="button" dataOnly="0" labelOnly="1" outline="0" axis="axisRow" fieldPosition="8"/>
    </format>
    <format dxfId="9030">
      <pivotArea field="82" type="button" dataOnly="0" labelOnly="1" outline="0" axis="axisRow" fieldPosition="9"/>
    </format>
    <format dxfId="9029">
      <pivotArea field="87" type="button" dataOnly="0" labelOnly="1" outline="0" axis="axisRow" fieldPosition="12"/>
    </format>
    <format dxfId="9028">
      <pivotArea field="88" type="button" dataOnly="0" labelOnly="1" outline="0" axis="axisRow" fieldPosition="13"/>
    </format>
    <format dxfId="9027">
      <pivotArea dataOnly="0" labelOnly="1" outline="0" fieldPosition="0">
        <references count="5">
          <reference field="1" count="1" selected="0">
            <x v="3"/>
          </reference>
          <reference field="2" count="1" selected="0">
            <x v="3"/>
          </reference>
          <reference field="3" count="1" selected="0">
            <x v="24"/>
          </reference>
          <reference field="5" count="1" selected="0">
            <x v="1"/>
          </reference>
          <reference field="23" count="1">
            <x v="1"/>
          </reference>
        </references>
      </pivotArea>
    </format>
    <format dxfId="9026">
      <pivotArea dataOnly="0" labelOnly="1" outline="0" fieldPosition="0">
        <references count="5">
          <reference field="1" count="1" selected="0">
            <x v="4"/>
          </reference>
          <reference field="2" count="1" selected="0">
            <x v="3"/>
          </reference>
          <reference field="3" count="1" selected="0">
            <x v="0"/>
          </reference>
          <reference field="5" count="1" selected="0">
            <x v="3"/>
          </reference>
          <reference field="23" count="1">
            <x v="2"/>
          </reference>
        </references>
      </pivotArea>
    </format>
    <format dxfId="9025">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9024">
      <pivotArea dataOnly="0" labelOnly="1" outline="0" fieldPosition="0">
        <references count="8">
          <reference field="1" count="1" selected="0">
            <x v="0"/>
          </reference>
          <reference field="2" count="1" selected="0">
            <x v="10"/>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9023">
      <pivotArea dataOnly="0" labelOnly="1" outline="0" fieldPosition="0">
        <references count="8">
          <reference field="1" count="1" selected="0">
            <x v="0"/>
          </reference>
          <reference field="2" count="1" selected="0">
            <x v="10"/>
          </reference>
          <reference field="3" count="1" selected="0">
            <x v="4"/>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9022">
      <pivotArea dataOnly="0" labelOnly="1" outline="0" fieldPosition="0">
        <references count="8">
          <reference field="1" count="1" selected="0">
            <x v="0"/>
          </reference>
          <reference field="2" count="1" selected="0">
            <x v="10"/>
          </reference>
          <reference field="3"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9021">
      <pivotArea dataOnly="0" labelOnly="1" outline="0" fieldPosition="0">
        <references count="8">
          <reference field="1" count="1" selected="0">
            <x v="0"/>
          </reference>
          <reference field="2" count="1" selected="0">
            <x v="6"/>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9020">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9019">
      <pivotArea dataOnly="0" labelOnly="1" outline="0" fieldPosition="0">
        <references count="8">
          <reference field="1" count="1" selected="0">
            <x v="0"/>
          </reference>
          <reference field="2" count="1" selected="0">
            <x v="10"/>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9018">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9017">
      <pivotArea dataOnly="0" labelOnly="1" outline="0" fieldPosition="0">
        <references count="8">
          <reference field="1" count="1" selected="0">
            <x v="0"/>
          </reference>
          <reference field="2" count="1" selected="0">
            <x v="6"/>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9016">
      <pivotArea dataOnly="0" labelOnly="1" outline="0" fieldPosition="0">
        <references count="8">
          <reference field="1" count="1" selected="0">
            <x v="0"/>
          </reference>
          <reference field="2" count="1" selected="0">
            <x v="10"/>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9015">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2"/>
          </reference>
          <reference field="22" count="1">
            <x v="10"/>
          </reference>
          <reference field="23" count="1" selected="0">
            <x v="1"/>
          </reference>
          <reference field="72" count="1" selected="0">
            <x v="171"/>
          </reference>
        </references>
      </pivotArea>
    </format>
    <format dxfId="9014">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65"/>
          </reference>
        </references>
      </pivotArea>
    </format>
    <format dxfId="9013">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9012">
      <pivotArea dataOnly="0" labelOnly="1" outline="0" fieldPosition="0">
        <references count="8">
          <reference field="1" count="1" selected="0">
            <x v="9"/>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9011">
      <pivotArea dataOnly="0" labelOnly="1" outline="0" fieldPosition="0">
        <references count="8">
          <reference field="1" count="1" selected="0">
            <x v="12"/>
          </reference>
          <reference field="2" count="1" selected="0">
            <x v="5"/>
          </reference>
          <reference field="3" count="1" selected="0">
            <x v="0"/>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9010">
      <pivotArea dataOnly="0" labelOnly="1" outline="0" fieldPosition="0">
        <references count="8">
          <reference field="1" count="1" selected="0">
            <x v="12"/>
          </reference>
          <reference field="2" count="1" selected="0">
            <x v="5"/>
          </reference>
          <reference field="3" count="1" selected="0">
            <x v="14"/>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9009">
      <pivotArea dataOnly="0" labelOnly="1" outline="0" fieldPosition="0">
        <references count="8">
          <reference field="1" count="1" selected="0">
            <x v="19"/>
          </reference>
          <reference field="2" count="1" selected="0">
            <x v="6"/>
          </reference>
          <reference field="3" count="1" selected="0">
            <x v="15"/>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9008">
      <pivotArea dataOnly="0" labelOnly="1" outline="0" fieldPosition="0">
        <references count="8">
          <reference field="1" count="1" selected="0">
            <x v="38"/>
          </reference>
          <reference field="2" count="1" selected="0">
            <x v="6"/>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9007">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9006">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2"/>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9005">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2"/>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9004">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9003">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9002">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9001">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9000">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8999">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8998">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8997">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8996">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2"/>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8995">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2"/>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8994">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2"/>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8993">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2"/>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8992">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2"/>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8991">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8990">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8989">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8988">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8987">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2"/>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8986">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2"/>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8985">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2"/>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8984">
      <pivotArea dataOnly="0" labelOnly="1" outline="0" fieldPosition="0">
        <references count="15">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2"/>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8983">
      <pivotArea dataOnly="0" labelOnly="1" outline="0" fieldPosition="0">
        <references count="15">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2"/>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8982">
      <pivotArea dataOnly="0" labelOnly="1" outline="0" fieldPosition="0">
        <references count="15">
          <reference field="1" count="1" selected="0">
            <x v="48"/>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2"/>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8981">
      <pivotArea field="72" type="button" dataOnly="0" labelOnly="1" outline="0" axis="axisRow" fieldPosition="5"/>
    </format>
    <format dxfId="8980">
      <pivotArea field="13" type="button" dataOnly="0" labelOnly="1" outline="0" axis="axisRow" fieldPosition="6"/>
    </format>
    <format dxfId="8979">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19"/>
          </reference>
        </references>
      </pivotArea>
    </format>
    <format dxfId="8978">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16"/>
          </reference>
        </references>
      </pivotArea>
    </format>
    <format dxfId="8977">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16"/>
          </reference>
        </references>
      </pivotArea>
    </format>
    <format dxfId="8976">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16"/>
          </reference>
        </references>
      </pivotArea>
    </format>
    <format dxfId="8975">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19"/>
          </reference>
        </references>
      </pivotArea>
    </format>
    <format dxfId="8974">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7"/>
          </reference>
        </references>
      </pivotArea>
    </format>
    <format dxfId="8973">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7"/>
          </reference>
        </references>
      </pivotArea>
    </format>
    <format dxfId="8972">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19"/>
          </reference>
        </references>
      </pivotArea>
    </format>
    <format dxfId="8971">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19"/>
          </reference>
        </references>
      </pivotArea>
    </format>
    <format dxfId="8970">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16"/>
          </reference>
        </references>
      </pivotArea>
    </format>
    <format dxfId="8969">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1" selected="0">
            <x v="1"/>
          </reference>
          <reference field="72" count="1" selected="0">
            <x v="171"/>
          </reference>
        </references>
      </pivotArea>
    </format>
    <format dxfId="8968">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65"/>
          </reference>
        </references>
      </pivotArea>
    </format>
    <format dxfId="8967">
      <pivotArea dataOnly="0" labelOnly="1" outline="0" fieldPosition="0">
        <references count="7">
          <reference field="1" count="1" selected="0">
            <x v="3"/>
          </reference>
          <reference field="2" count="1" selected="0">
            <x v="3"/>
          </reference>
          <reference field="3" count="1" selected="0">
            <x v="24"/>
          </reference>
          <reference field="5" count="1" selected="0">
            <x v="1"/>
          </reference>
          <reference field="13" count="1">
            <x v="4"/>
          </reference>
          <reference field="23" count="1" selected="0">
            <x v="1"/>
          </reference>
          <reference field="72" count="1" selected="0">
            <x v="164"/>
          </reference>
        </references>
      </pivotArea>
    </format>
    <format dxfId="8966">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8"/>
          </reference>
        </references>
      </pivotArea>
    </format>
    <format dxfId="8965">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16"/>
          </reference>
        </references>
      </pivotArea>
    </format>
    <format dxfId="8964">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8"/>
          </reference>
        </references>
      </pivotArea>
    </format>
    <format dxfId="8963">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8"/>
          </reference>
        </references>
      </pivotArea>
    </format>
    <format dxfId="8962">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8"/>
          </reference>
        </references>
      </pivotArea>
    </format>
    <format dxfId="8961">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4"/>
          </reference>
        </references>
      </pivotArea>
    </format>
    <format dxfId="8960">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58"/>
          </reference>
        </references>
      </pivotArea>
    </format>
    <format dxfId="8959">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71"/>
          </reference>
        </references>
      </pivotArea>
    </format>
    <format dxfId="8958">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4"/>
          </reference>
          <reference field="23" count="1" selected="0">
            <x v="1"/>
          </reference>
          <reference field="72" count="1" selected="0">
            <x v="167"/>
          </reference>
        </references>
      </pivotArea>
    </format>
    <format dxfId="8957">
      <pivotArea field="81" type="button" dataOnly="0" labelOnly="1" outline="0" axis="axisRow" fieldPosition="8"/>
    </format>
    <format dxfId="8956">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527"/>
          </reference>
        </references>
      </pivotArea>
    </format>
    <format dxfId="8955">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528"/>
          </reference>
        </references>
      </pivotArea>
    </format>
    <format dxfId="895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459"/>
          </reference>
        </references>
      </pivotArea>
    </format>
    <format dxfId="8953">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460"/>
          </reference>
        </references>
      </pivotArea>
    </format>
    <format dxfId="8952">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467"/>
          </reference>
        </references>
      </pivotArea>
    </format>
    <format dxfId="8951">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468"/>
          </reference>
        </references>
      </pivotArea>
    </format>
    <format dxfId="8950">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529"/>
          </reference>
        </references>
      </pivotArea>
    </format>
    <format dxfId="8949">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530"/>
          </reference>
        </references>
      </pivotArea>
    </format>
    <format dxfId="894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565"/>
          </reference>
        </references>
      </pivotArea>
    </format>
    <format dxfId="894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566"/>
          </reference>
        </references>
      </pivotArea>
    </format>
    <format dxfId="8946">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567"/>
          </reference>
        </references>
      </pivotArea>
    </format>
    <format dxfId="8945">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562"/>
          </reference>
        </references>
      </pivotArea>
    </format>
    <format dxfId="8944">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529"/>
          </reference>
        </references>
      </pivotArea>
    </format>
    <format dxfId="8943">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530"/>
          </reference>
        </references>
      </pivotArea>
    </format>
    <format dxfId="894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565"/>
          </reference>
        </references>
      </pivotArea>
    </format>
    <format dxfId="894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566"/>
          </reference>
        </references>
      </pivotArea>
    </format>
    <format dxfId="894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567"/>
          </reference>
        </references>
      </pivotArea>
    </format>
    <format dxfId="8939">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562"/>
          </reference>
        </references>
      </pivotArea>
    </format>
    <format dxfId="8938">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529"/>
          </reference>
        </references>
      </pivotArea>
    </format>
    <format dxfId="8937">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530"/>
          </reference>
        </references>
      </pivotArea>
    </format>
    <format dxfId="8936">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550"/>
          </reference>
        </references>
      </pivotArea>
    </format>
    <format dxfId="8935">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540"/>
          </reference>
        </references>
      </pivotArea>
    </format>
    <format dxfId="893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562"/>
          </reference>
        </references>
      </pivotArea>
    </format>
    <format dxfId="893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458"/>
          </reference>
        </references>
      </pivotArea>
    </format>
    <format dxfId="8932">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563"/>
          </reference>
        </references>
      </pivotArea>
    </format>
    <format dxfId="8931">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564"/>
          </reference>
        </references>
      </pivotArea>
    </format>
    <format dxfId="8930">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527"/>
          </reference>
        </references>
      </pivotArea>
    </format>
    <format dxfId="8929">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528"/>
          </reference>
        </references>
      </pivotArea>
    </format>
    <format dxfId="892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459"/>
          </reference>
        </references>
      </pivotArea>
    </format>
    <format dxfId="892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460"/>
          </reference>
        </references>
      </pivotArea>
    </format>
    <format dxfId="892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467"/>
          </reference>
        </references>
      </pivotArea>
    </format>
    <format dxfId="892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468"/>
          </reference>
        </references>
      </pivotArea>
    </format>
    <format dxfId="8924">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588"/>
          </reference>
        </references>
      </pivotArea>
    </format>
    <format dxfId="892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523"/>
          </reference>
        </references>
      </pivotArea>
    </format>
    <format dxfId="892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500"/>
          </reference>
        </references>
      </pivotArea>
    </format>
    <format dxfId="892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524"/>
          </reference>
        </references>
      </pivotArea>
    </format>
    <format dxfId="892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516"/>
          </reference>
        </references>
      </pivotArea>
    </format>
    <format dxfId="891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525"/>
          </reference>
        </references>
      </pivotArea>
    </format>
    <format dxfId="891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517"/>
          </reference>
        </references>
      </pivotArea>
    </format>
    <format dxfId="891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526"/>
          </reference>
        </references>
      </pivotArea>
    </format>
    <format dxfId="891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514"/>
          </reference>
        </references>
      </pivotArea>
    </format>
    <format dxfId="891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565"/>
          </reference>
        </references>
      </pivotArea>
    </format>
    <format dxfId="891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566"/>
          </reference>
        </references>
      </pivotArea>
    </format>
    <format dxfId="891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567"/>
          </reference>
        </references>
      </pivotArea>
    </format>
    <format dxfId="8912">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562"/>
          </reference>
        </references>
      </pivotArea>
    </format>
    <format dxfId="8911">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588"/>
          </reference>
        </references>
      </pivotArea>
    </format>
    <format dxfId="8910">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527"/>
          </reference>
        </references>
      </pivotArea>
    </format>
    <format dxfId="8909">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528"/>
          </reference>
        </references>
      </pivotArea>
    </format>
    <format dxfId="8908">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458"/>
          </reference>
        </references>
      </pivotArea>
    </format>
    <format dxfId="8907">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563"/>
          </reference>
        </references>
      </pivotArea>
    </format>
    <format dxfId="8906">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564"/>
          </reference>
        </references>
      </pivotArea>
    </format>
    <format dxfId="8905">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527"/>
          </reference>
        </references>
      </pivotArea>
    </format>
    <format dxfId="8904">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528"/>
          </reference>
        </references>
      </pivotArea>
    </format>
    <format dxfId="890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459"/>
          </reference>
        </references>
      </pivotArea>
    </format>
    <format dxfId="890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460"/>
          </reference>
        </references>
      </pivotArea>
    </format>
    <format dxfId="890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467"/>
          </reference>
        </references>
      </pivotArea>
    </format>
    <format dxfId="890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468"/>
          </reference>
        </references>
      </pivotArea>
    </format>
    <format dxfId="8899">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529"/>
          </reference>
        </references>
      </pivotArea>
    </format>
    <format dxfId="8898">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530"/>
          </reference>
        </references>
      </pivotArea>
    </format>
    <format dxfId="8897">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565"/>
          </reference>
        </references>
      </pivotArea>
    </format>
    <format dxfId="8896">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478"/>
          </reference>
        </references>
      </pivotArea>
    </format>
    <format dxfId="8895">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477"/>
          </reference>
        </references>
      </pivotArea>
    </format>
    <format dxfId="8894">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570"/>
          </reference>
        </references>
      </pivotArea>
    </format>
    <format dxfId="8893">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546"/>
          </reference>
        </references>
      </pivotArea>
    </format>
    <format dxfId="8892">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535"/>
          </reference>
        </references>
      </pivotArea>
    </format>
    <format dxfId="8891">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483"/>
          </reference>
        </references>
      </pivotArea>
    </format>
    <format dxfId="8890">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568"/>
          </reference>
        </references>
      </pivotArea>
    </format>
    <format dxfId="8889">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569"/>
          </reference>
        </references>
      </pivotArea>
    </format>
    <format dxfId="8888">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71"/>
          </reference>
          <reference field="81" count="1">
            <x v="531"/>
          </reference>
        </references>
      </pivotArea>
    </format>
    <format dxfId="8887">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532"/>
          </reference>
        </references>
      </pivotArea>
    </format>
    <format dxfId="8886">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589"/>
          </reference>
        </references>
      </pivotArea>
    </format>
    <format dxfId="8885">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483"/>
          </reference>
        </references>
      </pivotArea>
    </format>
    <format dxfId="8884">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568"/>
          </reference>
        </references>
      </pivotArea>
    </format>
    <format dxfId="8883">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569"/>
          </reference>
        </references>
      </pivotArea>
    </format>
    <format dxfId="8882">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573"/>
          </reference>
        </references>
      </pivotArea>
    </format>
    <format dxfId="8881">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574"/>
          </reference>
        </references>
      </pivotArea>
    </format>
    <format dxfId="8880">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575"/>
          </reference>
        </references>
      </pivotArea>
    </format>
    <format dxfId="8879">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543"/>
          </reference>
        </references>
      </pivotArea>
    </format>
    <format dxfId="8878">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540"/>
          </reference>
        </references>
      </pivotArea>
    </format>
    <format dxfId="887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516"/>
          </reference>
        </references>
      </pivotArea>
    </format>
    <format dxfId="887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517"/>
          </reference>
        </references>
      </pivotArea>
    </format>
    <format dxfId="887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514"/>
          </reference>
        </references>
      </pivotArea>
    </format>
    <format dxfId="887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515"/>
          </reference>
        </references>
      </pivotArea>
    </format>
    <format dxfId="8873">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476"/>
          </reference>
        </references>
      </pivotArea>
    </format>
    <format dxfId="8872">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571"/>
          </reference>
        </references>
      </pivotArea>
    </format>
    <format dxfId="8871">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572"/>
          </reference>
        </references>
      </pivotArea>
    </format>
    <format dxfId="8870">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5"/>
          </reference>
          <reference field="81" count="1">
            <x v="585"/>
          </reference>
        </references>
      </pivotArea>
    </format>
    <format dxfId="8869">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548"/>
          </reference>
        </references>
      </pivotArea>
    </format>
    <format dxfId="8868">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560"/>
          </reference>
        </references>
      </pivotArea>
    </format>
    <format dxfId="8867">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472"/>
          </reference>
        </references>
      </pivotArea>
    </format>
    <format dxfId="8866">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561"/>
          </reference>
        </references>
      </pivotArea>
    </format>
    <format dxfId="8865">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549"/>
          </reference>
        </references>
      </pivotArea>
    </format>
    <format dxfId="8864">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548"/>
          </reference>
        </references>
      </pivotArea>
    </format>
    <format dxfId="886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520"/>
          </reference>
        </references>
      </pivotArea>
    </format>
    <format dxfId="886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521"/>
          </reference>
        </references>
      </pivotArea>
    </format>
    <format dxfId="886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518"/>
          </reference>
        </references>
      </pivotArea>
    </format>
    <format dxfId="886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519"/>
          </reference>
        </references>
      </pivotArea>
    </format>
    <format dxfId="8859">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470"/>
          </reference>
        </references>
      </pivotArea>
    </format>
    <format dxfId="8858">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466"/>
          </reference>
        </references>
      </pivotArea>
    </format>
    <format dxfId="8857">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557"/>
          </reference>
        </references>
      </pivotArea>
    </format>
    <format dxfId="8856">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540"/>
          </reference>
        </references>
      </pivotArea>
    </format>
    <format dxfId="8855">
      <pivotArea dataOnly="0" labelOnly="1" outline="0" fieldPosition="0">
        <references count="9">
          <reference field="1" count="1" selected="0">
            <x v="3"/>
          </reference>
          <reference field="2" count="1" selected="0">
            <x v="3"/>
          </reference>
          <reference field="3" count="1" selected="0">
            <x v="24"/>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549"/>
          </reference>
        </references>
      </pivotArea>
    </format>
    <format dxfId="8854">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470"/>
          </reference>
        </references>
      </pivotArea>
    </format>
    <format dxfId="8853">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466"/>
          </reference>
        </references>
      </pivotArea>
    </format>
    <format dxfId="8852">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557"/>
          </reference>
        </references>
      </pivotArea>
    </format>
    <format dxfId="8851">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547"/>
          </reference>
        </references>
      </pivotArea>
    </format>
    <format dxfId="8850">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540"/>
          </reference>
        </references>
      </pivotArea>
    </format>
    <format dxfId="8849">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473"/>
          </reference>
        </references>
      </pivotArea>
    </format>
    <format dxfId="8848">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460"/>
          </reference>
        </references>
      </pivotArea>
    </format>
    <format dxfId="8847">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467"/>
          </reference>
        </references>
      </pivotArea>
    </format>
    <format dxfId="8846">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487"/>
          </reference>
        </references>
      </pivotArea>
    </format>
    <format dxfId="8845">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486"/>
          </reference>
        </references>
      </pivotArea>
    </format>
    <format dxfId="8844">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488"/>
          </reference>
        </references>
      </pivotArea>
    </format>
    <format dxfId="8843">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473"/>
          </reference>
        </references>
      </pivotArea>
    </format>
    <format dxfId="8842">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460"/>
          </reference>
        </references>
      </pivotArea>
    </format>
    <format dxfId="8841">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467"/>
          </reference>
        </references>
      </pivotArea>
    </format>
    <format dxfId="8840">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535"/>
          </reference>
        </references>
      </pivotArea>
    </format>
    <format dxfId="883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459"/>
          </reference>
        </references>
      </pivotArea>
    </format>
    <format dxfId="8838">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460"/>
          </reference>
        </references>
      </pivotArea>
    </format>
    <format dxfId="883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467"/>
          </reference>
        </references>
      </pivotArea>
    </format>
    <format dxfId="883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468"/>
          </reference>
        </references>
      </pivotArea>
    </format>
    <format dxfId="883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450"/>
          </reference>
        </references>
      </pivotArea>
    </format>
    <format dxfId="8834">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451"/>
          </reference>
        </references>
      </pivotArea>
    </format>
    <format dxfId="883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452"/>
          </reference>
        </references>
      </pivotArea>
    </format>
    <format dxfId="883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453"/>
          </reference>
        </references>
      </pivotArea>
    </format>
    <format dxfId="8831">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554"/>
          </reference>
        </references>
      </pivotArea>
    </format>
    <format dxfId="8830">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553"/>
          </reference>
        </references>
      </pivotArea>
    </format>
    <format dxfId="882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450"/>
          </reference>
        </references>
      </pivotArea>
    </format>
    <format dxfId="8828">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451"/>
          </reference>
        </references>
      </pivotArea>
    </format>
    <format dxfId="882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452"/>
          </reference>
        </references>
      </pivotArea>
    </format>
    <format dxfId="882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453"/>
          </reference>
        </references>
      </pivotArea>
    </format>
    <format dxfId="882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450"/>
          </reference>
        </references>
      </pivotArea>
    </format>
    <format dxfId="8824">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451"/>
          </reference>
        </references>
      </pivotArea>
    </format>
    <format dxfId="882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452"/>
          </reference>
        </references>
      </pivotArea>
    </format>
    <format dxfId="882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453"/>
          </reference>
        </references>
      </pivotArea>
    </format>
    <format dxfId="8821">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467"/>
          </reference>
        </references>
      </pivotArea>
    </format>
    <format dxfId="8820">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469"/>
          </reference>
        </references>
      </pivotArea>
    </format>
    <format dxfId="8819">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474"/>
          </reference>
        </references>
      </pivotArea>
    </format>
    <format dxfId="8818">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544"/>
          </reference>
        </references>
      </pivotArea>
    </format>
    <format dxfId="8817">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545"/>
          </reference>
        </references>
      </pivotArea>
    </format>
    <format dxfId="8816">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540"/>
          </reference>
        </references>
      </pivotArea>
    </format>
    <format dxfId="881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511"/>
          </reference>
        </references>
      </pivotArea>
    </format>
    <format dxfId="8814">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501"/>
          </reference>
        </references>
      </pivotArea>
    </format>
    <format dxfId="8813">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512"/>
          </reference>
        </references>
      </pivotArea>
    </format>
    <format dxfId="8812">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513"/>
          </reference>
        </references>
      </pivotArea>
    </format>
    <format dxfId="8811">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568"/>
          </reference>
        </references>
      </pivotArea>
    </format>
    <format dxfId="8810">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582"/>
          </reference>
        </references>
      </pivotArea>
    </format>
    <format dxfId="8809">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486"/>
          </reference>
        </references>
      </pivotArea>
    </format>
    <format dxfId="8808">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529"/>
          </reference>
        </references>
      </pivotArea>
    </format>
    <format dxfId="8807">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535"/>
          </reference>
        </references>
      </pivotArea>
    </format>
    <format dxfId="8806">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544"/>
          </reference>
        </references>
      </pivotArea>
    </format>
    <format dxfId="8805">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545"/>
          </reference>
        </references>
      </pivotArea>
    </format>
    <format dxfId="8804">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544"/>
          </reference>
        </references>
      </pivotArea>
    </format>
    <format dxfId="8803">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545"/>
          </reference>
        </references>
      </pivotArea>
    </format>
    <format dxfId="8802">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540"/>
          </reference>
        </references>
      </pivotArea>
    </format>
    <format dxfId="880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509"/>
          </reference>
        </references>
      </pivotArea>
    </format>
    <format dxfId="880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507"/>
          </reference>
        </references>
      </pivotArea>
    </format>
    <format dxfId="8799">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510"/>
          </reference>
        </references>
      </pivotArea>
    </format>
    <format dxfId="879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502"/>
          </reference>
        </references>
      </pivotArea>
    </format>
    <format dxfId="8797">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580"/>
          </reference>
        </references>
      </pivotArea>
    </format>
    <format dxfId="8796">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567"/>
          </reference>
        </references>
      </pivotArea>
    </format>
    <format dxfId="8795">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581"/>
          </reference>
        </references>
      </pivotArea>
    </format>
    <format dxfId="8794">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544"/>
          </reference>
        </references>
      </pivotArea>
    </format>
    <format dxfId="8793">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545"/>
          </reference>
        </references>
      </pivotArea>
    </format>
    <format dxfId="879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558"/>
          </reference>
        </references>
      </pivotArea>
    </format>
    <format dxfId="879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557"/>
          </reference>
        </references>
      </pivotArea>
    </format>
    <format dxfId="879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555"/>
          </reference>
        </references>
      </pivotArea>
    </format>
    <format dxfId="8789">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556"/>
          </reference>
        </references>
      </pivotArea>
    </format>
    <format dxfId="8788">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522"/>
          </reference>
        </references>
      </pivotArea>
    </format>
    <format dxfId="878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576"/>
          </reference>
        </references>
      </pivotArea>
    </format>
    <format dxfId="878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577"/>
          </reference>
        </references>
      </pivotArea>
    </format>
    <format dxfId="8785">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487"/>
          </reference>
        </references>
      </pivotArea>
    </format>
    <format dxfId="878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482"/>
          </reference>
        </references>
      </pivotArea>
    </format>
    <format dxfId="8783">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483"/>
          </reference>
        </references>
      </pivotArea>
    </format>
    <format dxfId="8782">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481"/>
          </reference>
        </references>
      </pivotArea>
    </format>
    <format dxfId="8781">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522"/>
          </reference>
        </references>
      </pivotArea>
    </format>
    <format dxfId="878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578"/>
          </reference>
        </references>
      </pivotArea>
    </format>
    <format dxfId="8779">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579"/>
          </reference>
        </references>
      </pivotArea>
    </format>
    <format dxfId="8778">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568"/>
          </reference>
        </references>
      </pivotArea>
    </format>
    <format dxfId="877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482"/>
          </reference>
        </references>
      </pivotArea>
    </format>
    <format dxfId="877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483"/>
          </reference>
        </references>
      </pivotArea>
    </format>
    <format dxfId="877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484"/>
          </reference>
        </references>
      </pivotArea>
    </format>
    <format dxfId="877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481"/>
          </reference>
        </references>
      </pivotArea>
    </format>
    <format dxfId="877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485"/>
          </reference>
        </references>
      </pivotArea>
    </format>
    <format dxfId="877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541"/>
          </reference>
        </references>
      </pivotArea>
    </format>
    <format dxfId="8771">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542"/>
          </reference>
        </references>
      </pivotArea>
    </format>
    <format dxfId="877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470"/>
          </reference>
        </references>
      </pivotArea>
    </format>
    <format dxfId="876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471"/>
          </reference>
        </references>
      </pivotArea>
    </format>
    <format dxfId="876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452"/>
          </reference>
        </references>
      </pivotArea>
    </format>
    <format dxfId="876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468"/>
          </reference>
        </references>
      </pivotArea>
    </format>
    <format dxfId="876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470"/>
          </reference>
        </references>
      </pivotArea>
    </format>
    <format dxfId="876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471"/>
          </reference>
        </references>
      </pivotArea>
    </format>
    <format dxfId="876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452"/>
          </reference>
        </references>
      </pivotArea>
    </format>
    <format dxfId="8763">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468"/>
          </reference>
        </references>
      </pivotArea>
    </format>
    <format dxfId="876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470"/>
          </reference>
        </references>
      </pivotArea>
    </format>
    <format dxfId="876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451"/>
          </reference>
        </references>
      </pivotArea>
    </format>
    <format dxfId="876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468"/>
          </reference>
        </references>
      </pivotArea>
    </format>
    <format dxfId="8759">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461"/>
          </reference>
        </references>
      </pivotArea>
    </format>
    <format dxfId="8758">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549"/>
          </reference>
        </references>
      </pivotArea>
    </format>
    <format dxfId="8757">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551"/>
          </reference>
        </references>
      </pivotArea>
    </format>
    <format dxfId="8756">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496"/>
          </reference>
        </references>
      </pivotArea>
    </format>
    <format dxfId="8755">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476"/>
          </reference>
        </references>
      </pivotArea>
    </format>
    <format dxfId="8754">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477"/>
          </reference>
        </references>
      </pivotArea>
    </format>
    <format dxfId="8753">
      <pivotArea dataOnly="0" labelOnly="1" outline="0" fieldPosition="0">
        <references count="9">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4"/>
          </reference>
          <reference field="81" count="1">
            <x v="21"/>
          </reference>
        </references>
      </pivotArea>
    </format>
    <format dxfId="8752">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479"/>
          </reference>
        </references>
      </pivotArea>
    </format>
    <format dxfId="875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97"/>
          </reference>
        </references>
      </pivotArea>
    </format>
    <format dxfId="875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500"/>
          </reference>
        </references>
      </pivotArea>
    </format>
    <format dxfId="874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98"/>
          </reference>
        </references>
      </pivotArea>
    </format>
    <format dxfId="8748">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99"/>
          </reference>
        </references>
      </pivotArea>
    </format>
    <format dxfId="874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62"/>
          </reference>
        </references>
      </pivotArea>
    </format>
    <format dxfId="874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458"/>
          </reference>
        </references>
      </pivotArea>
    </format>
    <format dxfId="874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459"/>
          </reference>
        </references>
      </pivotArea>
    </format>
    <format dxfId="874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460"/>
          </reference>
        </references>
      </pivotArea>
    </format>
    <format dxfId="874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461"/>
          </reference>
        </references>
      </pivotArea>
    </format>
    <format dxfId="874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97"/>
          </reference>
        </references>
      </pivotArea>
    </format>
    <format dxfId="874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500"/>
          </reference>
        </references>
      </pivotArea>
    </format>
    <format dxfId="874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98"/>
          </reference>
        </references>
      </pivotArea>
    </format>
    <format dxfId="8739">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99"/>
          </reference>
        </references>
      </pivotArea>
    </format>
    <format dxfId="873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62"/>
          </reference>
        </references>
      </pivotArea>
    </format>
    <format dxfId="873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458"/>
          </reference>
        </references>
      </pivotArea>
    </format>
    <format dxfId="873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459"/>
          </reference>
        </references>
      </pivotArea>
    </format>
    <format dxfId="873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460"/>
          </reference>
        </references>
      </pivotArea>
    </format>
    <format dxfId="873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461"/>
          </reference>
        </references>
      </pivotArea>
    </format>
    <format dxfId="873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97"/>
          </reference>
        </references>
      </pivotArea>
    </format>
    <format dxfId="873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500"/>
          </reference>
        </references>
      </pivotArea>
    </format>
    <format dxfId="873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98"/>
          </reference>
        </references>
      </pivotArea>
    </format>
    <format dxfId="873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99"/>
          </reference>
        </references>
      </pivotArea>
    </format>
    <format dxfId="872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62"/>
          </reference>
        </references>
      </pivotArea>
    </format>
    <format dxfId="872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458"/>
          </reference>
        </references>
      </pivotArea>
    </format>
    <format dxfId="872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459"/>
          </reference>
        </references>
      </pivotArea>
    </format>
    <format dxfId="872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460"/>
          </reference>
        </references>
      </pivotArea>
    </format>
    <format dxfId="872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461"/>
          </reference>
        </references>
      </pivotArea>
    </format>
    <format dxfId="872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73"/>
          </reference>
        </references>
      </pivotArea>
    </format>
    <format dxfId="8723">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75"/>
          </reference>
        </references>
      </pivotArea>
    </format>
    <format dxfId="872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74"/>
          </reference>
        </references>
      </pivotArea>
    </format>
    <format dxfId="872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61"/>
          </reference>
        </references>
      </pivotArea>
    </format>
    <format dxfId="872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463"/>
          </reference>
        </references>
      </pivotArea>
    </format>
    <format dxfId="8719">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64"/>
          </reference>
        </references>
      </pivotArea>
    </format>
    <format dxfId="871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65"/>
          </reference>
        </references>
      </pivotArea>
    </format>
    <format dxfId="8717">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66"/>
          </reference>
        </references>
      </pivotArea>
    </format>
    <format dxfId="871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463"/>
          </reference>
        </references>
      </pivotArea>
    </format>
    <format dxfId="8715">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64"/>
          </reference>
        </references>
      </pivotArea>
    </format>
    <format dxfId="871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65"/>
          </reference>
        </references>
      </pivotArea>
    </format>
    <format dxfId="8713">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66"/>
          </reference>
        </references>
      </pivotArea>
    </format>
    <format dxfId="871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454"/>
          </reference>
        </references>
      </pivotArea>
    </format>
    <format dxfId="871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456"/>
          </reference>
        </references>
      </pivotArea>
    </format>
    <format dxfId="871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457"/>
          </reference>
        </references>
      </pivotArea>
    </format>
    <format dxfId="8709">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455"/>
          </reference>
        </references>
      </pivotArea>
    </format>
    <format dxfId="8708">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495"/>
          </reference>
        </references>
      </pivotArea>
    </format>
    <format dxfId="8707">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454"/>
          </reference>
        </references>
      </pivotArea>
    </format>
    <format dxfId="8706">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494"/>
          </reference>
        </references>
      </pivotArea>
    </format>
    <format dxfId="870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97"/>
          </reference>
        </references>
      </pivotArea>
    </format>
    <format dxfId="8704">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500"/>
          </reference>
        </references>
      </pivotArea>
    </format>
    <format dxfId="8703">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98"/>
          </reference>
        </references>
      </pivotArea>
    </format>
    <format dxfId="8702">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99"/>
          </reference>
        </references>
      </pivotArea>
    </format>
    <format dxfId="870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458"/>
          </reference>
        </references>
      </pivotArea>
    </format>
    <format dxfId="8700">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459"/>
          </reference>
        </references>
      </pivotArea>
    </format>
    <format dxfId="8699">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460"/>
          </reference>
        </references>
      </pivotArea>
    </format>
    <format dxfId="8698">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461"/>
          </reference>
        </references>
      </pivotArea>
    </format>
    <format dxfId="869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458"/>
          </reference>
        </references>
      </pivotArea>
    </format>
    <format dxfId="869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459"/>
          </reference>
        </references>
      </pivotArea>
    </format>
    <format dxfId="869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460"/>
          </reference>
        </references>
      </pivotArea>
    </format>
    <format dxfId="8694">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461"/>
          </reference>
        </references>
      </pivotArea>
    </format>
    <format dxfId="8693">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586"/>
          </reference>
        </references>
      </pivotArea>
    </format>
    <format dxfId="8692">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480"/>
          </reference>
        </references>
      </pivotArea>
    </format>
    <format dxfId="8691">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593"/>
          </reference>
        </references>
      </pivotArea>
    </format>
    <format dxfId="8690">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594"/>
          </reference>
        </references>
      </pivotArea>
    </format>
    <format dxfId="8689">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58"/>
          </reference>
          <reference field="81" count="1">
            <x v="595"/>
          </reference>
        </references>
      </pivotArea>
    </format>
    <format dxfId="8688">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583"/>
          </reference>
        </references>
      </pivotArea>
    </format>
    <format dxfId="8687">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591"/>
          </reference>
        </references>
      </pivotArea>
    </format>
    <format dxfId="8686">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584"/>
          </reference>
        </references>
      </pivotArea>
    </format>
    <format dxfId="8685">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587"/>
          </reference>
        </references>
      </pivotArea>
    </format>
    <format dxfId="8684">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591"/>
          </reference>
        </references>
      </pivotArea>
    </format>
    <format dxfId="8683">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559"/>
          </reference>
        </references>
      </pivotArea>
    </format>
    <format dxfId="8682">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478"/>
          </reference>
        </references>
      </pivotArea>
    </format>
    <format dxfId="868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452"/>
          </reference>
        </references>
      </pivotArea>
    </format>
    <format dxfId="868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456"/>
          </reference>
        </references>
      </pivotArea>
    </format>
    <format dxfId="867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494"/>
          </reference>
        </references>
      </pivotArea>
    </format>
    <format dxfId="867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493"/>
          </reference>
        </references>
      </pivotArea>
    </format>
    <format dxfId="867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492"/>
          </reference>
        </references>
      </pivotArea>
    </format>
    <format dxfId="867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491"/>
          </reference>
        </references>
      </pivotArea>
    </format>
    <format dxfId="867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489"/>
          </reference>
        </references>
      </pivotArea>
    </format>
    <format dxfId="867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455"/>
          </reference>
        </references>
      </pivotArea>
    </format>
    <format dxfId="8673">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490"/>
          </reference>
        </references>
      </pivotArea>
    </format>
    <format dxfId="8672">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71"/>
          </reference>
          <reference field="81" count="1">
            <x v="592"/>
          </reference>
        </references>
      </pivotArea>
    </format>
    <format dxfId="8671">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590"/>
          </reference>
        </references>
      </pivotArea>
    </format>
    <format dxfId="8670">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452"/>
          </reference>
        </references>
      </pivotArea>
    </format>
    <format dxfId="8669">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489"/>
          </reference>
        </references>
      </pivotArea>
    </format>
    <format dxfId="8668">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590"/>
          </reference>
        </references>
      </pivotArea>
    </format>
    <format dxfId="8667">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472"/>
          </reference>
        </references>
      </pivotArea>
    </format>
    <format dxfId="8666">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533"/>
          </reference>
        </references>
      </pivotArea>
    </format>
    <format dxfId="8665">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534"/>
          </reference>
        </references>
      </pivotArea>
    </format>
    <format dxfId="8664">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533"/>
          </reference>
        </references>
      </pivotArea>
    </format>
    <format dxfId="8663">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534"/>
          </reference>
        </references>
      </pivotArea>
    </format>
    <format dxfId="8662">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536"/>
          </reference>
        </references>
      </pivotArea>
    </format>
    <format dxfId="8661">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537"/>
          </reference>
        </references>
      </pivotArea>
    </format>
    <format dxfId="8660">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536"/>
          </reference>
        </references>
      </pivotArea>
    </format>
    <format dxfId="8659">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538"/>
          </reference>
        </references>
      </pivotArea>
    </format>
    <format dxfId="8658">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539"/>
          </reference>
        </references>
      </pivotArea>
    </format>
    <format dxfId="8657">
      <pivotArea dataOnly="0" labelOnly="1" outline="0" fieldPosition="0">
        <references count="9">
          <reference field="1" count="1" selected="0">
            <x v="45"/>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552"/>
          </reference>
        </references>
      </pivotArea>
    </format>
    <format dxfId="8656">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460"/>
          </reference>
        </references>
      </pivotArea>
    </format>
    <format dxfId="8655">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467"/>
          </reference>
        </references>
      </pivotArea>
    </format>
    <format dxfId="8654">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469"/>
          </reference>
        </references>
      </pivotArea>
    </format>
    <format dxfId="8653">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470"/>
          </reference>
        </references>
      </pivotArea>
    </format>
    <format dxfId="8652">
      <pivotArea field="82" type="button" dataOnly="0" labelOnly="1" outline="0" axis="axisRow" fieldPosition="9"/>
    </format>
    <format dxfId="8651">
      <pivotArea field="87" type="button" dataOnly="0" labelOnly="1" outline="0" axis="axisRow" fieldPosition="12"/>
    </format>
    <format dxfId="8650">
      <pivotArea field="88" type="button" dataOnly="0" labelOnly="1" outline="0" axis="axisRow" fieldPosition="13"/>
    </format>
    <format dxfId="8649">
      <pivotArea field="72" type="button" dataOnly="0" labelOnly="1" outline="0" axis="axisRow" fieldPosition="5"/>
    </format>
    <format dxfId="8648">
      <pivotArea field="13" type="button" dataOnly="0" labelOnly="1" outline="0" axis="axisRow" fieldPosition="6"/>
    </format>
    <format dxfId="8647">
      <pivotArea field="81" type="button" dataOnly="0" labelOnly="1" outline="0" axis="axisRow" fieldPosition="8"/>
    </format>
    <format dxfId="8646">
      <pivotArea field="82" type="button" dataOnly="0" labelOnly="1" outline="0" axis="axisRow" fieldPosition="9"/>
    </format>
    <format dxfId="8645">
      <pivotArea field="87" type="button" dataOnly="0" labelOnly="1" outline="0" axis="axisRow" fieldPosition="12"/>
    </format>
    <format dxfId="8644">
      <pivotArea field="88" type="button" dataOnly="0" labelOnly="1" outline="0" axis="axisRow" fieldPosition="13"/>
    </format>
    <format dxfId="8643">
      <pivotArea field="72" type="button" dataOnly="0" labelOnly="1" outline="0" axis="axisRow" fieldPosition="5"/>
    </format>
    <format dxfId="8642">
      <pivotArea field="13" type="button" dataOnly="0" labelOnly="1" outline="0" axis="axisRow" fieldPosition="6"/>
    </format>
    <format dxfId="8641">
      <pivotArea field="81" type="button" dataOnly="0" labelOnly="1" outline="0" axis="axisRow" fieldPosition="8"/>
    </format>
    <format dxfId="8640">
      <pivotArea field="82" type="button" dataOnly="0" labelOnly="1" outline="0" axis="axisRow" fieldPosition="9"/>
    </format>
    <format dxfId="8639">
      <pivotArea field="87" type="button" dataOnly="0" labelOnly="1" outline="0" axis="axisRow" fieldPosition="12"/>
    </format>
    <format dxfId="8638">
      <pivotArea field="88" type="button" dataOnly="0" labelOnly="1" outline="0" axis="axisRow" fieldPosition="13"/>
    </format>
    <format dxfId="8637">
      <pivotArea dataOnly="0" labelOnly="1" outline="0" fieldPosition="0">
        <references count="3">
          <reference field="1" count="0" selected="0"/>
          <reference field="2" count="0"/>
          <reference field="3" count="1" selected="0">
            <x v="5"/>
          </reference>
        </references>
      </pivotArea>
    </format>
    <format dxfId="8636">
      <pivotArea dataOnly="0" labelOnly="1" outline="0" fieldPosition="0">
        <references count="5">
          <reference field="1" count="0" selected="0"/>
          <reference field="2" count="0" selected="0"/>
          <reference field="3" count="1" selected="0">
            <x v="5"/>
          </reference>
          <reference field="5" count="1" selected="0">
            <x v="6"/>
          </reference>
          <reference field="23" count="0"/>
        </references>
      </pivotArea>
    </format>
    <format dxfId="8635">
      <pivotArea dataOnly="0" labelOnly="1" outline="0" fieldPosition="0">
        <references count="8">
          <reference field="1" count="0" selected="0"/>
          <reference field="2" count="0" selected="0"/>
          <reference field="3" count="1" selected="0">
            <x v="5"/>
          </reference>
          <reference field="5" count="1" selected="0">
            <x v="6"/>
          </reference>
          <reference field="13" count="1" selected="0">
            <x v="4"/>
          </reference>
          <reference field="22" count="1">
            <x v="10"/>
          </reference>
          <reference field="23" count="0" selected="0"/>
          <reference field="72" count="1" selected="0">
            <x v="186"/>
          </reference>
        </references>
      </pivotArea>
    </format>
    <format dxfId="8634">
      <pivotArea dataOnly="0" labelOnly="1" outline="0" fieldPosition="0">
        <references count="8">
          <reference field="1" count="0" selected="0"/>
          <reference field="2" count="0" selected="0"/>
          <reference field="3" count="1" selected="0">
            <x v="7"/>
          </reference>
          <reference field="5" count="1" selected="0">
            <x v="12"/>
          </reference>
          <reference field="13" count="1" selected="0">
            <x v="4"/>
          </reference>
          <reference field="22" count="1">
            <x v="17"/>
          </reference>
          <reference field="23" count="0" selected="0"/>
          <reference field="72" count="1" selected="0">
            <x v="113"/>
          </reference>
        </references>
      </pivotArea>
    </format>
    <format dxfId="8633">
      <pivotArea field="72" type="button" dataOnly="0" labelOnly="1" outline="0" axis="axisRow" fieldPosition="5"/>
    </format>
    <format dxfId="8632">
      <pivotArea field="13" type="button" dataOnly="0" labelOnly="1" outline="0" axis="axisRow" fieldPosition="6"/>
    </format>
    <format dxfId="8631">
      <pivotArea dataOnly="0" labelOnly="1" outline="0" fieldPosition="0">
        <references count="7">
          <reference field="1" count="0" selected="0"/>
          <reference field="2" count="0" selected="0"/>
          <reference field="3" count="1" selected="0">
            <x v="5"/>
          </reference>
          <reference field="5" count="1" selected="0">
            <x v="6"/>
          </reference>
          <reference field="13" count="1">
            <x v="4"/>
          </reference>
          <reference field="23" count="0" selected="0"/>
          <reference field="72" count="1" selected="0">
            <x v="186"/>
          </reference>
        </references>
      </pivotArea>
    </format>
    <format dxfId="8630">
      <pivotArea field="81" type="button" dataOnly="0" labelOnly="1" outline="0" axis="axisRow" fieldPosition="8"/>
    </format>
    <format dxfId="8629">
      <pivotArea dataOnly="0" labelOnly="1" outline="0" fieldPosition="0">
        <references count="9">
          <reference field="1" count="0" selected="0"/>
          <reference field="2" count="0" selected="0"/>
          <reference field="3" count="1" selected="0">
            <x v="5"/>
          </reference>
          <reference field="5" count="1" selected="0">
            <x v="6"/>
          </reference>
          <reference field="13" count="1" selected="0">
            <x v="4"/>
          </reference>
          <reference field="22" count="1" selected="0">
            <x v="10"/>
          </reference>
          <reference field="23" count="0" selected="0"/>
          <reference field="72" count="1" selected="0">
            <x v="186"/>
          </reference>
          <reference field="81" count="1">
            <x v="965"/>
          </reference>
        </references>
      </pivotArea>
    </format>
    <format dxfId="8628">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x v="983"/>
          </reference>
        </references>
      </pivotArea>
    </format>
    <format dxfId="8627">
      <pivotArea field="82" type="button" dataOnly="0" labelOnly="1" outline="0" axis="axisRow" fieldPosition="9"/>
    </format>
    <format dxfId="8626">
      <pivotArea field="87" type="button" dataOnly="0" labelOnly="1" outline="0" axis="axisRow" fieldPosition="12"/>
    </format>
    <format dxfId="8625">
      <pivotArea field="88" type="button" dataOnly="0" labelOnly="1" outline="0" axis="axisRow" fieldPosition="13"/>
    </format>
    <format dxfId="8624">
      <pivotArea field="72" type="button" dataOnly="0" labelOnly="1" outline="0" axis="axisRow" fieldPosition="5"/>
    </format>
    <format dxfId="8623">
      <pivotArea field="13" type="button" dataOnly="0" labelOnly="1" outline="0" axis="axisRow" fieldPosition="6"/>
    </format>
    <format dxfId="8622">
      <pivotArea field="81" type="button" dataOnly="0" labelOnly="1" outline="0" axis="axisRow" fieldPosition="8"/>
    </format>
    <format dxfId="8621">
      <pivotArea field="82" type="button" dataOnly="0" labelOnly="1" outline="0" axis="axisRow" fieldPosition="9"/>
    </format>
    <format dxfId="8620">
      <pivotArea field="87" type="button" dataOnly="0" labelOnly="1" outline="0" axis="axisRow" fieldPosition="12"/>
    </format>
    <format dxfId="8619">
      <pivotArea field="88" type="button" dataOnly="0" labelOnly="1" outline="0" axis="axisRow" fieldPosition="13"/>
    </format>
    <format dxfId="8618">
      <pivotArea field="72" type="button" dataOnly="0" labelOnly="1" outline="0" axis="axisRow" fieldPosition="5"/>
    </format>
    <format dxfId="8617">
      <pivotArea field="13" type="button" dataOnly="0" labelOnly="1" outline="0" axis="axisRow" fieldPosition="6"/>
    </format>
    <format dxfId="8616">
      <pivotArea field="81" type="button" dataOnly="0" labelOnly="1" outline="0" axis="axisRow" fieldPosition="8"/>
    </format>
    <format dxfId="8615">
      <pivotArea field="82" type="button" dataOnly="0" labelOnly="1" outline="0" axis="axisRow" fieldPosition="9"/>
    </format>
    <format dxfId="8614">
      <pivotArea field="87" type="button" dataOnly="0" labelOnly="1" outline="0" axis="axisRow" fieldPosition="12"/>
    </format>
    <format dxfId="8613">
      <pivotArea field="88" type="button" dataOnly="0" labelOnly="1" outline="0" axis="axisRow" fieldPosition="13"/>
    </format>
    <format dxfId="8612">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8611">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8610">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8609">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5"/>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8608">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5"/>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8607">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8606">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8605">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8604">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8603">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8602">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8601">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8600">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8599">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5"/>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8598">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5"/>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8597">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5"/>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8596">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5"/>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8595">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5"/>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8594">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8593">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8592">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8591">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8590">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5"/>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8589">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5"/>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8588">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5"/>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8587">
      <pivotArea dataOnly="0" labelOnly="1" outline="0" fieldPosition="0">
        <references count="15">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5"/>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8586">
      <pivotArea dataOnly="0" labelOnly="1" outline="0" fieldPosition="0">
        <references count="15">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5"/>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8585">
      <pivotArea dataOnly="0" labelOnly="1" outline="0" fieldPosition="0">
        <references count="15">
          <reference field="1" count="1" selected="0">
            <x v="48"/>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5"/>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8584">
      <pivotArea field="72" type="button" dataOnly="0" labelOnly="1" outline="0" axis="axisRow" fieldPosition="5"/>
    </format>
    <format dxfId="8583">
      <pivotArea field="13" type="button" dataOnly="0" labelOnly="1" outline="0" axis="axisRow" fieldPosition="6"/>
    </format>
    <format dxfId="8582">
      <pivotArea field="81" type="button" dataOnly="0" labelOnly="1" outline="0" axis="axisRow" fieldPosition="8"/>
    </format>
    <format dxfId="8581">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965"/>
          </reference>
        </references>
      </pivotArea>
    </format>
    <format dxfId="8580">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966"/>
          </reference>
        </references>
      </pivotArea>
    </format>
    <format dxfId="857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897"/>
          </reference>
        </references>
      </pivotArea>
    </format>
    <format dxfId="857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898"/>
          </reference>
        </references>
      </pivotArea>
    </format>
    <format dxfId="857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905"/>
          </reference>
        </references>
      </pivotArea>
    </format>
    <format dxfId="857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906"/>
          </reference>
        </references>
      </pivotArea>
    </format>
    <format dxfId="8575">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965"/>
          </reference>
        </references>
      </pivotArea>
    </format>
    <format dxfId="8574">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967"/>
          </reference>
        </references>
      </pivotArea>
    </format>
    <format dxfId="857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005"/>
          </reference>
        </references>
      </pivotArea>
    </format>
    <format dxfId="857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006"/>
          </reference>
        </references>
      </pivotArea>
    </format>
    <format dxfId="857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007"/>
          </reference>
        </references>
      </pivotArea>
    </format>
    <format dxfId="857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002"/>
          </reference>
        </references>
      </pivotArea>
    </format>
    <format dxfId="8569">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965"/>
          </reference>
        </references>
      </pivotArea>
    </format>
    <format dxfId="8568">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967"/>
          </reference>
        </references>
      </pivotArea>
    </format>
    <format dxfId="856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005"/>
          </reference>
        </references>
      </pivotArea>
    </format>
    <format dxfId="856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006"/>
          </reference>
        </references>
      </pivotArea>
    </format>
    <format dxfId="856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007"/>
          </reference>
        </references>
      </pivotArea>
    </format>
    <format dxfId="856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002"/>
          </reference>
        </references>
      </pivotArea>
    </format>
    <format dxfId="8563">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965"/>
          </reference>
        </references>
      </pivotArea>
    </format>
    <format dxfId="8562">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967"/>
          </reference>
        </references>
      </pivotArea>
    </format>
    <format dxfId="8561">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988"/>
          </reference>
        </references>
      </pivotArea>
    </format>
    <format dxfId="8560">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78"/>
          </reference>
        </references>
      </pivotArea>
    </format>
    <format dxfId="855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002"/>
          </reference>
        </references>
      </pivotArea>
    </format>
    <format dxfId="855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896"/>
          </reference>
        </references>
      </pivotArea>
    </format>
    <format dxfId="855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003"/>
          </reference>
        </references>
      </pivotArea>
    </format>
    <format dxfId="855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004"/>
          </reference>
        </references>
      </pivotArea>
    </format>
    <format dxfId="8555">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965"/>
          </reference>
        </references>
      </pivotArea>
    </format>
    <format dxfId="8554">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966"/>
          </reference>
        </references>
      </pivotArea>
    </format>
    <format dxfId="855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897"/>
          </reference>
        </references>
      </pivotArea>
    </format>
    <format dxfId="855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898"/>
          </reference>
        </references>
      </pivotArea>
    </format>
    <format dxfId="855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905"/>
          </reference>
        </references>
      </pivotArea>
    </format>
    <format dxfId="855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906"/>
          </reference>
        </references>
      </pivotArea>
    </format>
    <format dxfId="8549">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983"/>
          </reference>
        </references>
      </pivotArea>
    </format>
    <format dxfId="854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961"/>
          </reference>
        </references>
      </pivotArea>
    </format>
    <format dxfId="854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938"/>
          </reference>
        </references>
      </pivotArea>
    </format>
    <format dxfId="854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962"/>
          </reference>
        </references>
      </pivotArea>
    </format>
    <format dxfId="854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954"/>
          </reference>
        </references>
      </pivotArea>
    </format>
    <format dxfId="854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963"/>
          </reference>
        </references>
      </pivotArea>
    </format>
    <format dxfId="854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955"/>
          </reference>
        </references>
      </pivotArea>
    </format>
    <format dxfId="854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964"/>
          </reference>
        </references>
      </pivotArea>
    </format>
    <format dxfId="854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952"/>
          </reference>
        </references>
      </pivotArea>
    </format>
    <format dxfId="854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005"/>
          </reference>
        </references>
      </pivotArea>
    </format>
    <format dxfId="853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006"/>
          </reference>
        </references>
      </pivotArea>
    </format>
    <format dxfId="853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007"/>
          </reference>
        </references>
      </pivotArea>
    </format>
    <format dxfId="853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002"/>
          </reference>
        </references>
      </pivotArea>
    </format>
    <format dxfId="8536">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983"/>
          </reference>
        </references>
      </pivotArea>
    </format>
    <format dxfId="8535">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965"/>
          </reference>
        </references>
      </pivotArea>
    </format>
    <format dxfId="8534">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966"/>
          </reference>
        </references>
      </pivotArea>
    </format>
    <format dxfId="8533">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896"/>
          </reference>
        </references>
      </pivotArea>
    </format>
    <format dxfId="8532">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003"/>
          </reference>
        </references>
      </pivotArea>
    </format>
    <format dxfId="8531">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004"/>
          </reference>
        </references>
      </pivotArea>
    </format>
    <format dxfId="8530">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965"/>
          </reference>
        </references>
      </pivotArea>
    </format>
    <format dxfId="8529">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966"/>
          </reference>
        </references>
      </pivotArea>
    </format>
    <format dxfId="852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897"/>
          </reference>
        </references>
      </pivotArea>
    </format>
    <format dxfId="852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898"/>
          </reference>
        </references>
      </pivotArea>
    </format>
    <format dxfId="852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905"/>
          </reference>
        </references>
      </pivotArea>
    </format>
    <format dxfId="8525">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906"/>
          </reference>
        </references>
      </pivotArea>
    </format>
    <format dxfId="8524">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965"/>
          </reference>
        </references>
      </pivotArea>
    </format>
    <format dxfId="8523">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967"/>
          </reference>
        </references>
      </pivotArea>
    </format>
    <format dxfId="8522">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005"/>
          </reference>
        </references>
      </pivotArea>
    </format>
    <format dxfId="8521">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916"/>
          </reference>
        </references>
      </pivotArea>
    </format>
    <format dxfId="852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915"/>
          </reference>
        </references>
      </pivotArea>
    </format>
    <format dxfId="8519">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010"/>
          </reference>
        </references>
      </pivotArea>
    </format>
    <format dxfId="8518">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985"/>
          </reference>
        </references>
      </pivotArea>
    </format>
    <format dxfId="8517">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972"/>
          </reference>
        </references>
      </pivotArea>
    </format>
    <format dxfId="8516">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921"/>
          </reference>
        </references>
      </pivotArea>
    </format>
    <format dxfId="8515">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008"/>
          </reference>
        </references>
      </pivotArea>
    </format>
    <format dxfId="8514">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009"/>
          </reference>
        </references>
      </pivotArea>
    </format>
    <format dxfId="8513">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87"/>
          </reference>
          <reference field="81" count="1">
            <x v="968"/>
          </reference>
        </references>
      </pivotArea>
    </format>
    <format dxfId="8512">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969"/>
          </reference>
        </references>
      </pivotArea>
    </format>
    <format dxfId="8511">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1028"/>
          </reference>
        </references>
      </pivotArea>
    </format>
    <format dxfId="8510">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921"/>
          </reference>
        </references>
      </pivotArea>
    </format>
    <format dxfId="8509">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008"/>
          </reference>
        </references>
      </pivotArea>
    </format>
    <format dxfId="8508">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009"/>
          </reference>
        </references>
      </pivotArea>
    </format>
    <format dxfId="8507">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013"/>
          </reference>
        </references>
      </pivotArea>
    </format>
    <format dxfId="8506">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014"/>
          </reference>
        </references>
      </pivotArea>
    </format>
    <format dxfId="8505">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015"/>
          </reference>
        </references>
      </pivotArea>
    </format>
    <format dxfId="8504">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982"/>
          </reference>
        </references>
      </pivotArea>
    </format>
    <format dxfId="8503">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78"/>
          </reference>
        </references>
      </pivotArea>
    </format>
    <format dxfId="850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954"/>
          </reference>
        </references>
      </pivotArea>
    </format>
    <format dxfId="850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955"/>
          </reference>
        </references>
      </pivotArea>
    </format>
    <format dxfId="850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952"/>
          </reference>
        </references>
      </pivotArea>
    </format>
    <format dxfId="849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953"/>
          </reference>
        </references>
      </pivotArea>
    </format>
    <format dxfId="849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914"/>
          </reference>
        </references>
      </pivotArea>
    </format>
    <format dxfId="8497">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011"/>
          </reference>
        </references>
      </pivotArea>
    </format>
    <format dxfId="8496">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012"/>
          </reference>
        </references>
      </pivotArea>
    </format>
    <format dxfId="8495">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1025"/>
          </reference>
        </references>
      </pivotArea>
    </format>
    <format dxfId="8494">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987"/>
          </reference>
        </references>
      </pivotArea>
    </format>
    <format dxfId="849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000"/>
          </reference>
        </references>
      </pivotArea>
    </format>
    <format dxfId="8492">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910"/>
          </reference>
        </references>
      </pivotArea>
    </format>
    <format dxfId="8491">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001"/>
          </reference>
        </references>
      </pivotArea>
    </format>
    <format dxfId="8490">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989"/>
          </reference>
        </references>
      </pivotArea>
    </format>
    <format dxfId="8489">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987"/>
          </reference>
        </references>
      </pivotArea>
    </format>
    <format dxfId="848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958"/>
          </reference>
        </references>
      </pivotArea>
    </format>
    <format dxfId="848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959"/>
          </reference>
        </references>
      </pivotArea>
    </format>
    <format dxfId="848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956"/>
          </reference>
        </references>
      </pivotArea>
    </format>
    <format dxfId="848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957"/>
          </reference>
        </references>
      </pivotArea>
    </format>
    <format dxfId="848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908"/>
          </reference>
        </references>
      </pivotArea>
    </format>
    <format dxfId="8483">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904"/>
          </reference>
        </references>
      </pivotArea>
    </format>
    <format dxfId="8482">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997"/>
          </reference>
        </references>
      </pivotArea>
    </format>
    <format dxfId="8481">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978"/>
          </reference>
        </references>
      </pivotArea>
    </format>
    <format dxfId="848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908"/>
          </reference>
        </references>
      </pivotArea>
    </format>
    <format dxfId="8479">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904"/>
          </reference>
        </references>
      </pivotArea>
    </format>
    <format dxfId="8478">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997"/>
          </reference>
        </references>
      </pivotArea>
    </format>
    <format dxfId="8477">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986"/>
          </reference>
        </references>
      </pivotArea>
    </format>
    <format dxfId="8476">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78"/>
          </reference>
        </references>
      </pivotArea>
    </format>
    <format dxfId="847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911"/>
          </reference>
        </references>
      </pivotArea>
    </format>
    <format dxfId="8474">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898"/>
          </reference>
        </references>
      </pivotArea>
    </format>
    <format dxfId="8473">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905"/>
          </reference>
        </references>
      </pivotArea>
    </format>
    <format dxfId="8472">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925"/>
          </reference>
        </references>
      </pivotArea>
    </format>
    <format dxfId="8471">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924"/>
          </reference>
        </references>
      </pivotArea>
    </format>
    <format dxfId="8470">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926"/>
          </reference>
        </references>
      </pivotArea>
    </format>
    <format dxfId="846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911"/>
          </reference>
        </references>
      </pivotArea>
    </format>
    <format dxfId="8468">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898"/>
          </reference>
        </references>
      </pivotArea>
    </format>
    <format dxfId="8467">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905"/>
          </reference>
        </references>
      </pivotArea>
    </format>
    <format dxfId="8466">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972"/>
          </reference>
        </references>
      </pivotArea>
    </format>
    <format dxfId="846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897"/>
          </reference>
        </references>
      </pivotArea>
    </format>
    <format dxfId="846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898"/>
          </reference>
        </references>
      </pivotArea>
    </format>
    <format dxfId="846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905"/>
          </reference>
        </references>
      </pivotArea>
    </format>
    <format dxfId="846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906"/>
          </reference>
        </references>
      </pivotArea>
    </format>
    <format dxfId="846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888"/>
          </reference>
        </references>
      </pivotArea>
    </format>
    <format dxfId="846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889"/>
          </reference>
        </references>
      </pivotArea>
    </format>
    <format dxfId="845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890"/>
          </reference>
        </references>
      </pivotArea>
    </format>
    <format dxfId="845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891"/>
          </reference>
        </references>
      </pivotArea>
    </format>
    <format dxfId="8457">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994"/>
          </reference>
        </references>
      </pivotArea>
    </format>
    <format dxfId="8456">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993"/>
          </reference>
        </references>
      </pivotArea>
    </format>
    <format dxfId="845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888"/>
          </reference>
        </references>
      </pivotArea>
    </format>
    <format dxfId="845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889"/>
          </reference>
        </references>
      </pivotArea>
    </format>
    <format dxfId="845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890"/>
          </reference>
        </references>
      </pivotArea>
    </format>
    <format dxfId="845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891"/>
          </reference>
        </references>
      </pivotArea>
    </format>
    <format dxfId="845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888"/>
          </reference>
        </references>
      </pivotArea>
    </format>
    <format dxfId="845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889"/>
          </reference>
        </references>
      </pivotArea>
    </format>
    <format dxfId="844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890"/>
          </reference>
        </references>
      </pivotArea>
    </format>
    <format dxfId="844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891"/>
          </reference>
        </references>
      </pivotArea>
    </format>
    <format dxfId="8447">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905"/>
          </reference>
        </references>
      </pivotArea>
    </format>
    <format dxfId="8446">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907"/>
          </reference>
        </references>
      </pivotArea>
    </format>
    <format dxfId="8445">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912"/>
          </reference>
        </references>
      </pivotArea>
    </format>
    <format dxfId="844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983"/>
          </reference>
        </references>
      </pivotArea>
    </format>
    <format dxfId="844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984"/>
          </reference>
        </references>
      </pivotArea>
    </format>
    <format dxfId="844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78"/>
          </reference>
        </references>
      </pivotArea>
    </format>
    <format dxfId="844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949"/>
          </reference>
        </references>
      </pivotArea>
    </format>
    <format dxfId="844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939"/>
          </reference>
        </references>
      </pivotArea>
    </format>
    <format dxfId="843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950"/>
          </reference>
        </references>
      </pivotArea>
    </format>
    <format dxfId="843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951"/>
          </reference>
        </references>
      </pivotArea>
    </format>
    <format dxfId="8437">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008"/>
          </reference>
        </references>
      </pivotArea>
    </format>
    <format dxfId="8436">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022"/>
          </reference>
        </references>
      </pivotArea>
    </format>
    <format dxfId="8435">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924"/>
          </reference>
        </references>
      </pivotArea>
    </format>
    <format dxfId="8434">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981"/>
          </reference>
        </references>
      </pivotArea>
    </format>
    <format dxfId="8433">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972"/>
          </reference>
        </references>
      </pivotArea>
    </format>
    <format dxfId="8432">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983"/>
          </reference>
        </references>
      </pivotArea>
    </format>
    <format dxfId="8431">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984"/>
          </reference>
        </references>
      </pivotArea>
    </format>
    <format dxfId="843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983"/>
          </reference>
        </references>
      </pivotArea>
    </format>
    <format dxfId="842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984"/>
          </reference>
        </references>
      </pivotArea>
    </format>
    <format dxfId="842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78"/>
          </reference>
        </references>
      </pivotArea>
    </format>
    <format dxfId="842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947"/>
          </reference>
        </references>
      </pivotArea>
    </format>
    <format dxfId="842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945"/>
          </reference>
        </references>
      </pivotArea>
    </format>
    <format dxfId="842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948"/>
          </reference>
        </references>
      </pivotArea>
    </format>
    <format dxfId="842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940"/>
          </reference>
        </references>
      </pivotArea>
    </format>
    <format dxfId="842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020"/>
          </reference>
        </references>
      </pivotArea>
    </format>
    <format dxfId="8422">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007"/>
          </reference>
        </references>
      </pivotArea>
    </format>
    <format dxfId="8421">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021"/>
          </reference>
        </references>
      </pivotArea>
    </format>
    <format dxfId="8420">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981"/>
          </reference>
        </references>
      </pivotArea>
    </format>
    <format dxfId="8419">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983"/>
          </reference>
        </references>
      </pivotArea>
    </format>
    <format dxfId="8418">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984"/>
          </reference>
        </references>
      </pivotArea>
    </format>
    <format dxfId="841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998"/>
          </reference>
        </references>
      </pivotArea>
    </format>
    <format dxfId="841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997"/>
          </reference>
        </references>
      </pivotArea>
    </format>
    <format dxfId="841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995"/>
          </reference>
        </references>
      </pivotArea>
    </format>
    <format dxfId="841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996"/>
          </reference>
        </references>
      </pivotArea>
    </format>
    <format dxfId="8413">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960"/>
          </reference>
        </references>
      </pivotArea>
    </format>
    <format dxfId="8412">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016"/>
          </reference>
        </references>
      </pivotArea>
    </format>
    <format dxfId="8411">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017"/>
          </reference>
        </references>
      </pivotArea>
    </format>
    <format dxfId="8410">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925"/>
          </reference>
        </references>
      </pivotArea>
    </format>
    <format dxfId="840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920"/>
          </reference>
        </references>
      </pivotArea>
    </format>
    <format dxfId="8408">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921"/>
          </reference>
        </references>
      </pivotArea>
    </format>
    <format dxfId="8407">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919"/>
          </reference>
        </references>
      </pivotArea>
    </format>
    <format dxfId="8406">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960"/>
          </reference>
        </references>
      </pivotArea>
    </format>
    <format dxfId="840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018"/>
          </reference>
        </references>
      </pivotArea>
    </format>
    <format dxfId="840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019"/>
          </reference>
        </references>
      </pivotArea>
    </format>
    <format dxfId="8403">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008"/>
          </reference>
        </references>
      </pivotArea>
    </format>
    <format dxfId="840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920"/>
          </reference>
        </references>
      </pivotArea>
    </format>
    <format dxfId="840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921"/>
          </reference>
        </references>
      </pivotArea>
    </format>
    <format dxfId="840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922"/>
          </reference>
        </references>
      </pivotArea>
    </format>
    <format dxfId="839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919"/>
          </reference>
        </references>
      </pivotArea>
    </format>
    <format dxfId="839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923"/>
          </reference>
        </references>
      </pivotArea>
    </format>
    <format dxfId="8397">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979"/>
          </reference>
        </references>
      </pivotArea>
    </format>
    <format dxfId="8396">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980"/>
          </reference>
        </references>
      </pivotArea>
    </format>
    <format dxfId="839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908"/>
          </reference>
        </references>
      </pivotArea>
    </format>
    <format dxfId="839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909"/>
          </reference>
        </references>
      </pivotArea>
    </format>
    <format dxfId="839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890"/>
          </reference>
        </references>
      </pivotArea>
    </format>
    <format dxfId="839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906"/>
          </reference>
        </references>
      </pivotArea>
    </format>
    <format dxfId="839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908"/>
          </reference>
        </references>
      </pivotArea>
    </format>
    <format dxfId="839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909"/>
          </reference>
        </references>
      </pivotArea>
    </format>
    <format dxfId="838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890"/>
          </reference>
        </references>
      </pivotArea>
    </format>
    <format dxfId="838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906"/>
          </reference>
        </references>
      </pivotArea>
    </format>
    <format dxfId="838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908"/>
          </reference>
        </references>
      </pivotArea>
    </format>
    <format dxfId="8386">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889"/>
          </reference>
        </references>
      </pivotArea>
    </format>
    <format dxfId="838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906"/>
          </reference>
        </references>
      </pivotArea>
    </format>
    <format dxfId="838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899"/>
          </reference>
        </references>
      </pivotArea>
    </format>
    <format dxfId="8383">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989"/>
          </reference>
        </references>
      </pivotArea>
    </format>
    <format dxfId="8382">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990"/>
          </reference>
        </references>
      </pivotArea>
    </format>
    <format dxfId="8381">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934"/>
          </reference>
        </references>
      </pivotArea>
    </format>
    <format dxfId="8380">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914"/>
          </reference>
        </references>
      </pivotArea>
    </format>
    <format dxfId="8379">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915"/>
          </reference>
        </references>
      </pivotArea>
    </format>
    <format dxfId="8378">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917"/>
          </reference>
        </references>
      </pivotArea>
    </format>
    <format dxfId="837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935"/>
          </reference>
        </references>
      </pivotArea>
    </format>
    <format dxfId="837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938"/>
          </reference>
        </references>
      </pivotArea>
    </format>
    <format dxfId="837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936"/>
          </reference>
        </references>
      </pivotArea>
    </format>
    <format dxfId="837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937"/>
          </reference>
        </references>
      </pivotArea>
    </format>
    <format dxfId="837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900"/>
          </reference>
        </references>
      </pivotArea>
    </format>
    <format dxfId="837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896"/>
          </reference>
        </references>
      </pivotArea>
    </format>
    <format dxfId="837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897"/>
          </reference>
        </references>
      </pivotArea>
    </format>
    <format dxfId="837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898"/>
          </reference>
        </references>
      </pivotArea>
    </format>
    <format dxfId="836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899"/>
          </reference>
        </references>
      </pivotArea>
    </format>
    <format dxfId="836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935"/>
          </reference>
        </references>
      </pivotArea>
    </format>
    <format dxfId="836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938"/>
          </reference>
        </references>
      </pivotArea>
    </format>
    <format dxfId="8366">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936"/>
          </reference>
        </references>
      </pivotArea>
    </format>
    <format dxfId="836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937"/>
          </reference>
        </references>
      </pivotArea>
    </format>
    <format dxfId="836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900"/>
          </reference>
        </references>
      </pivotArea>
    </format>
    <format dxfId="836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896"/>
          </reference>
        </references>
      </pivotArea>
    </format>
    <format dxfId="836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897"/>
          </reference>
        </references>
      </pivotArea>
    </format>
    <format dxfId="836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898"/>
          </reference>
        </references>
      </pivotArea>
    </format>
    <format dxfId="836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899"/>
          </reference>
        </references>
      </pivotArea>
    </format>
    <format dxfId="835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935"/>
          </reference>
        </references>
      </pivotArea>
    </format>
    <format dxfId="835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938"/>
          </reference>
        </references>
      </pivotArea>
    </format>
    <format dxfId="835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936"/>
          </reference>
        </references>
      </pivotArea>
    </format>
    <format dxfId="835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937"/>
          </reference>
        </references>
      </pivotArea>
    </format>
    <format dxfId="835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900"/>
          </reference>
        </references>
      </pivotArea>
    </format>
    <format dxfId="835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896"/>
          </reference>
        </references>
      </pivotArea>
    </format>
    <format dxfId="835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897"/>
          </reference>
        </references>
      </pivotArea>
    </format>
    <format dxfId="835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898"/>
          </reference>
        </references>
      </pivotArea>
    </format>
    <format dxfId="835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899"/>
          </reference>
        </references>
      </pivotArea>
    </format>
    <format dxfId="835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911"/>
          </reference>
        </references>
      </pivotArea>
    </format>
    <format dxfId="834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913"/>
          </reference>
        </references>
      </pivotArea>
    </format>
    <format dxfId="834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912"/>
          </reference>
        </references>
      </pivotArea>
    </format>
    <format dxfId="834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899"/>
          </reference>
        </references>
      </pivotArea>
    </format>
    <format dxfId="834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901"/>
          </reference>
        </references>
      </pivotArea>
    </format>
    <format dxfId="834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902"/>
          </reference>
        </references>
      </pivotArea>
    </format>
    <format dxfId="834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903"/>
          </reference>
        </references>
      </pivotArea>
    </format>
    <format dxfId="834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904"/>
          </reference>
        </references>
      </pivotArea>
    </format>
    <format dxfId="834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901"/>
          </reference>
        </references>
      </pivotArea>
    </format>
    <format dxfId="834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902"/>
          </reference>
        </references>
      </pivotArea>
    </format>
    <format dxfId="834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903"/>
          </reference>
        </references>
      </pivotArea>
    </format>
    <format dxfId="833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904"/>
          </reference>
        </references>
      </pivotArea>
    </format>
    <format dxfId="833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892"/>
          </reference>
        </references>
      </pivotArea>
    </format>
    <format dxfId="833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894"/>
          </reference>
        </references>
      </pivotArea>
    </format>
    <format dxfId="833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895"/>
          </reference>
        </references>
      </pivotArea>
    </format>
    <format dxfId="833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893"/>
          </reference>
        </references>
      </pivotArea>
    </format>
    <format dxfId="833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933"/>
          </reference>
        </references>
      </pivotArea>
    </format>
    <format dxfId="8333">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892"/>
          </reference>
        </references>
      </pivotArea>
    </format>
    <format dxfId="8332">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932"/>
          </reference>
        </references>
      </pivotArea>
    </format>
    <format dxfId="833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935"/>
          </reference>
        </references>
      </pivotArea>
    </format>
    <format dxfId="833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938"/>
          </reference>
        </references>
      </pivotArea>
    </format>
    <format dxfId="832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936"/>
          </reference>
        </references>
      </pivotArea>
    </format>
    <format dxfId="832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937"/>
          </reference>
        </references>
      </pivotArea>
    </format>
    <format dxfId="832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896"/>
          </reference>
        </references>
      </pivotArea>
    </format>
    <format dxfId="832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897"/>
          </reference>
        </references>
      </pivotArea>
    </format>
    <format dxfId="832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898"/>
          </reference>
        </references>
      </pivotArea>
    </format>
    <format dxfId="832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899"/>
          </reference>
        </references>
      </pivotArea>
    </format>
    <format dxfId="832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896"/>
          </reference>
        </references>
      </pivotArea>
    </format>
    <format dxfId="832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897"/>
          </reference>
        </references>
      </pivotArea>
    </format>
    <format dxfId="832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898"/>
          </reference>
        </references>
      </pivotArea>
    </format>
    <format dxfId="832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899"/>
          </reference>
        </references>
      </pivotArea>
    </format>
    <format dxfId="8319">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026"/>
          </reference>
        </references>
      </pivotArea>
    </format>
    <format dxfId="8318">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918"/>
          </reference>
        </references>
      </pivotArea>
    </format>
    <format dxfId="8317">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033"/>
          </reference>
        </references>
      </pivotArea>
    </format>
    <format dxfId="8316">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034"/>
          </reference>
        </references>
      </pivotArea>
    </format>
    <format dxfId="8315">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033"/>
          </reference>
        </references>
      </pivotArea>
    </format>
    <format dxfId="8314">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023"/>
          </reference>
        </references>
      </pivotArea>
    </format>
    <format dxfId="8313">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031"/>
          </reference>
        </references>
      </pivotArea>
    </format>
    <format dxfId="8312">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024"/>
          </reference>
        </references>
      </pivotArea>
    </format>
    <format dxfId="8311">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027"/>
          </reference>
        </references>
      </pivotArea>
    </format>
    <format dxfId="8310">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031"/>
          </reference>
        </references>
      </pivotArea>
    </format>
    <format dxfId="8309">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999"/>
          </reference>
        </references>
      </pivotArea>
    </format>
    <format dxfId="8308">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916"/>
          </reference>
        </references>
      </pivotArea>
    </format>
    <format dxfId="830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890"/>
          </reference>
        </references>
      </pivotArea>
    </format>
    <format dxfId="830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894"/>
          </reference>
        </references>
      </pivotArea>
    </format>
    <format dxfId="830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932"/>
          </reference>
        </references>
      </pivotArea>
    </format>
    <format dxfId="830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931"/>
          </reference>
        </references>
      </pivotArea>
    </format>
    <format dxfId="830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930"/>
          </reference>
        </references>
      </pivotArea>
    </format>
    <format dxfId="830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929"/>
          </reference>
        </references>
      </pivotArea>
    </format>
    <format dxfId="830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927"/>
          </reference>
        </references>
      </pivotArea>
    </format>
    <format dxfId="830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893"/>
          </reference>
        </references>
      </pivotArea>
    </format>
    <format dxfId="8299">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928"/>
          </reference>
        </references>
      </pivotArea>
    </format>
    <format dxfId="8298">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1032"/>
          </reference>
        </references>
      </pivotArea>
    </format>
    <format dxfId="8297">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029"/>
          </reference>
        </references>
      </pivotArea>
    </format>
    <format dxfId="8296">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890"/>
          </reference>
        </references>
      </pivotArea>
    </format>
    <format dxfId="8295">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927"/>
          </reference>
        </references>
      </pivotArea>
    </format>
    <format dxfId="8294">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029"/>
          </reference>
        </references>
      </pivotArea>
    </format>
    <format dxfId="8293">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910"/>
          </reference>
        </references>
      </pivotArea>
    </format>
    <format dxfId="8292">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26"/>
          </reference>
          <reference field="81" count="1">
            <x v="975"/>
          </reference>
        </references>
      </pivotArea>
    </format>
    <format dxfId="8291">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971"/>
          </reference>
        </references>
      </pivotArea>
    </format>
    <format dxfId="8290">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970"/>
          </reference>
        </references>
      </pivotArea>
    </format>
    <format dxfId="8289">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971"/>
          </reference>
        </references>
      </pivotArea>
    </format>
    <format dxfId="8288">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973"/>
          </reference>
        </references>
      </pivotArea>
    </format>
    <format dxfId="8287">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974"/>
          </reference>
        </references>
      </pivotArea>
    </format>
    <format dxfId="8286">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973"/>
          </reference>
        </references>
      </pivotArea>
    </format>
    <format dxfId="8285">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976"/>
          </reference>
        </references>
      </pivotArea>
    </format>
    <format dxfId="8284">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977"/>
          </reference>
        </references>
      </pivotArea>
    </format>
    <format dxfId="8283">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992"/>
          </reference>
        </references>
      </pivotArea>
    </format>
    <format dxfId="8282">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991"/>
          </reference>
        </references>
      </pivotArea>
    </format>
    <format dxfId="8281">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898"/>
          </reference>
        </references>
      </pivotArea>
    </format>
    <format dxfId="8280">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905"/>
          </reference>
        </references>
      </pivotArea>
    </format>
    <format dxfId="8279">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907"/>
          </reference>
        </references>
      </pivotArea>
    </format>
    <format dxfId="8278">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908"/>
          </reference>
        </references>
      </pivotArea>
    </format>
    <format dxfId="8277">
      <pivotArea field="82" type="button" dataOnly="0" labelOnly="1" outline="0" axis="axisRow" fieldPosition="9"/>
    </format>
    <format dxfId="8276">
      <pivotArea field="87" type="button" dataOnly="0" labelOnly="1" outline="0" axis="axisRow" fieldPosition="12"/>
    </format>
    <format dxfId="8275">
      <pivotArea field="88" type="button" dataOnly="0" labelOnly="1" outline="0" axis="axisRow" fieldPosition="13"/>
    </format>
    <format dxfId="8274">
      <pivotArea field="72" type="button" dataOnly="0" labelOnly="1" outline="0" axis="axisRow" fieldPosition="5"/>
    </format>
    <format dxfId="8273">
      <pivotArea field="13" type="button" dataOnly="0" labelOnly="1" outline="0" axis="axisRow" fieldPosition="6"/>
    </format>
    <format dxfId="8272">
      <pivotArea field="81" type="button" dataOnly="0" labelOnly="1" outline="0" axis="axisRow" fieldPosition="8"/>
    </format>
    <format dxfId="8271">
      <pivotArea field="82" type="button" dataOnly="0" labelOnly="1" outline="0" axis="axisRow" fieldPosition="9"/>
    </format>
    <format dxfId="8270">
      <pivotArea field="87" type="button" dataOnly="0" labelOnly="1" outline="0" axis="axisRow" fieldPosition="12"/>
    </format>
    <format dxfId="8269">
      <pivotArea field="88" type="button" dataOnly="0" labelOnly="1" outline="0" axis="axisRow" fieldPosition="13"/>
    </format>
    <format dxfId="8268">
      <pivotArea field="72" type="button" dataOnly="0" labelOnly="1" outline="0" axis="axisRow" fieldPosition="5"/>
    </format>
    <format dxfId="8267">
      <pivotArea field="13" type="button" dataOnly="0" labelOnly="1" outline="0" axis="axisRow" fieldPosition="6"/>
    </format>
    <format dxfId="8266">
      <pivotArea field="81" type="button" dataOnly="0" labelOnly="1" outline="0" axis="axisRow" fieldPosition="8"/>
    </format>
    <format dxfId="8265">
      <pivotArea field="82" type="button" dataOnly="0" labelOnly="1" outline="0" axis="axisRow" fieldPosition="9"/>
    </format>
    <format dxfId="8264">
      <pivotArea field="87" type="button" dataOnly="0" labelOnly="1" outline="0" axis="axisRow" fieldPosition="12"/>
    </format>
    <format dxfId="8263">
      <pivotArea field="88" type="button" dataOnly="0" labelOnly="1" outline="0" axis="axisRow" fieldPosition="13"/>
    </format>
    <format dxfId="8262">
      <pivotArea dataOnly="0" labelOnly="1" outline="0" fieldPosition="0">
        <references count="2">
          <reference field="1" count="0" selected="0"/>
          <reference field="3" count="0"/>
        </references>
      </pivotArea>
    </format>
    <format dxfId="8261">
      <pivotArea dataOnly="0" labelOnly="1" outline="0" fieldPosition="0">
        <references count="3">
          <reference field="1" count="0" selected="0"/>
          <reference field="2" count="0"/>
          <reference field="3" count="1" selected="0">
            <x v="4"/>
          </reference>
        </references>
      </pivotArea>
    </format>
    <format dxfId="8260">
      <pivotArea dataOnly="0" labelOnly="1" outline="0" fieldPosition="0">
        <references count="5">
          <reference field="1" count="0" selected="0"/>
          <reference field="2" count="0" selected="0"/>
          <reference field="3" count="1" selected="0">
            <x v="4"/>
          </reference>
          <reference field="5" count="1" selected="0">
            <x v="3"/>
          </reference>
          <reference field="23" count="1">
            <x v="2"/>
          </reference>
        </references>
      </pivotArea>
    </format>
    <format dxfId="8259">
      <pivotArea dataOnly="0" labelOnly="1" outline="0" fieldPosition="0">
        <references count="5">
          <reference field="1" count="0" selected="0"/>
          <reference field="2" count="0" selected="0"/>
          <reference field="3" count="1" selected="0">
            <x v="4"/>
          </reference>
          <reference field="5" count="1" selected="0">
            <x v="6"/>
          </reference>
          <reference field="23" count="2">
            <x v="1"/>
            <x v="2"/>
          </reference>
        </references>
      </pivotArea>
    </format>
    <format dxfId="8258">
      <pivotArea dataOnly="0" labelOnly="1" outline="0" fieldPosition="0">
        <references count="5">
          <reference field="1" count="0" selected="0"/>
          <reference field="2" count="0" selected="0"/>
          <reference field="3" count="1" selected="0">
            <x v="5"/>
          </reference>
          <reference field="5" count="1" selected="0">
            <x v="6"/>
          </reference>
          <reference field="23" count="2">
            <x v="1"/>
            <x v="2"/>
          </reference>
        </references>
      </pivotArea>
    </format>
    <format dxfId="8257">
      <pivotArea dataOnly="0" labelOnly="1" outline="0" fieldPosition="0">
        <references count="5">
          <reference field="1" count="0" selected="0"/>
          <reference field="2" count="0" selected="0"/>
          <reference field="3" count="1" selected="0">
            <x v="7"/>
          </reference>
          <reference field="5" count="1" selected="0">
            <x v="12"/>
          </reference>
          <reference field="23" count="1">
            <x v="1"/>
          </reference>
        </references>
      </pivotArea>
    </format>
    <format dxfId="8256">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8255">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8254">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8253">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8252">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8251">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8250">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8249">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8248">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8247">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8246">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8245">
      <pivotArea field="72" type="button" dataOnly="0" labelOnly="1" outline="0" axis="axisRow" fieldPosition="5"/>
    </format>
    <format dxfId="8244">
      <pivotArea field="13" type="button" dataOnly="0" labelOnly="1" outline="0" axis="axisRow" fieldPosition="6"/>
    </format>
    <format dxfId="8243">
      <pivotArea dataOnly="0" labelOnly="1" outline="0" fieldPosition="0">
        <references count="7">
          <reference field="1" count="0" selected="0"/>
          <reference field="2" count="0" selected="0"/>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8242">
      <pivotArea dataOnly="0" labelOnly="1" outline="0" fieldPosition="0">
        <references count="7">
          <reference field="1" count="0" selected="0"/>
          <reference field="2" count="0" selected="0"/>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8241">
      <pivotArea dataOnly="0" labelOnly="1" outline="0" fieldPosition="0">
        <references count="7">
          <reference field="1" count="0" selected="0"/>
          <reference field="2" count="0" selected="0"/>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8240">
      <pivotArea dataOnly="0" labelOnly="1" outline="0" fieldPosition="0">
        <references count="7">
          <reference field="1" count="0" selected="0"/>
          <reference field="2" count="0" selected="0"/>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8239">
      <pivotArea dataOnly="0" labelOnly="1" outline="0" fieldPosition="0">
        <references count="7">
          <reference field="1" count="0" selected="0"/>
          <reference field="2" count="0" selected="0"/>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8238">
      <pivotArea field="81" type="button" dataOnly="0" labelOnly="1" outline="0" axis="axisRow" fieldPosition="8"/>
    </format>
    <format dxfId="8237">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153"/>
          </reference>
        </references>
      </pivotArea>
    </format>
    <format dxfId="8236">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154"/>
          </reference>
        </references>
      </pivotArea>
    </format>
    <format dxfId="8235">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155"/>
          </reference>
        </references>
      </pivotArea>
    </format>
    <format dxfId="8234">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152"/>
          </reference>
        </references>
      </pivotArea>
    </format>
    <format dxfId="8233">
      <pivotArea dataOnly="0" labelOnly="1" outline="0" fieldPosition="0">
        <references count="9">
          <reference field="1" count="0" selected="0"/>
          <reference field="2" count="0" selected="0"/>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112"/>
          </reference>
        </references>
      </pivotArea>
    </format>
    <format dxfId="8232">
      <pivotArea dataOnly="0" labelOnly="1" outline="0" fieldPosition="0">
        <references count="9">
          <reference field="1" count="0" selected="0"/>
          <reference field="2" count="0" selected="0"/>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114"/>
          </reference>
        </references>
      </pivotArea>
    </format>
    <format dxfId="8231">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153"/>
          </reference>
        </references>
      </pivotArea>
    </format>
    <format dxfId="8230">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154"/>
          </reference>
        </references>
      </pivotArea>
    </format>
    <format dxfId="8229">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155"/>
          </reference>
        </references>
      </pivotArea>
    </format>
    <format dxfId="8228">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152"/>
          </reference>
        </references>
      </pivotArea>
    </format>
    <format dxfId="8227">
      <pivotArea dataOnly="0" labelOnly="1" outline="0" fieldPosition="0">
        <references count="9">
          <reference field="1" count="0" selected="0"/>
          <reference field="2" count="0" selected="0"/>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112"/>
          </reference>
        </references>
      </pivotArea>
    </format>
    <format dxfId="8226">
      <pivotArea dataOnly="0" labelOnly="1" outline="0" fieldPosition="0">
        <references count="9">
          <reference field="1" count="0" selected="0"/>
          <reference field="2" count="0" selected="0"/>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114"/>
          </reference>
        </references>
      </pivotArea>
    </format>
    <format dxfId="8225">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153"/>
          </reference>
        </references>
      </pivotArea>
    </format>
    <format dxfId="8224">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154"/>
          </reference>
        </references>
      </pivotArea>
    </format>
    <format dxfId="8223">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155"/>
          </reference>
        </references>
      </pivotArea>
    </format>
    <format dxfId="8222">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152"/>
          </reference>
        </references>
      </pivotArea>
    </format>
    <format dxfId="8221">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130"/>
          </reference>
        </references>
      </pivotArea>
    </format>
    <format dxfId="8220">
      <pivotArea field="82" type="button" dataOnly="0" labelOnly="1" outline="0" axis="axisRow" fieldPosition="9"/>
    </format>
    <format dxfId="8219">
      <pivotArea field="87" type="button" dataOnly="0" labelOnly="1" outline="0" axis="axisRow" fieldPosition="12"/>
    </format>
    <format dxfId="8218">
      <pivotArea field="88" type="button" dataOnly="0" labelOnly="1" outline="0" axis="axisRow" fieldPosition="13"/>
    </format>
    <format dxfId="8217">
      <pivotArea field="72" type="button" dataOnly="0" labelOnly="1" outline="0" axis="axisRow" fieldPosition="5"/>
    </format>
    <format dxfId="8216">
      <pivotArea field="13" type="button" dataOnly="0" labelOnly="1" outline="0" axis="axisRow" fieldPosition="6"/>
    </format>
    <format dxfId="8215">
      <pivotArea field="81" type="button" dataOnly="0" labelOnly="1" outline="0" axis="axisRow" fieldPosition="8"/>
    </format>
    <format dxfId="8214">
      <pivotArea field="82" type="button" dataOnly="0" labelOnly="1" outline="0" axis="axisRow" fieldPosition="9"/>
    </format>
    <format dxfId="8213">
      <pivotArea field="87" type="button" dataOnly="0" labelOnly="1" outline="0" axis="axisRow" fieldPosition="12"/>
    </format>
    <format dxfId="8212">
      <pivotArea field="88" type="button" dataOnly="0" labelOnly="1" outline="0" axis="axisRow" fieldPosition="13"/>
    </format>
    <format dxfId="8211">
      <pivotArea field="72" type="button" dataOnly="0" labelOnly="1" outline="0" axis="axisRow" fieldPosition="5"/>
    </format>
    <format dxfId="8210">
      <pivotArea field="13" type="button" dataOnly="0" labelOnly="1" outline="0" axis="axisRow" fieldPosition="6"/>
    </format>
    <format dxfId="8209">
      <pivotArea field="81" type="button" dataOnly="0" labelOnly="1" outline="0" axis="axisRow" fieldPosition="8"/>
    </format>
    <format dxfId="8208">
      <pivotArea field="82" type="button" dataOnly="0" labelOnly="1" outline="0" axis="axisRow" fieldPosition="9"/>
    </format>
    <format dxfId="8207">
      <pivotArea field="87" type="button" dataOnly="0" labelOnly="1" outline="0" axis="axisRow" fieldPosition="12"/>
    </format>
    <format dxfId="8206">
      <pivotArea field="88" type="button" dataOnly="0" labelOnly="1" outline="0" axis="axisRow" fieldPosition="13"/>
    </format>
    <format dxfId="8205">
      <pivotArea field="72" type="button" dataOnly="0" labelOnly="1" outline="0" axis="axisRow" fieldPosition="5"/>
    </format>
    <format dxfId="8204">
      <pivotArea field="13" type="button" dataOnly="0" labelOnly="1" outline="0" axis="axisRow" fieldPosition="6"/>
    </format>
    <format dxfId="8203">
      <pivotArea field="81" type="button" dataOnly="0" labelOnly="1" outline="0" axis="axisRow" fieldPosition="8"/>
    </format>
    <format dxfId="8202">
      <pivotArea field="82" type="button" dataOnly="0" labelOnly="1" outline="0" axis="axisRow" fieldPosition="9"/>
    </format>
    <format dxfId="8201">
      <pivotArea field="87" type="button" dataOnly="0" labelOnly="1" outline="0" axis="axisRow" fieldPosition="12"/>
    </format>
    <format dxfId="8200">
      <pivotArea field="88" type="button" dataOnly="0" labelOnly="1" outline="0" axis="axisRow" fieldPosition="13"/>
    </format>
    <format dxfId="8199">
      <pivotArea field="72" type="button" dataOnly="0" labelOnly="1" outline="0" axis="axisRow" fieldPosition="5"/>
    </format>
    <format dxfId="8198">
      <pivotArea field="13" type="button" dataOnly="0" labelOnly="1" outline="0" axis="axisRow" fieldPosition="6"/>
    </format>
    <format dxfId="8197">
      <pivotArea field="81" type="button" dataOnly="0" labelOnly="1" outline="0" axis="axisRow" fieldPosition="8"/>
    </format>
    <format dxfId="8196">
      <pivotArea field="82" type="button" dataOnly="0" labelOnly="1" outline="0" axis="axisRow" fieldPosition="9"/>
    </format>
    <format dxfId="8195">
      <pivotArea field="87" type="button" dataOnly="0" labelOnly="1" outline="0" axis="axisRow" fieldPosition="12"/>
    </format>
    <format dxfId="8194">
      <pivotArea field="88" type="button" dataOnly="0" labelOnly="1" outline="0" axis="axisRow" fieldPosition="13"/>
    </format>
    <format dxfId="8193">
      <pivotArea field="72" type="button" dataOnly="0" labelOnly="1" outline="0" axis="axisRow" fieldPosition="5"/>
    </format>
    <format dxfId="8192">
      <pivotArea field="13" type="button" dataOnly="0" labelOnly="1" outline="0" axis="axisRow" fieldPosition="6"/>
    </format>
    <format dxfId="8191">
      <pivotArea field="81" type="button" dataOnly="0" labelOnly="1" outline="0" axis="axisRow" fieldPosition="8"/>
    </format>
    <format dxfId="8190">
      <pivotArea field="82" type="button" dataOnly="0" labelOnly="1" outline="0" axis="axisRow" fieldPosition="9"/>
    </format>
    <format dxfId="8189">
      <pivotArea field="87" type="button" dataOnly="0" labelOnly="1" outline="0" axis="axisRow" fieldPosition="12"/>
    </format>
    <format dxfId="8188">
      <pivotArea field="88" type="button" dataOnly="0" labelOnly="1" outline="0" axis="axisRow" fieldPosition="13"/>
    </format>
    <format dxfId="8187">
      <pivotArea dataOnly="0" labelOnly="1" outline="0" fieldPosition="0">
        <references count="3">
          <reference field="1" count="1" selected="0">
            <x v="0"/>
          </reference>
          <reference field="2" count="1">
            <x v="6"/>
          </reference>
          <reference field="3" count="1" selected="0">
            <x v="13"/>
          </reference>
        </references>
      </pivotArea>
    </format>
    <format dxfId="8186">
      <pivotArea dataOnly="0" labelOnly="1" outline="0" fieldPosition="0">
        <references count="3">
          <reference field="1" count="1" selected="0">
            <x v="1"/>
          </reference>
          <reference field="2" count="1">
            <x v="3"/>
          </reference>
          <reference field="3" count="1" selected="0">
            <x v="5"/>
          </reference>
        </references>
      </pivotArea>
    </format>
    <format dxfId="8185">
      <pivotArea dataOnly="0" labelOnly="1" outline="0" fieldPosition="0">
        <references count="3">
          <reference field="1" count="1" selected="0">
            <x v="29"/>
          </reference>
          <reference field="2" count="2">
            <x v="2"/>
            <x v="16"/>
          </reference>
          <reference field="3" count="1" selected="0">
            <x v="18"/>
          </reference>
        </references>
      </pivotArea>
    </format>
    <format dxfId="8184">
      <pivotArea dataOnly="0" labelOnly="1" outline="0" fieldPosition="0">
        <references count="5">
          <reference field="1" count="1" selected="0">
            <x v="0"/>
          </reference>
          <reference field="2" count="1" selected="0">
            <x v="6"/>
          </reference>
          <reference field="3" count="1" selected="0">
            <x v="0"/>
          </reference>
          <reference field="5" count="1" selected="0">
            <x v="6"/>
          </reference>
          <reference field="23" count="0"/>
        </references>
      </pivotArea>
    </format>
    <format dxfId="8183">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0" selected="0"/>
          <reference field="72" count="1" selected="0">
            <x v="186"/>
          </reference>
        </references>
      </pivotArea>
    </format>
    <format dxfId="8182">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0" selected="0"/>
          <reference field="72" count="1" selected="0">
            <x v="113"/>
          </reference>
        </references>
      </pivotArea>
    </format>
    <format dxfId="8181">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0" selected="0"/>
          <reference field="72" count="1" selected="0">
            <x v="186"/>
          </reference>
        </references>
      </pivotArea>
    </format>
    <format dxfId="8180">
      <pivotArea dataOnly="0" labelOnly="1" outline="0" fieldPosition="0">
        <references count="8">
          <reference field="1" count="1" selected="0">
            <x v="1"/>
          </reference>
          <reference field="2" count="1" selected="0">
            <x v="3"/>
          </reference>
          <reference field="3" count="1" selected="0">
            <x v="7"/>
          </reference>
          <reference field="5" count="1" selected="0">
            <x v="12"/>
          </reference>
          <reference field="13" count="1" selected="0">
            <x v="4"/>
          </reference>
          <reference field="22" count="1">
            <x v="17"/>
          </reference>
          <reference field="23" count="0" selected="0"/>
          <reference field="72" count="1" selected="0">
            <x v="190"/>
          </reference>
        </references>
      </pivotArea>
    </format>
    <format dxfId="8179">
      <pivotArea dataOnly="0" labelOnly="1" outline="0" fieldPosition="0">
        <references count="8">
          <reference field="1" count="1" selected="0">
            <x v="2"/>
          </reference>
          <reference field="2" count="1" selected="0">
            <x v="3"/>
          </reference>
          <reference field="3" count="1" selected="0">
            <x v="7"/>
          </reference>
          <reference field="5" count="1" selected="0">
            <x v="1"/>
          </reference>
          <reference field="13" count="1" selected="0">
            <x v="4"/>
          </reference>
          <reference field="22" count="1">
            <x v="10"/>
          </reference>
          <reference field="23" count="0" selected="0"/>
          <reference field="72" count="1" selected="0">
            <x v="120"/>
          </reference>
        </references>
      </pivotArea>
    </format>
    <format dxfId="8178">
      <pivotArea dataOnly="0" labelOnly="1" outline="0" fieldPosition="0">
        <references count="8">
          <reference field="1" count="1" selected="0">
            <x v="29"/>
          </reference>
          <reference field="2" count="1" selected="0">
            <x v="2"/>
          </reference>
          <reference field="3" count="1" selected="0">
            <x v="18"/>
          </reference>
          <reference field="5" count="1" selected="0">
            <x v="12"/>
          </reference>
          <reference field="13" count="1" selected="0">
            <x v="4"/>
          </reference>
          <reference field="22" count="1">
            <x v="17"/>
          </reference>
          <reference field="23" count="0" selected="0"/>
          <reference field="72" count="1" selected="0">
            <x v="145"/>
          </reference>
        </references>
      </pivotArea>
    </format>
    <format dxfId="8177">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0" selected="0"/>
          <reference field="72" count="1" selected="0">
            <x v="126"/>
          </reference>
        </references>
      </pivotArea>
    </format>
    <format dxfId="8176">
      <pivotArea field="72" type="button" dataOnly="0" labelOnly="1" outline="0" axis="axisRow" fieldPosition="5"/>
    </format>
    <format dxfId="8175">
      <pivotArea field="13" type="button" dataOnly="0" labelOnly="1" outline="0" axis="axisRow" fieldPosition="6"/>
    </format>
    <format dxfId="8174">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0" selected="0"/>
          <reference field="72" count="1" selected="0">
            <x v="186"/>
          </reference>
        </references>
      </pivotArea>
    </format>
    <format dxfId="8173">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0" selected="0"/>
          <reference field="72" count="1" selected="0">
            <x v="114"/>
          </reference>
        </references>
      </pivotArea>
    </format>
    <format dxfId="8172">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0" selected="0"/>
          <reference field="72" count="1" selected="0">
            <x v="114"/>
          </reference>
        </references>
      </pivotArea>
    </format>
    <format dxfId="8171">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0" selected="0"/>
          <reference field="72" count="1" selected="0">
            <x v="187"/>
          </reference>
        </references>
      </pivotArea>
    </format>
    <format dxfId="8170">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0" selected="0"/>
          <reference field="72" count="1" selected="0">
            <x v="164"/>
          </reference>
        </references>
      </pivotArea>
    </format>
    <format dxfId="8169">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0" selected="0"/>
          <reference field="72" count="1" selected="0">
            <x v="145"/>
          </reference>
        </references>
      </pivotArea>
    </format>
    <format dxfId="8168">
      <pivotArea dataOnly="0" labelOnly="1" outline="0" fieldPosition="0">
        <references count="7">
          <reference field="1" count="1" selected="0">
            <x v="46"/>
          </reference>
          <reference field="2" count="1" selected="0">
            <x v="6"/>
          </reference>
          <reference field="3" count="1" selected="0">
            <x v="7"/>
          </reference>
          <reference field="5" count="1" selected="0">
            <x v="1"/>
          </reference>
          <reference field="13" count="1">
            <x v="5"/>
          </reference>
          <reference field="23" count="0" selected="0"/>
          <reference field="72" count="1" selected="0">
            <x v="188"/>
          </reference>
        </references>
      </pivotArea>
    </format>
    <format dxfId="8167">
      <pivotArea field="81" type="button" dataOnly="0" labelOnly="1" outline="0" axis="axisRow" fieldPosition="8"/>
    </format>
    <format dxfId="8166">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0" selected="0"/>
          <reference field="72" count="1" selected="0">
            <x v="186"/>
          </reference>
          <reference field="81" count="1">
            <x v="1112"/>
          </reference>
        </references>
      </pivotArea>
    </format>
    <format dxfId="8165">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3"/>
          </reference>
          <reference field="81" count="1">
            <x v="1135"/>
          </reference>
        </references>
      </pivotArea>
    </format>
    <format dxfId="8164">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86"/>
          </reference>
          <reference field="81" count="1">
            <x v="1112"/>
          </reference>
        </references>
      </pivotArea>
    </format>
    <format dxfId="8163">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x v="1130"/>
          </reference>
        </references>
      </pivotArea>
    </format>
    <format dxfId="8162">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0" selected="0"/>
          <reference field="72" count="1" selected="0">
            <x v="186"/>
          </reference>
          <reference field="81" count="1">
            <x v="1112"/>
          </reference>
        </references>
      </pivotArea>
    </format>
    <format dxfId="8161">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0" selected="0"/>
          <reference field="72" count="1" selected="0">
            <x v="114"/>
          </reference>
          <reference field="81" count="1">
            <x v="1132"/>
          </reference>
        </references>
      </pivotArea>
    </format>
    <format dxfId="8160">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0" selected="0"/>
          <reference field="72" count="1" selected="0">
            <x v="187"/>
          </reference>
          <reference field="81" count="1">
            <x v="1115"/>
          </reference>
        </references>
      </pivotArea>
    </format>
    <format dxfId="8159">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90"/>
          </reference>
          <reference field="81" count="1">
            <x v="1176"/>
          </reference>
        </references>
      </pivotArea>
    </format>
    <format dxfId="8158">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0"/>
          </reference>
          <reference field="81" count="1">
            <x v="1129"/>
          </reference>
        </references>
      </pivotArea>
    </format>
    <format dxfId="8157">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89"/>
          </reference>
          <reference field="81" count="1">
            <x v="1173"/>
          </reference>
        </references>
      </pivotArea>
    </format>
    <format dxfId="8156">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64"/>
          </reference>
          <reference field="81" count="1">
            <x v="1136"/>
          </reference>
        </references>
      </pivotArea>
    </format>
    <format dxfId="8155">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2"/>
          </reference>
          <reference field="81" count="1">
            <x v="1133"/>
          </reference>
        </references>
      </pivotArea>
    </format>
    <format dxfId="815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13"/>
          </reference>
          <reference field="81" count="1">
            <x v="1130"/>
          </reference>
        </references>
      </pivotArea>
    </format>
    <format dxfId="8153">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71"/>
          </reference>
          <reference field="81" count="1">
            <x v="1128"/>
          </reference>
        </references>
      </pivotArea>
    </format>
    <format dxfId="8152">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0" selected="0"/>
          <reference field="72" count="1" selected="0">
            <x v="113"/>
          </reference>
          <reference field="81" count="1">
            <x v="1130"/>
          </reference>
        </references>
      </pivotArea>
    </format>
    <format dxfId="8151">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71"/>
          </reference>
          <reference field="81" count="1">
            <x v="1128"/>
          </reference>
        </references>
      </pivotArea>
    </format>
    <format dxfId="8150">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0" selected="0"/>
          <reference field="72" count="1" selected="0">
            <x v="113"/>
          </reference>
          <reference field="81" count="1">
            <x v="1130"/>
          </reference>
        </references>
      </pivotArea>
    </format>
    <format dxfId="8149">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24"/>
          </reference>
          <reference field="81" count="1">
            <x v="1126"/>
          </reference>
        </references>
      </pivotArea>
    </format>
    <format dxfId="8148">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0" selected="0"/>
          <reference field="72" count="1" selected="0">
            <x v="164"/>
          </reference>
          <reference field="81" count="1">
            <x v="1136"/>
          </reference>
        </references>
      </pivotArea>
    </format>
    <format dxfId="8147">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0" selected="0"/>
          <reference field="72" count="1" selected="0">
            <x v="145"/>
          </reference>
          <reference field="81" count="1">
            <x v="1180"/>
          </reference>
        </references>
      </pivotArea>
    </format>
    <format dxfId="8146">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0" selected="0"/>
          <reference field="72" count="1" selected="0">
            <x v="136"/>
          </reference>
          <reference field="81" count="1">
            <x v="1177"/>
          </reference>
        </references>
      </pivotArea>
    </format>
    <format dxfId="8145">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0" selected="0"/>
          <reference field="72" count="1" selected="0">
            <x v="126"/>
          </reference>
          <reference field="81" count="1">
            <x v="1122"/>
          </reference>
        </references>
      </pivotArea>
    </format>
    <format dxfId="8144">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0" selected="0"/>
          <reference field="72" count="1" selected="0">
            <x v="167"/>
          </reference>
          <reference field="81" count="1">
            <x v="1117"/>
          </reference>
        </references>
      </pivotArea>
    </format>
    <format dxfId="8143">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0" selected="0"/>
          <reference field="72" count="1" selected="0">
            <x v="169"/>
          </reference>
          <reference field="81" count="1">
            <x v="1120"/>
          </reference>
        </references>
      </pivotArea>
    </format>
    <format dxfId="8142">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11"/>
          </reference>
          <reference field="81" count="1">
            <x v="1123"/>
          </reference>
        </references>
      </pivotArea>
    </format>
    <format dxfId="8141">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0" selected="0"/>
          <reference field="72" count="1" selected="0">
            <x v="188"/>
          </reference>
          <reference field="81" count="1">
            <x v="1139"/>
          </reference>
        </references>
      </pivotArea>
    </format>
    <format dxfId="8140">
      <pivotArea field="82" type="button" dataOnly="0" labelOnly="1" outline="0" axis="axisRow" fieldPosition="9"/>
    </format>
    <format dxfId="8139">
      <pivotArea field="87" type="button" dataOnly="0" labelOnly="1" outline="0" axis="axisRow" fieldPosition="12"/>
    </format>
    <format dxfId="8138">
      <pivotArea field="88" type="button" dataOnly="0" labelOnly="1" outline="0" axis="axisRow" fieldPosition="13"/>
    </format>
    <format dxfId="8137">
      <pivotArea field="72" type="button" dataOnly="0" labelOnly="1" outline="0" axis="axisRow" fieldPosition="5"/>
    </format>
    <format dxfId="8136">
      <pivotArea field="13" type="button" dataOnly="0" labelOnly="1" outline="0" axis="axisRow" fieldPosition="6"/>
    </format>
    <format dxfId="8135">
      <pivotArea field="81" type="button" dataOnly="0" labelOnly="1" outline="0" axis="axisRow" fieldPosition="8"/>
    </format>
    <format dxfId="8134">
      <pivotArea field="82" type="button" dataOnly="0" labelOnly="1" outline="0" axis="axisRow" fieldPosition="9"/>
    </format>
    <format dxfId="8133">
      <pivotArea field="87" type="button" dataOnly="0" labelOnly="1" outline="0" axis="axisRow" fieldPosition="12"/>
    </format>
    <format dxfId="8132">
      <pivotArea field="88" type="button" dataOnly="0" labelOnly="1" outline="0" axis="axisRow" fieldPosition="13"/>
    </format>
    <format dxfId="8131">
      <pivotArea field="72" type="button" dataOnly="0" labelOnly="1" outline="0" axis="axisRow" fieldPosition="5"/>
    </format>
    <format dxfId="8130">
      <pivotArea field="13" type="button" dataOnly="0" labelOnly="1" outline="0" axis="axisRow" fieldPosition="6"/>
    </format>
    <format dxfId="8129">
      <pivotArea field="81" type="button" dataOnly="0" labelOnly="1" outline="0" axis="axisRow" fieldPosition="8"/>
    </format>
    <format dxfId="8128">
      <pivotArea field="82" type="button" dataOnly="0" labelOnly="1" outline="0" axis="axisRow" fieldPosition="9"/>
    </format>
    <format dxfId="8127">
      <pivotArea field="87" type="button" dataOnly="0" labelOnly="1" outline="0" axis="axisRow" fieldPosition="12"/>
    </format>
    <format dxfId="8126">
      <pivotArea field="88" type="button" dataOnly="0" labelOnly="1" outline="0" axis="axisRow" fieldPosition="13"/>
    </format>
    <format dxfId="8125">
      <pivotArea dataOnly="0" labelOnly="1" outline="0" fieldPosition="0">
        <references count="2">
          <reference field="1" count="1" selected="0">
            <x v="42"/>
          </reference>
          <reference field="3" count="3">
            <x v="3"/>
            <x v="4"/>
            <x v="6"/>
          </reference>
        </references>
      </pivotArea>
    </format>
    <format dxfId="8124">
      <pivotArea dataOnly="0" labelOnly="1" outline="0" fieldPosition="0">
        <references count="2">
          <reference field="1" count="1" selected="0">
            <x v="43"/>
          </reference>
          <reference field="3" count="3">
            <x v="5"/>
            <x v="7"/>
            <x v="21"/>
          </reference>
        </references>
      </pivotArea>
    </format>
    <format dxfId="8123">
      <pivotArea dataOnly="0" labelOnly="1" outline="0" fieldPosition="0">
        <references count="3">
          <reference field="1" count="1" selected="0">
            <x v="42"/>
          </reference>
          <reference field="2" count="1">
            <x v="10"/>
          </reference>
          <reference field="3" count="1" selected="0">
            <x v="3"/>
          </reference>
        </references>
      </pivotArea>
    </format>
    <format dxfId="8122">
      <pivotArea dataOnly="0" labelOnly="1" outline="0" fieldPosition="0">
        <references count="5">
          <reference field="1" count="1" selected="0">
            <x v="42"/>
          </reference>
          <reference field="2" count="1" selected="0">
            <x v="10"/>
          </reference>
          <reference field="3" count="1" selected="0">
            <x v="3"/>
          </reference>
          <reference field="5" count="1" selected="0">
            <x v="6"/>
          </reference>
          <reference field="23" count="2">
            <x v="1"/>
            <x v="2"/>
          </reference>
        </references>
      </pivotArea>
    </format>
    <format dxfId="8121">
      <pivotArea dataOnly="0" labelOnly="1" outline="0" fieldPosition="0">
        <references count="5">
          <reference field="1" count="1" selected="0">
            <x v="42"/>
          </reference>
          <reference field="2" count="1" selected="0">
            <x v="10"/>
          </reference>
          <reference field="3" count="1" selected="0">
            <x v="4"/>
          </reference>
          <reference field="5" count="1" selected="0">
            <x v="6"/>
          </reference>
          <reference field="23" count="1">
            <x v="1"/>
          </reference>
        </references>
      </pivotArea>
    </format>
    <format dxfId="8120">
      <pivotArea dataOnly="0" labelOnly="1" outline="0" fieldPosition="0">
        <references count="5">
          <reference field="1" count="1" selected="0">
            <x v="42"/>
          </reference>
          <reference field="2" count="1" selected="0">
            <x v="10"/>
          </reference>
          <reference field="3" count="1" selected="0">
            <x v="6"/>
          </reference>
          <reference field="5" count="1" selected="0">
            <x v="6"/>
          </reference>
          <reference field="23" count="1">
            <x v="2"/>
          </reference>
        </references>
      </pivotArea>
    </format>
    <format dxfId="8119">
      <pivotArea dataOnly="0" labelOnly="1" outline="0" fieldPosition="0">
        <references count="5">
          <reference field="1" count="1" selected="0">
            <x v="43"/>
          </reference>
          <reference field="2" count="1" selected="0">
            <x v="6"/>
          </reference>
          <reference field="3" count="1" selected="0">
            <x v="5"/>
          </reference>
          <reference field="5" count="1" selected="0">
            <x v="6"/>
          </reference>
          <reference field="23" count="2">
            <x v="1"/>
            <x v="2"/>
          </reference>
        </references>
      </pivotArea>
    </format>
    <format dxfId="8118">
      <pivotArea dataOnly="0" labelOnly="1" outline="0" fieldPosition="0">
        <references count="5">
          <reference field="1" count="1" selected="0">
            <x v="43"/>
          </reference>
          <reference field="2" count="1" selected="0">
            <x v="6"/>
          </reference>
          <reference field="3" count="1" selected="0">
            <x v="7"/>
          </reference>
          <reference field="5" count="1" selected="0">
            <x v="6"/>
          </reference>
          <reference field="23" count="1">
            <x v="1"/>
          </reference>
        </references>
      </pivotArea>
    </format>
    <format dxfId="8117">
      <pivotArea dataOnly="0" labelOnly="1" outline="0" fieldPosition="0">
        <references count="5">
          <reference field="1" count="1" selected="0">
            <x v="44"/>
          </reference>
          <reference field="2" count="1" selected="0">
            <x v="6"/>
          </reference>
          <reference field="3" count="1" selected="0">
            <x v="7"/>
          </reference>
          <reference field="5" count="1" selected="0">
            <x v="6"/>
          </reference>
          <reference field="23" count="1">
            <x v="2"/>
          </reference>
        </references>
      </pivotArea>
    </format>
    <format dxfId="8116">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2"/>
          </reference>
          <reference field="22" count="1">
            <x v="10"/>
          </reference>
          <reference field="23" count="1" selected="0">
            <x v="1"/>
          </reference>
          <reference field="72" count="1" selected="0">
            <x v="187"/>
          </reference>
        </references>
      </pivotArea>
    </format>
    <format dxfId="8115">
      <pivotArea dataOnly="0" labelOnly="1" outline="0" fieldPosition="0">
        <references count="8">
          <reference field="1" count="1" selected="0">
            <x v="19"/>
          </reference>
          <reference field="2" count="1" selected="0">
            <x v="3"/>
          </reference>
          <reference field="3" count="1" selected="0">
            <x v="1"/>
          </reference>
          <reference field="5" count="1" selected="0">
            <x v="1"/>
          </reference>
          <reference field="13" count="1" selected="0">
            <x v="5"/>
          </reference>
          <reference field="22" count="1">
            <x v="10"/>
          </reference>
          <reference field="23" count="1" selected="0">
            <x v="1"/>
          </reference>
          <reference field="72" count="1" selected="0">
            <x v="164"/>
          </reference>
        </references>
      </pivotArea>
    </format>
    <format dxfId="8114">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1" selected="0">
            <x v="1"/>
          </reference>
          <reference field="72" count="1" selected="0">
            <x v="126"/>
          </reference>
        </references>
      </pivotArea>
    </format>
    <format dxfId="8113">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7"/>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8112">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7"/>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8111">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8110">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8109">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8108">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8107">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8106">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8105">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8104">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8103">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7"/>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8102">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7"/>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8101">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7"/>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8100">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7"/>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8099">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7"/>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8098">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8097">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8096">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8095">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8094">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7"/>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8093">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7"/>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8092">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7"/>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8091">
      <pivotArea dataOnly="0" labelOnly="1" outline="0" fieldPosition="0">
        <references count="15">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7"/>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8090">
      <pivotArea dataOnly="0" labelOnly="1" outline="0" fieldPosition="0">
        <references count="15">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7"/>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8089">
      <pivotArea dataOnly="0" labelOnly="1" outline="0" fieldPosition="0">
        <references count="15">
          <reference field="1" count="1" selected="0">
            <x v="48"/>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7"/>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8088">
      <pivotArea field="72" type="button" dataOnly="0" labelOnly="1" outline="0" axis="axisRow" fieldPosition="5"/>
    </format>
    <format dxfId="8087">
      <pivotArea field="13" type="button" dataOnly="0" labelOnly="1" outline="0" axis="axisRow" fieldPosition="6"/>
    </format>
    <format dxfId="8086">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23"/>
          </reference>
        </references>
      </pivotArea>
    </format>
    <format dxfId="8085">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1" selected="0">
            <x v="1"/>
          </reference>
          <reference field="72" count="1" selected="0">
            <x v="187"/>
          </reference>
        </references>
      </pivotArea>
    </format>
    <format dxfId="8084">
      <pivotArea dataOnly="0" labelOnly="1" outline="0" fieldPosition="0">
        <references count="7">
          <reference field="1" count="1" selected="0">
            <x v="10"/>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40"/>
          </reference>
        </references>
      </pivotArea>
    </format>
    <format dxfId="8083">
      <pivotArea dataOnly="0" labelOnly="1" outline="0" fieldPosition="0">
        <references count="7">
          <reference field="1" count="1" selected="0">
            <x v="18"/>
          </reference>
          <reference field="2" count="1" selected="0">
            <x v="3"/>
          </reference>
          <reference field="3" count="1" selected="0">
            <x v="7"/>
          </reference>
          <reference field="5" count="1" selected="0">
            <x v="7"/>
          </reference>
          <reference field="13" count="1">
            <x v="0"/>
          </reference>
          <reference field="23" count="1" selected="0">
            <x v="2"/>
          </reference>
          <reference field="72" count="1" selected="0">
            <x v="70"/>
          </reference>
        </references>
      </pivotArea>
    </format>
    <format dxfId="8082">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64"/>
          </reference>
        </references>
      </pivotArea>
    </format>
    <format dxfId="8081">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4"/>
          </reference>
          <reference field="23" count="1" selected="0">
            <x v="1"/>
          </reference>
          <reference field="72" count="1" selected="0">
            <x v="126"/>
          </reference>
        </references>
      </pivotArea>
    </format>
    <format dxfId="8080">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5"/>
          </reference>
          <reference field="23" count="1" selected="0">
            <x v="2"/>
          </reference>
          <reference field="72" count="1" selected="0">
            <x v="168"/>
          </reference>
        </references>
      </pivotArea>
    </format>
    <format dxfId="8079">
      <pivotArea dataOnly="0" labelOnly="1" outline="0" fieldPosition="0">
        <references count="7">
          <reference field="1" count="1" selected="0">
            <x v="42"/>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67"/>
          </reference>
        </references>
      </pivotArea>
    </format>
    <format dxfId="8078">
      <pivotArea dataOnly="0" labelOnly="1" outline="0" fieldPosition="0">
        <references count="7">
          <reference field="1" count="1" selected="0">
            <x v="42"/>
          </reference>
          <reference field="2" count="1" selected="0">
            <x v="10"/>
          </reference>
          <reference field="3" count="1" selected="0">
            <x v="6"/>
          </reference>
          <reference field="5" count="1" selected="0">
            <x v="6"/>
          </reference>
          <reference field="13" count="1">
            <x v="5"/>
          </reference>
          <reference field="23" count="1" selected="0">
            <x v="2"/>
          </reference>
          <reference field="72" count="1" selected="0">
            <x v="168"/>
          </reference>
        </references>
      </pivotArea>
    </format>
    <format dxfId="8077">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4"/>
          </reference>
          <reference field="23" count="1" selected="0">
            <x v="1"/>
          </reference>
          <reference field="72" count="1" selected="0">
            <x v="169"/>
          </reference>
        </references>
      </pivotArea>
    </format>
    <format dxfId="8076">
      <pivotArea dataOnly="0" labelOnly="1" outline="0" fieldPosition="0">
        <references count="7">
          <reference field="1" count="1" selected="0">
            <x v="43"/>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69"/>
          </reference>
        </references>
      </pivotArea>
    </format>
    <format dxfId="8075">
      <pivotArea dataOnly="0" labelOnly="1" outline="0" fieldPosition="0">
        <references count="7">
          <reference field="1" count="1" selected="0">
            <x v="44"/>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2"/>
          </reference>
        </references>
      </pivotArea>
    </format>
    <format dxfId="8074">
      <pivotArea field="81" type="button" dataOnly="0" labelOnly="1" outline="0" axis="axisRow" fieldPosition="8"/>
    </format>
    <format dxfId="8073">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112"/>
          </reference>
        </references>
      </pivotArea>
    </format>
    <format dxfId="8072">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113"/>
          </reference>
        </references>
      </pivotArea>
    </format>
    <format dxfId="8071">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044"/>
          </reference>
        </references>
      </pivotArea>
    </format>
    <format dxfId="8070">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045"/>
          </reference>
        </references>
      </pivotArea>
    </format>
    <format dxfId="806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052"/>
          </reference>
        </references>
      </pivotArea>
    </format>
    <format dxfId="806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053"/>
          </reference>
        </references>
      </pivotArea>
    </format>
    <format dxfId="8067">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112"/>
          </reference>
        </references>
      </pivotArea>
    </format>
    <format dxfId="8066">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114"/>
          </reference>
        </references>
      </pivotArea>
    </format>
    <format dxfId="8065">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153"/>
          </reference>
        </references>
      </pivotArea>
    </format>
    <format dxfId="8064">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154"/>
          </reference>
        </references>
      </pivotArea>
    </format>
    <format dxfId="806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155"/>
          </reference>
        </references>
      </pivotArea>
    </format>
    <format dxfId="806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152"/>
          </reference>
        </references>
      </pivotArea>
    </format>
    <format dxfId="8061">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112"/>
          </reference>
        </references>
      </pivotArea>
    </format>
    <format dxfId="8060">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114"/>
          </reference>
        </references>
      </pivotArea>
    </format>
    <format dxfId="8059">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153"/>
          </reference>
        </references>
      </pivotArea>
    </format>
    <format dxfId="8058">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154"/>
          </reference>
        </references>
      </pivotArea>
    </format>
    <format dxfId="805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155"/>
          </reference>
        </references>
      </pivotArea>
    </format>
    <format dxfId="805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152"/>
          </reference>
        </references>
      </pivotArea>
    </format>
    <format dxfId="8055">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112"/>
          </reference>
        </references>
      </pivotArea>
    </format>
    <format dxfId="8054">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114"/>
          </reference>
        </references>
      </pivotArea>
    </format>
    <format dxfId="8053">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1135"/>
          </reference>
        </references>
      </pivotArea>
    </format>
    <format dxfId="8052">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125"/>
          </reference>
        </references>
      </pivotArea>
    </format>
    <format dxfId="8051">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149"/>
          </reference>
        </references>
      </pivotArea>
    </format>
    <format dxfId="8050">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043"/>
          </reference>
        </references>
      </pivotArea>
    </format>
    <format dxfId="804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150"/>
          </reference>
        </references>
      </pivotArea>
    </format>
    <format dxfId="804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151"/>
          </reference>
        </references>
      </pivotArea>
    </format>
    <format dxfId="8047">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112"/>
          </reference>
        </references>
      </pivotArea>
    </format>
    <format dxfId="8046">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113"/>
          </reference>
        </references>
      </pivotArea>
    </format>
    <format dxfId="804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044"/>
          </reference>
        </references>
      </pivotArea>
    </format>
    <format dxfId="8044">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045"/>
          </reference>
        </references>
      </pivotArea>
    </format>
    <format dxfId="804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052"/>
          </reference>
        </references>
      </pivotArea>
    </format>
    <format dxfId="804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053"/>
          </reference>
        </references>
      </pivotArea>
    </format>
    <format dxfId="8041">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130"/>
          </reference>
        </references>
      </pivotArea>
    </format>
    <format dxfId="804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108"/>
          </reference>
        </references>
      </pivotArea>
    </format>
    <format dxfId="803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085"/>
          </reference>
        </references>
      </pivotArea>
    </format>
    <format dxfId="803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109"/>
          </reference>
        </references>
      </pivotArea>
    </format>
    <format dxfId="803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101"/>
          </reference>
        </references>
      </pivotArea>
    </format>
    <format dxfId="803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110"/>
          </reference>
        </references>
      </pivotArea>
    </format>
    <format dxfId="803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102"/>
          </reference>
        </references>
      </pivotArea>
    </format>
    <format dxfId="803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111"/>
          </reference>
        </references>
      </pivotArea>
    </format>
    <format dxfId="803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099"/>
          </reference>
        </references>
      </pivotArea>
    </format>
    <format dxfId="8032">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153"/>
          </reference>
        </references>
      </pivotArea>
    </format>
    <format dxfId="803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154"/>
          </reference>
        </references>
      </pivotArea>
    </format>
    <format dxfId="803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155"/>
          </reference>
        </references>
      </pivotArea>
    </format>
    <format dxfId="802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152"/>
          </reference>
        </references>
      </pivotArea>
    </format>
    <format dxfId="8028">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130"/>
          </reference>
        </references>
      </pivotArea>
    </format>
    <format dxfId="8027">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112"/>
          </reference>
        </references>
      </pivotArea>
    </format>
    <format dxfId="8026">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113"/>
          </reference>
        </references>
      </pivotArea>
    </format>
    <format dxfId="8025">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043"/>
          </reference>
        </references>
      </pivotArea>
    </format>
    <format dxfId="8024">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150"/>
          </reference>
        </references>
      </pivotArea>
    </format>
    <format dxfId="8023">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151"/>
          </reference>
        </references>
      </pivotArea>
    </format>
    <format dxfId="8022">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112"/>
          </reference>
        </references>
      </pivotArea>
    </format>
    <format dxfId="8021">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113"/>
          </reference>
        </references>
      </pivotArea>
    </format>
    <format dxfId="802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044"/>
          </reference>
        </references>
      </pivotArea>
    </format>
    <format dxfId="801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045"/>
          </reference>
        </references>
      </pivotArea>
    </format>
    <format dxfId="801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052"/>
          </reference>
        </references>
      </pivotArea>
    </format>
    <format dxfId="801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053"/>
          </reference>
        </references>
      </pivotArea>
    </format>
    <format dxfId="8016">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112"/>
          </reference>
        </references>
      </pivotArea>
    </format>
    <format dxfId="8015">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114"/>
          </reference>
        </references>
      </pivotArea>
    </format>
    <format dxfId="8014">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153"/>
          </reference>
        </references>
      </pivotArea>
    </format>
    <format dxfId="8013">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063"/>
          </reference>
        </references>
      </pivotArea>
    </format>
    <format dxfId="8012">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062"/>
          </reference>
        </references>
      </pivotArea>
    </format>
    <format dxfId="8011">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158"/>
          </reference>
        </references>
      </pivotArea>
    </format>
    <format dxfId="8010">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132"/>
          </reference>
        </references>
      </pivotArea>
    </format>
    <format dxfId="8009">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119"/>
          </reference>
        </references>
      </pivotArea>
    </format>
    <format dxfId="8008">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068"/>
          </reference>
        </references>
      </pivotArea>
    </format>
    <format dxfId="8007">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156"/>
          </reference>
        </references>
      </pivotArea>
    </format>
    <format dxfId="8006">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157"/>
          </reference>
        </references>
      </pivotArea>
    </format>
    <format dxfId="8005">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87"/>
          </reference>
          <reference field="81" count="1">
            <x v="1115"/>
          </reference>
        </references>
      </pivotArea>
    </format>
    <format dxfId="8004">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116"/>
          </reference>
        </references>
      </pivotArea>
    </format>
    <format dxfId="8003">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1176"/>
          </reference>
        </references>
      </pivotArea>
    </format>
    <format dxfId="8002">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068"/>
          </reference>
        </references>
      </pivotArea>
    </format>
    <format dxfId="800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156"/>
          </reference>
        </references>
      </pivotArea>
    </format>
    <format dxfId="8000">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157"/>
          </reference>
        </references>
      </pivotArea>
    </format>
    <format dxfId="7999">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161"/>
          </reference>
        </references>
      </pivotArea>
    </format>
    <format dxfId="7998">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162"/>
          </reference>
        </references>
      </pivotArea>
    </format>
    <format dxfId="7997">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163"/>
          </reference>
        </references>
      </pivotArea>
    </format>
    <format dxfId="7996">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129"/>
          </reference>
        </references>
      </pivotArea>
    </format>
    <format dxfId="7995">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125"/>
          </reference>
        </references>
      </pivotArea>
    </format>
    <format dxfId="799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101"/>
          </reference>
        </references>
      </pivotArea>
    </format>
    <format dxfId="799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102"/>
          </reference>
        </references>
      </pivotArea>
    </format>
    <format dxfId="799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099"/>
          </reference>
        </references>
      </pivotArea>
    </format>
    <format dxfId="799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100"/>
          </reference>
        </references>
      </pivotArea>
    </format>
    <format dxfId="7990">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061"/>
          </reference>
        </references>
      </pivotArea>
    </format>
    <format dxfId="7989">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159"/>
          </reference>
        </references>
      </pivotArea>
    </format>
    <format dxfId="798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160"/>
          </reference>
        </references>
      </pivotArea>
    </format>
    <format dxfId="7987">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1173"/>
          </reference>
        </references>
      </pivotArea>
    </format>
    <format dxfId="7986">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134"/>
          </reference>
        </references>
      </pivotArea>
    </format>
    <format dxfId="7985">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147"/>
          </reference>
        </references>
      </pivotArea>
    </format>
    <format dxfId="7984">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057"/>
          </reference>
        </references>
      </pivotArea>
    </format>
    <format dxfId="798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148"/>
          </reference>
        </references>
      </pivotArea>
    </format>
    <format dxfId="7982">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136"/>
          </reference>
        </references>
      </pivotArea>
    </format>
    <format dxfId="7981">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134"/>
          </reference>
        </references>
      </pivotArea>
    </format>
    <format dxfId="798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105"/>
          </reference>
        </references>
      </pivotArea>
    </format>
    <format dxfId="797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106"/>
          </reference>
        </references>
      </pivotArea>
    </format>
    <format dxfId="797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103"/>
          </reference>
        </references>
      </pivotArea>
    </format>
    <format dxfId="797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104"/>
          </reference>
        </references>
      </pivotArea>
    </format>
    <format dxfId="7976">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055"/>
          </reference>
        </references>
      </pivotArea>
    </format>
    <format dxfId="7975">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051"/>
          </reference>
        </references>
      </pivotArea>
    </format>
    <format dxfId="797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144"/>
          </reference>
        </references>
      </pivotArea>
    </format>
    <format dxfId="7973">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125"/>
          </reference>
        </references>
      </pivotArea>
    </format>
    <format dxfId="7972">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055"/>
          </reference>
        </references>
      </pivotArea>
    </format>
    <format dxfId="7971">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051"/>
          </reference>
        </references>
      </pivotArea>
    </format>
    <format dxfId="797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144"/>
          </reference>
        </references>
      </pivotArea>
    </format>
    <format dxfId="7969">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133"/>
          </reference>
        </references>
      </pivotArea>
    </format>
    <format dxfId="7968">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125"/>
          </reference>
        </references>
      </pivotArea>
    </format>
    <format dxfId="7967">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058"/>
          </reference>
        </references>
      </pivotArea>
    </format>
    <format dxfId="7966">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045"/>
          </reference>
        </references>
      </pivotArea>
    </format>
    <format dxfId="796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052"/>
          </reference>
        </references>
      </pivotArea>
    </format>
    <format dxfId="7964">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072"/>
          </reference>
        </references>
      </pivotArea>
    </format>
    <format dxfId="7963">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071"/>
          </reference>
        </references>
      </pivotArea>
    </format>
    <format dxfId="7962">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073"/>
          </reference>
        </references>
      </pivotArea>
    </format>
    <format dxfId="7961">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058"/>
          </reference>
        </references>
      </pivotArea>
    </format>
    <format dxfId="7960">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045"/>
          </reference>
        </references>
      </pivotArea>
    </format>
    <format dxfId="795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052"/>
          </reference>
        </references>
      </pivotArea>
    </format>
    <format dxfId="7958">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119"/>
          </reference>
        </references>
      </pivotArea>
    </format>
    <format dxfId="795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044"/>
          </reference>
        </references>
      </pivotArea>
    </format>
    <format dxfId="795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045"/>
          </reference>
        </references>
      </pivotArea>
    </format>
    <format dxfId="795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052"/>
          </reference>
        </references>
      </pivotArea>
    </format>
    <format dxfId="795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053"/>
          </reference>
        </references>
      </pivotArea>
    </format>
    <format dxfId="795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035"/>
          </reference>
        </references>
      </pivotArea>
    </format>
    <format dxfId="795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036"/>
          </reference>
        </references>
      </pivotArea>
    </format>
    <format dxfId="795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037"/>
          </reference>
        </references>
      </pivotArea>
    </format>
    <format dxfId="795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038"/>
          </reference>
        </references>
      </pivotArea>
    </format>
    <format dxfId="7949">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141"/>
          </reference>
        </references>
      </pivotArea>
    </format>
    <format dxfId="7948">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140"/>
          </reference>
        </references>
      </pivotArea>
    </format>
    <format dxfId="794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035"/>
          </reference>
        </references>
      </pivotArea>
    </format>
    <format dxfId="794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036"/>
          </reference>
        </references>
      </pivotArea>
    </format>
    <format dxfId="794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037"/>
          </reference>
        </references>
      </pivotArea>
    </format>
    <format dxfId="794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038"/>
          </reference>
        </references>
      </pivotArea>
    </format>
    <format dxfId="794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035"/>
          </reference>
        </references>
      </pivotArea>
    </format>
    <format dxfId="794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036"/>
          </reference>
        </references>
      </pivotArea>
    </format>
    <format dxfId="794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037"/>
          </reference>
        </references>
      </pivotArea>
    </format>
    <format dxfId="794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038"/>
          </reference>
        </references>
      </pivotArea>
    </format>
    <format dxfId="7939">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052"/>
          </reference>
        </references>
      </pivotArea>
    </format>
    <format dxfId="7938">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054"/>
          </reference>
        </references>
      </pivotArea>
    </format>
    <format dxfId="7937">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059"/>
          </reference>
        </references>
      </pivotArea>
    </format>
    <format dxfId="7936">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130"/>
          </reference>
        </references>
      </pivotArea>
    </format>
    <format dxfId="7935">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131"/>
          </reference>
        </references>
      </pivotArea>
    </format>
    <format dxfId="793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125"/>
          </reference>
        </references>
      </pivotArea>
    </format>
    <format dxfId="7933">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096"/>
          </reference>
        </references>
      </pivotArea>
    </format>
    <format dxfId="7932">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086"/>
          </reference>
        </references>
      </pivotArea>
    </format>
    <format dxfId="793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097"/>
          </reference>
        </references>
      </pivotArea>
    </format>
    <format dxfId="793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098"/>
          </reference>
        </references>
      </pivotArea>
    </format>
    <format dxfId="7929">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156"/>
          </reference>
        </references>
      </pivotArea>
    </format>
    <format dxfId="7928">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170"/>
          </reference>
        </references>
      </pivotArea>
    </format>
    <format dxfId="7927">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071"/>
          </reference>
        </references>
      </pivotArea>
    </format>
    <format dxfId="7926">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128"/>
          </reference>
        </references>
      </pivotArea>
    </format>
    <format dxfId="7925">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119"/>
          </reference>
        </references>
      </pivotArea>
    </format>
    <format dxfId="7924">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130"/>
          </reference>
        </references>
      </pivotArea>
    </format>
    <format dxfId="7923">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131"/>
          </reference>
        </references>
      </pivotArea>
    </format>
    <format dxfId="7922">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130"/>
          </reference>
        </references>
      </pivotArea>
    </format>
    <format dxfId="7921">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131"/>
          </reference>
        </references>
      </pivotArea>
    </format>
    <format dxfId="792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125"/>
          </reference>
        </references>
      </pivotArea>
    </format>
    <format dxfId="7919">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094"/>
          </reference>
        </references>
      </pivotArea>
    </format>
    <format dxfId="791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092"/>
          </reference>
        </references>
      </pivotArea>
    </format>
    <format dxfId="791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095"/>
          </reference>
        </references>
      </pivotArea>
    </format>
    <format dxfId="791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087"/>
          </reference>
        </references>
      </pivotArea>
    </format>
    <format dxfId="7915">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168"/>
          </reference>
        </references>
      </pivotArea>
    </format>
    <format dxfId="791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155"/>
          </reference>
        </references>
      </pivotArea>
    </format>
    <format dxfId="791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169"/>
          </reference>
        </references>
      </pivotArea>
    </format>
    <format dxfId="7912">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128"/>
          </reference>
        </references>
      </pivotArea>
    </format>
    <format dxfId="7911">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130"/>
          </reference>
        </references>
      </pivotArea>
    </format>
    <format dxfId="7910">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131"/>
          </reference>
        </references>
      </pivotArea>
    </format>
    <format dxfId="7909">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145"/>
          </reference>
        </references>
      </pivotArea>
    </format>
    <format dxfId="7908">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144"/>
          </reference>
        </references>
      </pivotArea>
    </format>
    <format dxfId="790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142"/>
          </reference>
        </references>
      </pivotArea>
    </format>
    <format dxfId="790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143"/>
          </reference>
        </references>
      </pivotArea>
    </format>
    <format dxfId="7905">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107"/>
          </reference>
        </references>
      </pivotArea>
    </format>
    <format dxfId="7904">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164"/>
          </reference>
        </references>
      </pivotArea>
    </format>
    <format dxfId="7903">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165"/>
          </reference>
        </references>
      </pivotArea>
    </format>
    <format dxfId="7902">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072"/>
          </reference>
        </references>
      </pivotArea>
    </format>
    <format dxfId="7901">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067"/>
          </reference>
        </references>
      </pivotArea>
    </format>
    <format dxfId="7900">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068"/>
          </reference>
        </references>
      </pivotArea>
    </format>
    <format dxfId="789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066"/>
          </reference>
        </references>
      </pivotArea>
    </format>
    <format dxfId="7898">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107"/>
          </reference>
        </references>
      </pivotArea>
    </format>
    <format dxfId="7897">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166"/>
          </reference>
        </references>
      </pivotArea>
    </format>
    <format dxfId="7896">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167"/>
          </reference>
        </references>
      </pivotArea>
    </format>
    <format dxfId="789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156"/>
          </reference>
        </references>
      </pivotArea>
    </format>
    <format dxfId="789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067"/>
          </reference>
        </references>
      </pivotArea>
    </format>
    <format dxfId="789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068"/>
          </reference>
        </references>
      </pivotArea>
    </format>
    <format dxfId="789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069"/>
          </reference>
        </references>
      </pivotArea>
    </format>
    <format dxfId="789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066"/>
          </reference>
        </references>
      </pivotArea>
    </format>
    <format dxfId="789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070"/>
          </reference>
        </references>
      </pivotArea>
    </format>
    <format dxfId="7889">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126"/>
          </reference>
        </references>
      </pivotArea>
    </format>
    <format dxfId="7888">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127"/>
          </reference>
        </references>
      </pivotArea>
    </format>
    <format dxfId="788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055"/>
          </reference>
        </references>
      </pivotArea>
    </format>
    <format dxfId="788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056"/>
          </reference>
        </references>
      </pivotArea>
    </format>
    <format dxfId="788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037"/>
          </reference>
        </references>
      </pivotArea>
    </format>
    <format dxfId="788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053"/>
          </reference>
        </references>
      </pivotArea>
    </format>
    <format dxfId="7883">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055"/>
          </reference>
        </references>
      </pivotArea>
    </format>
    <format dxfId="7882">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056"/>
          </reference>
        </references>
      </pivotArea>
    </format>
    <format dxfId="788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037"/>
          </reference>
        </references>
      </pivotArea>
    </format>
    <format dxfId="788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053"/>
          </reference>
        </references>
      </pivotArea>
    </format>
    <format dxfId="7879">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055"/>
          </reference>
        </references>
      </pivotArea>
    </format>
    <format dxfId="7878">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036"/>
          </reference>
        </references>
      </pivotArea>
    </format>
    <format dxfId="787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053"/>
          </reference>
        </references>
      </pivotArea>
    </format>
    <format dxfId="7876">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046"/>
          </reference>
        </references>
      </pivotArea>
    </format>
    <format dxfId="7875">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1136"/>
          </reference>
        </references>
      </pivotArea>
    </format>
    <format dxfId="7874">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137"/>
          </reference>
        </references>
      </pivotArea>
    </format>
    <format dxfId="7873">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081"/>
          </reference>
        </references>
      </pivotArea>
    </format>
    <format dxfId="7872">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061"/>
          </reference>
        </references>
      </pivotArea>
    </format>
    <format dxfId="7871">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062"/>
          </reference>
        </references>
      </pivotArea>
    </format>
    <format dxfId="7870">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064"/>
          </reference>
        </references>
      </pivotArea>
    </format>
    <format dxfId="786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082"/>
          </reference>
        </references>
      </pivotArea>
    </format>
    <format dxfId="7868">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085"/>
          </reference>
        </references>
      </pivotArea>
    </format>
    <format dxfId="786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083"/>
          </reference>
        </references>
      </pivotArea>
    </format>
    <format dxfId="786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084"/>
          </reference>
        </references>
      </pivotArea>
    </format>
    <format dxfId="786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047"/>
          </reference>
        </references>
      </pivotArea>
    </format>
    <format dxfId="786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043"/>
          </reference>
        </references>
      </pivotArea>
    </format>
    <format dxfId="786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044"/>
          </reference>
        </references>
      </pivotArea>
    </format>
    <format dxfId="786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045"/>
          </reference>
        </references>
      </pivotArea>
    </format>
    <format dxfId="786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046"/>
          </reference>
        </references>
      </pivotArea>
    </format>
    <format dxfId="786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082"/>
          </reference>
        </references>
      </pivotArea>
    </format>
    <format dxfId="7859">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085"/>
          </reference>
        </references>
      </pivotArea>
    </format>
    <format dxfId="785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083"/>
          </reference>
        </references>
      </pivotArea>
    </format>
    <format dxfId="785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084"/>
          </reference>
        </references>
      </pivotArea>
    </format>
    <format dxfId="785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047"/>
          </reference>
        </references>
      </pivotArea>
    </format>
    <format dxfId="785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043"/>
          </reference>
        </references>
      </pivotArea>
    </format>
    <format dxfId="785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044"/>
          </reference>
        </references>
      </pivotArea>
    </format>
    <format dxfId="785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045"/>
          </reference>
        </references>
      </pivotArea>
    </format>
    <format dxfId="785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046"/>
          </reference>
        </references>
      </pivotArea>
    </format>
    <format dxfId="785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082"/>
          </reference>
        </references>
      </pivotArea>
    </format>
    <format dxfId="785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085"/>
          </reference>
        </references>
      </pivotArea>
    </format>
    <format dxfId="784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083"/>
          </reference>
        </references>
      </pivotArea>
    </format>
    <format dxfId="784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084"/>
          </reference>
        </references>
      </pivotArea>
    </format>
    <format dxfId="784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047"/>
          </reference>
        </references>
      </pivotArea>
    </format>
    <format dxfId="784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043"/>
          </reference>
        </references>
      </pivotArea>
    </format>
    <format dxfId="784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044"/>
          </reference>
        </references>
      </pivotArea>
    </format>
    <format dxfId="784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045"/>
          </reference>
        </references>
      </pivotArea>
    </format>
    <format dxfId="784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046"/>
          </reference>
        </references>
      </pivotArea>
    </format>
    <format dxfId="784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058"/>
          </reference>
        </references>
      </pivotArea>
    </format>
    <format dxfId="784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060"/>
          </reference>
        </references>
      </pivotArea>
    </format>
    <format dxfId="784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059"/>
          </reference>
        </references>
      </pivotArea>
    </format>
    <format dxfId="783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046"/>
          </reference>
        </references>
      </pivotArea>
    </format>
    <format dxfId="783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048"/>
          </reference>
        </references>
      </pivotArea>
    </format>
    <format dxfId="7837">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049"/>
          </reference>
        </references>
      </pivotArea>
    </format>
    <format dxfId="783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050"/>
          </reference>
        </references>
      </pivotArea>
    </format>
    <format dxfId="783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051"/>
          </reference>
        </references>
      </pivotArea>
    </format>
    <format dxfId="783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048"/>
          </reference>
        </references>
      </pivotArea>
    </format>
    <format dxfId="7833">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049"/>
          </reference>
        </references>
      </pivotArea>
    </format>
    <format dxfId="783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050"/>
          </reference>
        </references>
      </pivotArea>
    </format>
    <format dxfId="783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051"/>
          </reference>
        </references>
      </pivotArea>
    </format>
    <format dxfId="783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039"/>
          </reference>
        </references>
      </pivotArea>
    </format>
    <format dxfId="7829">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041"/>
          </reference>
        </references>
      </pivotArea>
    </format>
    <format dxfId="782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042"/>
          </reference>
        </references>
      </pivotArea>
    </format>
    <format dxfId="782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040"/>
          </reference>
        </references>
      </pivotArea>
    </format>
    <format dxfId="7826">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080"/>
          </reference>
        </references>
      </pivotArea>
    </format>
    <format dxfId="7825">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039"/>
          </reference>
        </references>
      </pivotArea>
    </format>
    <format dxfId="782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079"/>
          </reference>
        </references>
      </pivotArea>
    </format>
    <format dxfId="7823">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082"/>
          </reference>
        </references>
      </pivotArea>
    </format>
    <format dxfId="7822">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085"/>
          </reference>
        </references>
      </pivotArea>
    </format>
    <format dxfId="782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083"/>
          </reference>
        </references>
      </pivotArea>
    </format>
    <format dxfId="782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084"/>
          </reference>
        </references>
      </pivotArea>
    </format>
    <format dxfId="7819">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043"/>
          </reference>
        </references>
      </pivotArea>
    </format>
    <format dxfId="7818">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044"/>
          </reference>
        </references>
      </pivotArea>
    </format>
    <format dxfId="781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045"/>
          </reference>
        </references>
      </pivotArea>
    </format>
    <format dxfId="781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046"/>
          </reference>
        </references>
      </pivotArea>
    </format>
    <format dxfId="781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043"/>
          </reference>
        </references>
      </pivotArea>
    </format>
    <format dxfId="7814">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044"/>
          </reference>
        </references>
      </pivotArea>
    </format>
    <format dxfId="781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045"/>
          </reference>
        </references>
      </pivotArea>
    </format>
    <format dxfId="781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046"/>
          </reference>
        </references>
      </pivotArea>
    </format>
    <format dxfId="7811">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174"/>
          </reference>
        </references>
      </pivotArea>
    </format>
    <format dxfId="7810">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065"/>
          </reference>
        </references>
      </pivotArea>
    </format>
    <format dxfId="7809">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180"/>
          </reference>
        </references>
      </pivotArea>
    </format>
    <format dxfId="7808">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181"/>
          </reference>
        </references>
      </pivotArea>
    </format>
    <format dxfId="7807">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180"/>
          </reference>
        </references>
      </pivotArea>
    </format>
    <format dxfId="7806">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171"/>
          </reference>
        </references>
      </pivotArea>
    </format>
    <format dxfId="7805">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178"/>
          </reference>
        </references>
      </pivotArea>
    </format>
    <format dxfId="7804">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172"/>
          </reference>
        </references>
      </pivotArea>
    </format>
    <format dxfId="7803">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175"/>
          </reference>
        </references>
      </pivotArea>
    </format>
    <format dxfId="7802">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178"/>
          </reference>
        </references>
      </pivotArea>
    </format>
    <format dxfId="7801">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146"/>
          </reference>
        </references>
      </pivotArea>
    </format>
    <format dxfId="7800">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063"/>
          </reference>
        </references>
      </pivotArea>
    </format>
    <format dxfId="779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037"/>
          </reference>
        </references>
      </pivotArea>
    </format>
    <format dxfId="779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1041"/>
          </reference>
        </references>
      </pivotArea>
    </format>
    <format dxfId="779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079"/>
          </reference>
        </references>
      </pivotArea>
    </format>
    <format dxfId="779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078"/>
          </reference>
        </references>
      </pivotArea>
    </format>
    <format dxfId="779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077"/>
          </reference>
        </references>
      </pivotArea>
    </format>
    <format dxfId="779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076"/>
          </reference>
        </references>
      </pivotArea>
    </format>
    <format dxfId="779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074"/>
          </reference>
        </references>
      </pivotArea>
    </format>
    <format dxfId="779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040"/>
          </reference>
        </references>
      </pivotArea>
    </format>
    <format dxfId="7791">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075"/>
          </reference>
        </references>
      </pivotArea>
    </format>
    <format dxfId="7790">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1179"/>
          </reference>
        </references>
      </pivotArea>
    </format>
    <format dxfId="7789">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177"/>
          </reference>
        </references>
      </pivotArea>
    </format>
    <format dxfId="7788">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037"/>
          </reference>
        </references>
      </pivotArea>
    </format>
    <format dxfId="7787">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074"/>
          </reference>
        </references>
      </pivotArea>
    </format>
    <format dxfId="7786">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177"/>
          </reference>
        </references>
      </pivotArea>
    </format>
    <format dxfId="7785">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057"/>
          </reference>
        </references>
      </pivotArea>
    </format>
    <format dxfId="7784">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26"/>
          </reference>
          <reference field="81" count="1">
            <x v="1122"/>
          </reference>
        </references>
      </pivotArea>
    </format>
    <format dxfId="7783">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118"/>
          </reference>
        </references>
      </pivotArea>
    </format>
    <format dxfId="7782">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117"/>
          </reference>
        </references>
      </pivotArea>
    </format>
    <format dxfId="7781">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118"/>
          </reference>
        </references>
      </pivotArea>
    </format>
    <format dxfId="7780">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120"/>
          </reference>
        </references>
      </pivotArea>
    </format>
    <format dxfId="7779">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121"/>
          </reference>
        </references>
      </pivotArea>
    </format>
    <format dxfId="7778">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120"/>
          </reference>
        </references>
      </pivotArea>
    </format>
    <format dxfId="7777">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1123"/>
          </reference>
        </references>
      </pivotArea>
    </format>
    <format dxfId="7776">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124"/>
          </reference>
        </references>
      </pivotArea>
    </format>
    <format dxfId="7775">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1139"/>
          </reference>
        </references>
      </pivotArea>
    </format>
    <format dxfId="7774">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138"/>
          </reference>
        </references>
      </pivotArea>
    </format>
    <format dxfId="7773">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045"/>
          </reference>
        </references>
      </pivotArea>
    </format>
    <format dxfId="7772">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052"/>
          </reference>
        </references>
      </pivotArea>
    </format>
    <format dxfId="7771">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054"/>
          </reference>
        </references>
      </pivotArea>
    </format>
    <format dxfId="7770">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1055"/>
          </reference>
        </references>
      </pivotArea>
    </format>
    <format dxfId="7769">
      <pivotArea field="82" type="button" dataOnly="0" labelOnly="1" outline="0" axis="axisRow" fieldPosition="9"/>
    </format>
    <format dxfId="7768">
      <pivotArea field="87" type="button" dataOnly="0" labelOnly="1" outline="0" axis="axisRow" fieldPosition="12"/>
    </format>
    <format dxfId="7767">
      <pivotArea field="88" type="button" dataOnly="0" labelOnly="1" outline="0" axis="axisRow" fieldPosition="13"/>
    </format>
    <format dxfId="7766">
      <pivotArea field="72" type="button" dataOnly="0" labelOnly="1" outline="0" axis="axisRow" fieldPosition="5"/>
    </format>
    <format dxfId="7765">
      <pivotArea field="13" type="button" dataOnly="0" labelOnly="1" outline="0" axis="axisRow" fieldPosition="6"/>
    </format>
    <format dxfId="7764">
      <pivotArea field="81" type="button" dataOnly="0" labelOnly="1" outline="0" axis="axisRow" fieldPosition="8"/>
    </format>
    <format dxfId="7763">
      <pivotArea field="82" type="button" dataOnly="0" labelOnly="1" outline="0" axis="axisRow" fieldPosition="9"/>
    </format>
    <format dxfId="7762">
      <pivotArea field="87" type="button" dataOnly="0" labelOnly="1" outline="0" axis="axisRow" fieldPosition="12"/>
    </format>
    <format dxfId="7761">
      <pivotArea field="88" type="button" dataOnly="0" labelOnly="1" outline="0" axis="axisRow" fieldPosition="13"/>
    </format>
    <format dxfId="7760">
      <pivotArea field="72" type="button" dataOnly="0" labelOnly="1" outline="0" axis="axisRow" fieldPosition="5"/>
    </format>
    <format dxfId="7759">
      <pivotArea field="13" type="button" dataOnly="0" labelOnly="1" outline="0" axis="axisRow" fieldPosition="6"/>
    </format>
    <format dxfId="7758">
      <pivotArea field="81" type="button" dataOnly="0" labelOnly="1" outline="0" axis="axisRow" fieldPosition="8"/>
    </format>
    <format dxfId="7757">
      <pivotArea field="82" type="button" dataOnly="0" labelOnly="1" outline="0" axis="axisRow" fieldPosition="9"/>
    </format>
    <format dxfId="7756">
      <pivotArea field="87" type="button" dataOnly="0" labelOnly="1" outline="0" axis="axisRow" fieldPosition="12"/>
    </format>
    <format dxfId="7755">
      <pivotArea field="88" type="button" dataOnly="0" labelOnly="1" outline="0" axis="axisRow" fieldPosition="13"/>
    </format>
    <format dxfId="7754">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297"/>
          </reference>
        </references>
      </pivotArea>
    </format>
    <format dxfId="7753">
      <pivotArea dataOnly="0" labelOnly="1" outline="0" fieldPosition="0">
        <references count="9">
          <reference field="1" count="0" selected="0"/>
          <reference field="2" count="0" selected="0"/>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259"/>
          </reference>
        </references>
      </pivotArea>
    </format>
    <format dxfId="7752">
      <pivotArea dataOnly="0" labelOnly="1" outline="0" fieldPosition="0">
        <references count="9">
          <reference field="1" count="0" selected="0"/>
          <reference field="2" count="0" selected="0"/>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328"/>
          </reference>
        </references>
      </pivotArea>
    </format>
    <format dxfId="7751">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276"/>
          </reference>
        </references>
      </pivotArea>
    </format>
    <format dxfId="7750">
      <pivotArea dataOnly="0" labelOnly="1" outline="0" fieldPosition="0">
        <references count="7">
          <reference field="1" count="0" selected="0"/>
          <reference field="2" count="0" selected="0"/>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7749">
      <pivotArea dataOnly="0" labelOnly="1" outline="0" fieldPosition="0">
        <references count="7">
          <reference field="1" count="0" selected="0"/>
          <reference field="2" count="0" selected="0"/>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7748">
      <pivotArea dataOnly="0" labelOnly="1" outline="0" fieldPosition="0">
        <references count="7">
          <reference field="1" count="0" selected="0"/>
          <reference field="2" count="0" selected="0"/>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7747">
      <pivotArea dataOnly="0" labelOnly="1" outline="0" fieldPosition="0">
        <references count="7">
          <reference field="1" count="0" selected="0"/>
          <reference field="2" count="0" selected="0"/>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7746">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7745">
      <pivotArea dataOnly="0" labelOnly="1" outline="0" fieldPosition="0">
        <references count="8">
          <reference field="1" count="0" selected="0"/>
          <reference field="2" count="0" selected="0"/>
          <reference field="3" count="1" selected="0">
            <x v="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7744">
      <pivotArea dataOnly="0" labelOnly="1" outline="0" fieldPosition="0">
        <references count="8">
          <reference field="1" count="0" selected="0"/>
          <reference field="2" count="0" selected="0"/>
          <reference field="3" count="1" selected="0">
            <x v="5"/>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7743">
      <pivotArea dataOnly="0" labelOnly="1" outline="0" fieldPosition="0">
        <references count="8">
          <reference field="1" count="0" selected="0"/>
          <reference field="2" count="0" selected="0"/>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7742">
      <pivotArea field="72" type="button" dataOnly="0" labelOnly="1" outline="0" axis="axisRow" fieldPosition="5"/>
    </format>
    <format dxfId="7741">
      <pivotArea field="81" type="button" dataOnly="0" labelOnly="1" outline="0" axis="axisRow" fieldPosition="8"/>
    </format>
    <format dxfId="7740">
      <pivotArea field="82" type="button" dataOnly="0" labelOnly="1" outline="0" axis="axisRow" fieldPosition="9"/>
    </format>
    <format dxfId="7739">
      <pivotArea field="87" type="button" dataOnly="0" labelOnly="1" outline="0" axis="axisRow" fieldPosition="12"/>
    </format>
    <format dxfId="7738">
      <pivotArea field="88" type="button" dataOnly="0" labelOnly="1" outline="0" axis="axisRow" fieldPosition="13"/>
    </format>
    <format dxfId="7737">
      <pivotArea field="13" type="button" dataOnly="0" labelOnly="1" outline="0" axis="axisRow" fieldPosition="6"/>
    </format>
    <format dxfId="7736">
      <pivotArea field="72" type="button" dataOnly="0" labelOnly="1" outline="0" axis="axisRow" fieldPosition="5"/>
    </format>
    <format dxfId="7735">
      <pivotArea field="13" type="button" dataOnly="0" labelOnly="1" outline="0" axis="axisRow" fieldPosition="6"/>
    </format>
    <format dxfId="7734">
      <pivotArea field="81" type="button" dataOnly="0" labelOnly="1" outline="0" axis="axisRow" fieldPosition="8"/>
    </format>
    <format dxfId="7733">
      <pivotArea field="82" type="button" dataOnly="0" labelOnly="1" outline="0" axis="axisRow" fieldPosition="9"/>
    </format>
    <format dxfId="7732">
      <pivotArea field="87" type="button" dataOnly="0" labelOnly="1" outline="0" axis="axisRow" fieldPosition="12"/>
    </format>
    <format dxfId="7731">
      <pivotArea field="88" type="button" dataOnly="0" labelOnly="1" outline="0" axis="axisRow" fieldPosition="13"/>
    </format>
    <format dxfId="7730">
      <pivotArea field="72" type="button" dataOnly="0" labelOnly="1" outline="0" axis="axisRow" fieldPosition="5"/>
    </format>
    <format dxfId="7729">
      <pivotArea field="13" type="button" dataOnly="0" labelOnly="1" outline="0" axis="axisRow" fieldPosition="6"/>
    </format>
    <format dxfId="7728">
      <pivotArea field="81" type="button" dataOnly="0" labelOnly="1" outline="0" axis="axisRow" fieldPosition="8"/>
    </format>
    <format dxfId="7727">
      <pivotArea field="82" type="button" dataOnly="0" labelOnly="1" outline="0" axis="axisRow" fieldPosition="9"/>
    </format>
    <format dxfId="7726">
      <pivotArea field="87" type="button" dataOnly="0" labelOnly="1" outline="0" axis="axisRow" fieldPosition="12"/>
    </format>
    <format dxfId="7725">
      <pivotArea field="88" type="button" dataOnly="0" labelOnly="1" outline="0" axis="axisRow" fieldPosition="13"/>
    </format>
    <format dxfId="7724">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70"/>
          </reference>
          <reference field="81" count="1" selected="0">
            <x v="1496"/>
          </reference>
          <reference field="82" count="1" selected="0">
            <x v="28"/>
          </reference>
        </references>
      </pivotArea>
    </format>
    <format dxfId="7723">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496"/>
          </reference>
          <reference field="82" count="1" selected="0">
            <x v="28"/>
          </reference>
          <reference field="85" count="1">
            <x v="4"/>
          </reference>
        </references>
      </pivotArea>
    </format>
    <format dxfId="7722">
      <pivotArea field="72" type="button" dataOnly="0" labelOnly="1" outline="0" axis="axisRow" fieldPosition="5"/>
    </format>
    <format dxfId="7721">
      <pivotArea field="81" type="button" dataOnly="0" labelOnly="1" outline="0" axis="axisRow" fieldPosition="8"/>
    </format>
    <format dxfId="7720">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553"/>
          </reference>
        </references>
      </pivotArea>
    </format>
    <format dxfId="7719">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554"/>
          </reference>
        </references>
      </pivotArea>
    </format>
    <format dxfId="771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485"/>
          </reference>
        </references>
      </pivotArea>
    </format>
    <format dxfId="771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486"/>
          </reference>
        </references>
      </pivotArea>
    </format>
    <format dxfId="771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493"/>
          </reference>
        </references>
      </pivotArea>
    </format>
    <format dxfId="771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494"/>
          </reference>
        </references>
      </pivotArea>
    </format>
    <format dxfId="7714">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553"/>
          </reference>
        </references>
      </pivotArea>
    </format>
    <format dxfId="7713">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555"/>
          </reference>
        </references>
      </pivotArea>
    </format>
    <format dxfId="771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590"/>
          </reference>
        </references>
      </pivotArea>
    </format>
    <format dxfId="771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591"/>
          </reference>
        </references>
      </pivotArea>
    </format>
    <format dxfId="771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592"/>
          </reference>
        </references>
      </pivotArea>
    </format>
    <format dxfId="770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589"/>
          </reference>
        </references>
      </pivotArea>
    </format>
    <format dxfId="7708">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553"/>
          </reference>
        </references>
      </pivotArea>
    </format>
    <format dxfId="7707">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555"/>
          </reference>
        </references>
      </pivotArea>
    </format>
    <format dxfId="770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590"/>
          </reference>
        </references>
      </pivotArea>
    </format>
    <format dxfId="770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591"/>
          </reference>
        </references>
      </pivotArea>
    </format>
    <format dxfId="770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592"/>
          </reference>
        </references>
      </pivotArea>
    </format>
    <format dxfId="770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589"/>
          </reference>
        </references>
      </pivotArea>
    </format>
    <format dxfId="7702">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553"/>
          </reference>
        </references>
      </pivotArea>
    </format>
    <format dxfId="7701">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555"/>
          </reference>
        </references>
      </pivotArea>
    </format>
    <format dxfId="7700">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575"/>
          </reference>
        </references>
      </pivotArea>
    </format>
    <format dxfId="7699">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565"/>
          </reference>
        </references>
      </pivotArea>
    </format>
    <format dxfId="769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586"/>
          </reference>
        </references>
      </pivotArea>
    </format>
    <format dxfId="769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484"/>
          </reference>
        </references>
      </pivotArea>
    </format>
    <format dxfId="769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587"/>
          </reference>
        </references>
      </pivotArea>
    </format>
    <format dxfId="769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588"/>
          </reference>
        </references>
      </pivotArea>
    </format>
    <format dxfId="7694">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553"/>
          </reference>
        </references>
      </pivotArea>
    </format>
    <format dxfId="7693">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554"/>
          </reference>
        </references>
      </pivotArea>
    </format>
    <format dxfId="769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485"/>
          </reference>
        </references>
      </pivotArea>
    </format>
    <format dxfId="769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486"/>
          </reference>
        </references>
      </pivotArea>
    </format>
    <format dxfId="769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493"/>
          </reference>
        </references>
      </pivotArea>
    </format>
    <format dxfId="768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494"/>
          </reference>
        </references>
      </pivotArea>
    </format>
    <format dxfId="7688">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570"/>
          </reference>
        </references>
      </pivotArea>
    </format>
    <format dxfId="7687">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575"/>
          </reference>
        </references>
      </pivotArea>
    </format>
    <format dxfId="768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549"/>
          </reference>
        </references>
      </pivotArea>
    </format>
    <format dxfId="768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526"/>
          </reference>
        </references>
      </pivotArea>
    </format>
    <format dxfId="768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550"/>
          </reference>
        </references>
      </pivotArea>
    </format>
    <format dxfId="768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542"/>
          </reference>
        </references>
      </pivotArea>
    </format>
    <format dxfId="768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551"/>
          </reference>
        </references>
      </pivotArea>
    </format>
    <format dxfId="768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543"/>
          </reference>
        </references>
      </pivotArea>
    </format>
    <format dxfId="768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552"/>
          </reference>
        </references>
      </pivotArea>
    </format>
    <format dxfId="767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540"/>
          </reference>
        </references>
      </pivotArea>
    </format>
    <format dxfId="767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590"/>
          </reference>
        </references>
      </pivotArea>
    </format>
    <format dxfId="767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591"/>
          </reference>
        </references>
      </pivotArea>
    </format>
    <format dxfId="767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592"/>
          </reference>
        </references>
      </pivotArea>
    </format>
    <format dxfId="767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589"/>
          </reference>
        </references>
      </pivotArea>
    </format>
    <format dxfId="7674">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570"/>
          </reference>
        </references>
      </pivotArea>
    </format>
    <format dxfId="7673">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553"/>
          </reference>
        </references>
      </pivotArea>
    </format>
    <format dxfId="7672">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554"/>
          </reference>
        </references>
      </pivotArea>
    </format>
    <format dxfId="7671">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587"/>
          </reference>
        </references>
      </pivotArea>
    </format>
    <format dxfId="7670">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588"/>
          </reference>
        </references>
      </pivotArea>
    </format>
    <format dxfId="7669">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553"/>
          </reference>
        </references>
      </pivotArea>
    </format>
    <format dxfId="7668">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554"/>
          </reference>
        </references>
      </pivotArea>
    </format>
    <format dxfId="766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485"/>
          </reference>
        </references>
      </pivotArea>
    </format>
    <format dxfId="766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486"/>
          </reference>
        </references>
      </pivotArea>
    </format>
    <format dxfId="7665">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493"/>
          </reference>
        </references>
      </pivotArea>
    </format>
    <format dxfId="766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494"/>
          </reference>
        </references>
      </pivotArea>
    </format>
    <format dxfId="7663">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553"/>
          </reference>
        </references>
      </pivotArea>
    </format>
    <format dxfId="7662">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555"/>
          </reference>
        </references>
      </pivotArea>
    </format>
    <format dxfId="7661">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590"/>
          </reference>
        </references>
      </pivotArea>
    </format>
    <format dxfId="766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504"/>
          </reference>
        </references>
      </pivotArea>
    </format>
    <format dxfId="7659">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503"/>
          </reference>
        </references>
      </pivotArea>
    </format>
    <format dxfId="7658">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595"/>
          </reference>
        </references>
      </pivotArea>
    </format>
    <format dxfId="7657">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572"/>
          </reference>
        </references>
      </pivotArea>
    </format>
    <format dxfId="7656">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560"/>
          </reference>
        </references>
      </pivotArea>
    </format>
    <format dxfId="7655">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509"/>
          </reference>
        </references>
      </pivotArea>
    </format>
    <format dxfId="7654">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593"/>
          </reference>
        </references>
      </pivotArea>
    </format>
    <format dxfId="7653">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594"/>
          </reference>
        </references>
      </pivotArea>
    </format>
    <format dxfId="7652">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556"/>
          </reference>
        </references>
      </pivotArea>
    </format>
    <format dxfId="7651">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557"/>
          </reference>
        </references>
      </pivotArea>
    </format>
    <format dxfId="7650">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1613"/>
          </reference>
        </references>
      </pivotArea>
    </format>
    <format dxfId="7649">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509"/>
          </reference>
        </references>
      </pivotArea>
    </format>
    <format dxfId="7648">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593"/>
          </reference>
        </references>
      </pivotArea>
    </format>
    <format dxfId="7647">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594"/>
          </reference>
        </references>
      </pivotArea>
    </format>
    <format dxfId="7646">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556"/>
          </reference>
        </references>
      </pivotArea>
    </format>
    <format dxfId="7645">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598"/>
          </reference>
        </references>
      </pivotArea>
    </format>
    <format dxfId="7644">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599"/>
          </reference>
        </references>
      </pivotArea>
    </format>
    <format dxfId="7643">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600"/>
          </reference>
        </references>
      </pivotArea>
    </format>
    <format dxfId="7642">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569"/>
          </reference>
        </references>
      </pivotArea>
    </format>
    <format dxfId="7641">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565"/>
          </reference>
        </references>
      </pivotArea>
    </format>
    <format dxfId="764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542"/>
          </reference>
        </references>
      </pivotArea>
    </format>
    <format dxfId="763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543"/>
          </reference>
        </references>
      </pivotArea>
    </format>
    <format dxfId="7638">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540"/>
          </reference>
        </references>
      </pivotArea>
    </format>
    <format dxfId="763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541"/>
          </reference>
        </references>
      </pivotArea>
    </format>
    <format dxfId="7636">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502"/>
          </reference>
        </references>
      </pivotArea>
    </format>
    <format dxfId="7635">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596"/>
          </reference>
        </references>
      </pivotArea>
    </format>
    <format dxfId="7634">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597"/>
          </reference>
        </references>
      </pivotArea>
    </format>
    <format dxfId="7633">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1610"/>
          </reference>
        </references>
      </pivotArea>
    </format>
    <format dxfId="7632">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574"/>
          </reference>
        </references>
      </pivotArea>
    </format>
    <format dxfId="7631">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584"/>
          </reference>
        </references>
      </pivotArea>
    </format>
    <format dxfId="7630">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498"/>
          </reference>
        </references>
      </pivotArea>
    </format>
    <format dxfId="7629">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585"/>
          </reference>
        </references>
      </pivotArea>
    </format>
    <format dxfId="7628">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620"/>
          </reference>
        </references>
      </pivotArea>
    </format>
    <format dxfId="7627">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574"/>
          </reference>
        </references>
      </pivotArea>
    </format>
    <format dxfId="762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546"/>
          </reference>
        </references>
      </pivotArea>
    </format>
    <format dxfId="762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547"/>
          </reference>
        </references>
      </pivotArea>
    </format>
    <format dxfId="7624">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544"/>
          </reference>
        </references>
      </pivotArea>
    </format>
    <format dxfId="762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545"/>
          </reference>
        </references>
      </pivotArea>
    </format>
    <format dxfId="7622">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496"/>
          </reference>
        </references>
      </pivotArea>
    </format>
    <format dxfId="7621">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492"/>
          </reference>
        </references>
      </pivotArea>
    </format>
    <format dxfId="7620">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582"/>
          </reference>
        </references>
      </pivotArea>
    </format>
    <format dxfId="7619">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565"/>
          </reference>
        </references>
      </pivotArea>
    </format>
    <format dxfId="7618">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496"/>
          </reference>
        </references>
      </pivotArea>
    </format>
    <format dxfId="7617">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492"/>
          </reference>
        </references>
      </pivotArea>
    </format>
    <format dxfId="7616">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582"/>
          </reference>
        </references>
      </pivotArea>
    </format>
    <format dxfId="7615">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573"/>
          </reference>
        </references>
      </pivotArea>
    </format>
    <format dxfId="7614">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565"/>
          </reference>
        </references>
      </pivotArea>
    </format>
    <format dxfId="7613">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499"/>
          </reference>
        </references>
      </pivotArea>
    </format>
    <format dxfId="7612">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486"/>
          </reference>
        </references>
      </pivotArea>
    </format>
    <format dxfId="7611">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493"/>
          </reference>
        </references>
      </pivotArea>
    </format>
    <format dxfId="7610">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513"/>
          </reference>
        </references>
      </pivotArea>
    </format>
    <format dxfId="7609">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512"/>
          </reference>
        </references>
      </pivotArea>
    </format>
    <format dxfId="7608">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514"/>
          </reference>
        </references>
      </pivotArea>
    </format>
    <format dxfId="7607">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499"/>
          </reference>
        </references>
      </pivotArea>
    </format>
    <format dxfId="7606">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493"/>
          </reference>
        </references>
      </pivotArea>
    </format>
    <format dxfId="7605">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560"/>
          </reference>
        </references>
      </pivotArea>
    </format>
    <format dxfId="760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485"/>
          </reference>
        </references>
      </pivotArea>
    </format>
    <format dxfId="760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486"/>
          </reference>
        </references>
      </pivotArea>
    </format>
    <format dxfId="760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493"/>
          </reference>
        </references>
      </pivotArea>
    </format>
    <format dxfId="760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494"/>
          </reference>
        </references>
      </pivotArea>
    </format>
    <format dxfId="760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476"/>
          </reference>
        </references>
      </pivotArea>
    </format>
    <format dxfId="759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477"/>
          </reference>
        </references>
      </pivotArea>
    </format>
    <format dxfId="759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478"/>
          </reference>
        </references>
      </pivotArea>
    </format>
    <format dxfId="759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479"/>
          </reference>
        </references>
      </pivotArea>
    </format>
    <format dxfId="7596">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490"/>
          </reference>
        </references>
      </pivotArea>
    </format>
    <format dxfId="7595">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579"/>
          </reference>
        </references>
      </pivotArea>
    </format>
    <format dxfId="759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476"/>
          </reference>
        </references>
      </pivotArea>
    </format>
    <format dxfId="759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477"/>
          </reference>
        </references>
      </pivotArea>
    </format>
    <format dxfId="759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478"/>
          </reference>
        </references>
      </pivotArea>
    </format>
    <format dxfId="759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479"/>
          </reference>
        </references>
      </pivotArea>
    </format>
    <format dxfId="759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476"/>
          </reference>
        </references>
      </pivotArea>
    </format>
    <format dxfId="758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477"/>
          </reference>
        </references>
      </pivotArea>
    </format>
    <format dxfId="758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478"/>
          </reference>
        </references>
      </pivotArea>
    </format>
    <format dxfId="758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479"/>
          </reference>
        </references>
      </pivotArea>
    </format>
    <format dxfId="7586">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493"/>
          </reference>
        </references>
      </pivotArea>
    </format>
    <format dxfId="7585">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495"/>
          </reference>
        </references>
      </pivotArea>
    </format>
    <format dxfId="7584">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500"/>
          </reference>
        </references>
      </pivotArea>
    </format>
    <format dxfId="758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570"/>
          </reference>
        </references>
      </pivotArea>
    </format>
    <format dxfId="758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571"/>
          </reference>
        </references>
      </pivotArea>
    </format>
    <format dxfId="7581">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565"/>
          </reference>
        </references>
      </pivotArea>
    </format>
    <format dxfId="758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537"/>
          </reference>
        </references>
      </pivotArea>
    </format>
    <format dxfId="757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527"/>
          </reference>
        </references>
      </pivotArea>
    </format>
    <format dxfId="757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538"/>
          </reference>
        </references>
      </pivotArea>
    </format>
    <format dxfId="757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539"/>
          </reference>
        </references>
      </pivotArea>
    </format>
    <format dxfId="7576">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593"/>
          </reference>
        </references>
      </pivotArea>
    </format>
    <format dxfId="7575">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607"/>
          </reference>
        </references>
      </pivotArea>
    </format>
    <format dxfId="7574">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512"/>
          </reference>
        </references>
      </pivotArea>
    </format>
    <format dxfId="7573">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568"/>
          </reference>
        </references>
      </pivotArea>
    </format>
    <format dxfId="7572">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560"/>
          </reference>
        </references>
      </pivotArea>
    </format>
    <format dxfId="7571">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507"/>
          </reference>
        </references>
      </pivotArea>
    </format>
    <format dxfId="7570">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570"/>
          </reference>
        </references>
      </pivotArea>
    </format>
    <format dxfId="7569">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571"/>
          </reference>
        </references>
      </pivotArea>
    </format>
    <format dxfId="756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570"/>
          </reference>
        </references>
      </pivotArea>
    </format>
    <format dxfId="7567">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571"/>
          </reference>
        </references>
      </pivotArea>
    </format>
    <format dxfId="7566">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565"/>
          </reference>
        </references>
      </pivotArea>
    </format>
    <format dxfId="756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535"/>
          </reference>
        </references>
      </pivotArea>
    </format>
    <format dxfId="756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533"/>
          </reference>
        </references>
      </pivotArea>
    </format>
    <format dxfId="756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536"/>
          </reference>
        </references>
      </pivotArea>
    </format>
    <format dxfId="756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528"/>
          </reference>
        </references>
      </pivotArea>
    </format>
    <format dxfId="7561">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605"/>
          </reference>
        </references>
      </pivotArea>
    </format>
    <format dxfId="7560">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592"/>
          </reference>
        </references>
      </pivotArea>
    </format>
    <format dxfId="7559">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606"/>
          </reference>
        </references>
      </pivotArea>
    </format>
    <format dxfId="7558">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568"/>
          </reference>
        </references>
      </pivotArea>
    </format>
    <format dxfId="7557">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507"/>
          </reference>
        </references>
      </pivotArea>
    </format>
    <format dxfId="7556">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570"/>
          </reference>
        </references>
      </pivotArea>
    </format>
    <format dxfId="7555">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571"/>
          </reference>
        </references>
      </pivotArea>
    </format>
    <format dxfId="755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579"/>
          </reference>
        </references>
      </pivotArea>
    </format>
    <format dxfId="755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582"/>
          </reference>
        </references>
      </pivotArea>
    </format>
    <format dxfId="755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580"/>
          </reference>
        </references>
      </pivotArea>
    </format>
    <format dxfId="755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581"/>
          </reference>
        </references>
      </pivotArea>
    </format>
    <format dxfId="7550">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548"/>
          </reference>
        </references>
      </pivotArea>
    </format>
    <format dxfId="7549">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601"/>
          </reference>
        </references>
      </pivotArea>
    </format>
    <format dxfId="754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602"/>
          </reference>
        </references>
      </pivotArea>
    </format>
    <format dxfId="754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513"/>
          </reference>
        </references>
      </pivotArea>
    </format>
    <format dxfId="7546">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508"/>
          </reference>
        </references>
      </pivotArea>
    </format>
    <format dxfId="7545">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509"/>
          </reference>
        </references>
      </pivotArea>
    </format>
    <format dxfId="754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507"/>
          </reference>
        </references>
      </pivotArea>
    </format>
    <format dxfId="7543">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548"/>
          </reference>
        </references>
      </pivotArea>
    </format>
    <format dxfId="7542">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603"/>
          </reference>
        </references>
      </pivotArea>
    </format>
    <format dxfId="7541">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604"/>
          </reference>
        </references>
      </pivotArea>
    </format>
    <format dxfId="754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593"/>
          </reference>
        </references>
      </pivotArea>
    </format>
    <format dxfId="753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508"/>
          </reference>
        </references>
      </pivotArea>
    </format>
    <format dxfId="753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509"/>
          </reference>
        </references>
      </pivotArea>
    </format>
    <format dxfId="753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510"/>
          </reference>
        </references>
      </pivotArea>
    </format>
    <format dxfId="753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507"/>
          </reference>
        </references>
      </pivotArea>
    </format>
    <format dxfId="753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511"/>
          </reference>
        </references>
      </pivotArea>
    </format>
    <format dxfId="7534">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566"/>
          </reference>
        </references>
      </pivotArea>
    </format>
    <format dxfId="7533">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567"/>
          </reference>
        </references>
      </pivotArea>
    </format>
    <format dxfId="753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496"/>
          </reference>
        </references>
      </pivotArea>
    </format>
    <format dxfId="7531">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497"/>
          </reference>
        </references>
      </pivotArea>
    </format>
    <format dxfId="753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478"/>
          </reference>
        </references>
      </pivotArea>
    </format>
    <format dxfId="752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494"/>
          </reference>
        </references>
      </pivotArea>
    </format>
    <format dxfId="752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496"/>
          </reference>
        </references>
      </pivotArea>
    </format>
    <format dxfId="752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497"/>
          </reference>
        </references>
      </pivotArea>
    </format>
    <format dxfId="752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478"/>
          </reference>
        </references>
      </pivotArea>
    </format>
    <format dxfId="752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494"/>
          </reference>
        </references>
      </pivotArea>
    </format>
    <format dxfId="752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496"/>
          </reference>
        </references>
      </pivotArea>
    </format>
    <format dxfId="752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477"/>
          </reference>
        </references>
      </pivotArea>
    </format>
    <format dxfId="752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494"/>
          </reference>
        </references>
      </pivotArea>
    </format>
    <format dxfId="752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487"/>
          </reference>
        </references>
      </pivotArea>
    </format>
    <format dxfId="7520">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1570"/>
          </reference>
        </references>
      </pivotArea>
    </format>
    <format dxfId="7519">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576"/>
          </reference>
        </references>
      </pivotArea>
    </format>
    <format dxfId="7518">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522"/>
          </reference>
        </references>
      </pivotArea>
    </format>
    <format dxfId="7517">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502"/>
          </reference>
        </references>
      </pivotArea>
    </format>
    <format dxfId="7516">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503"/>
          </reference>
        </references>
      </pivotArea>
    </format>
    <format dxfId="7515">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505"/>
          </reference>
        </references>
      </pivotArea>
    </format>
    <format dxfId="751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523"/>
          </reference>
        </references>
      </pivotArea>
    </format>
    <format dxfId="751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526"/>
          </reference>
        </references>
      </pivotArea>
    </format>
    <format dxfId="751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524"/>
          </reference>
        </references>
      </pivotArea>
    </format>
    <format dxfId="751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525"/>
          </reference>
        </references>
      </pivotArea>
    </format>
    <format dxfId="751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488"/>
          </reference>
        </references>
      </pivotArea>
    </format>
    <format dxfId="750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484"/>
          </reference>
        </references>
      </pivotArea>
    </format>
    <format dxfId="750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485"/>
          </reference>
        </references>
      </pivotArea>
    </format>
    <format dxfId="750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486"/>
          </reference>
        </references>
      </pivotArea>
    </format>
    <format dxfId="750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487"/>
          </reference>
        </references>
      </pivotArea>
    </format>
    <format dxfId="750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523"/>
          </reference>
        </references>
      </pivotArea>
    </format>
    <format dxfId="750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526"/>
          </reference>
        </references>
      </pivotArea>
    </format>
    <format dxfId="750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524"/>
          </reference>
        </references>
      </pivotArea>
    </format>
    <format dxfId="750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525"/>
          </reference>
        </references>
      </pivotArea>
    </format>
    <format dxfId="750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488"/>
          </reference>
        </references>
      </pivotArea>
    </format>
    <format dxfId="750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484"/>
          </reference>
        </references>
      </pivotArea>
    </format>
    <format dxfId="749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485"/>
          </reference>
        </references>
      </pivotArea>
    </format>
    <format dxfId="749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486"/>
          </reference>
        </references>
      </pivotArea>
    </format>
    <format dxfId="749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487"/>
          </reference>
        </references>
      </pivotArea>
    </format>
    <format dxfId="749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523"/>
          </reference>
        </references>
      </pivotArea>
    </format>
    <format dxfId="7495">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526"/>
          </reference>
        </references>
      </pivotArea>
    </format>
    <format dxfId="749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524"/>
          </reference>
        </references>
      </pivotArea>
    </format>
    <format dxfId="749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525"/>
          </reference>
        </references>
      </pivotArea>
    </format>
    <format dxfId="749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488"/>
          </reference>
        </references>
      </pivotArea>
    </format>
    <format dxfId="749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484"/>
          </reference>
        </references>
      </pivotArea>
    </format>
    <format dxfId="749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485"/>
          </reference>
        </references>
      </pivotArea>
    </format>
    <format dxfId="748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486"/>
          </reference>
        </references>
      </pivotArea>
    </format>
    <format dxfId="748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487"/>
          </reference>
        </references>
      </pivotArea>
    </format>
    <format dxfId="748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499"/>
          </reference>
        </references>
      </pivotArea>
    </format>
    <format dxfId="7486">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501"/>
          </reference>
        </references>
      </pivotArea>
    </format>
    <format dxfId="748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500"/>
          </reference>
        </references>
      </pivotArea>
    </format>
    <format dxfId="748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487"/>
          </reference>
        </references>
      </pivotArea>
    </format>
    <format dxfId="748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489"/>
          </reference>
        </references>
      </pivotArea>
    </format>
    <format dxfId="748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490"/>
          </reference>
        </references>
      </pivotArea>
    </format>
    <format dxfId="748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491"/>
          </reference>
        </references>
      </pivotArea>
    </format>
    <format dxfId="748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492"/>
          </reference>
        </references>
      </pivotArea>
    </format>
    <format dxfId="747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489"/>
          </reference>
        </references>
      </pivotArea>
    </format>
    <format dxfId="747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490"/>
          </reference>
        </references>
      </pivotArea>
    </format>
    <format dxfId="747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491"/>
          </reference>
        </references>
      </pivotArea>
    </format>
    <format dxfId="747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492"/>
          </reference>
        </references>
      </pivotArea>
    </format>
    <format dxfId="747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480"/>
          </reference>
        </references>
      </pivotArea>
    </format>
    <format dxfId="747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482"/>
          </reference>
        </references>
      </pivotArea>
    </format>
    <format dxfId="747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483"/>
          </reference>
        </references>
      </pivotArea>
    </format>
    <format dxfId="747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481"/>
          </reference>
        </references>
      </pivotArea>
    </format>
    <format dxfId="7471">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521"/>
          </reference>
        </references>
      </pivotArea>
    </format>
    <format dxfId="7470">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480"/>
          </reference>
        </references>
      </pivotArea>
    </format>
    <format dxfId="7469">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520"/>
          </reference>
        </references>
      </pivotArea>
    </format>
    <format dxfId="746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523"/>
          </reference>
        </references>
      </pivotArea>
    </format>
    <format dxfId="746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526"/>
          </reference>
        </references>
      </pivotArea>
    </format>
    <format dxfId="746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524"/>
          </reference>
        </references>
      </pivotArea>
    </format>
    <format dxfId="746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525"/>
          </reference>
        </references>
      </pivotArea>
    </format>
    <format dxfId="746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484"/>
          </reference>
        </references>
      </pivotArea>
    </format>
    <format dxfId="746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485"/>
          </reference>
        </references>
      </pivotArea>
    </format>
    <format dxfId="746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486"/>
          </reference>
        </references>
      </pivotArea>
    </format>
    <format dxfId="746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487"/>
          </reference>
        </references>
      </pivotArea>
    </format>
    <format dxfId="746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484"/>
          </reference>
        </references>
      </pivotArea>
    </format>
    <format dxfId="745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485"/>
          </reference>
        </references>
      </pivotArea>
    </format>
    <format dxfId="745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486"/>
          </reference>
        </references>
      </pivotArea>
    </format>
    <format dxfId="745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487"/>
          </reference>
        </references>
      </pivotArea>
    </format>
    <format dxfId="7456">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611"/>
          </reference>
        </references>
      </pivotArea>
    </format>
    <format dxfId="7455">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506"/>
          </reference>
        </references>
      </pivotArea>
    </format>
    <format dxfId="7454">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617"/>
          </reference>
        </references>
      </pivotArea>
    </format>
    <format dxfId="7453">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618"/>
          </reference>
        </references>
      </pivotArea>
    </format>
    <format dxfId="7452">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617"/>
          </reference>
        </references>
      </pivotArea>
    </format>
    <format dxfId="7451">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608"/>
          </reference>
        </references>
      </pivotArea>
    </format>
    <format dxfId="7450">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615"/>
          </reference>
        </references>
      </pivotArea>
    </format>
    <format dxfId="7449">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609"/>
          </reference>
        </references>
      </pivotArea>
    </format>
    <format dxfId="7448">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612"/>
          </reference>
        </references>
      </pivotArea>
    </format>
    <format dxfId="7447">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615"/>
          </reference>
        </references>
      </pivotArea>
    </format>
    <format dxfId="7446">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583"/>
          </reference>
        </references>
      </pivotArea>
    </format>
    <format dxfId="7445">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504"/>
          </reference>
        </references>
      </pivotArea>
    </format>
    <format dxfId="744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478"/>
          </reference>
        </references>
      </pivotArea>
    </format>
    <format dxfId="744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1482"/>
          </reference>
        </references>
      </pivotArea>
    </format>
    <format dxfId="744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520"/>
          </reference>
        </references>
      </pivotArea>
    </format>
    <format dxfId="744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519"/>
          </reference>
        </references>
      </pivotArea>
    </format>
    <format dxfId="744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518"/>
          </reference>
        </references>
      </pivotArea>
    </format>
    <format dxfId="743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517"/>
          </reference>
        </references>
      </pivotArea>
    </format>
    <format dxfId="743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515"/>
          </reference>
        </references>
      </pivotArea>
    </format>
    <format dxfId="743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481"/>
          </reference>
        </references>
      </pivotArea>
    </format>
    <format dxfId="7436">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516"/>
          </reference>
        </references>
      </pivotArea>
    </format>
    <format dxfId="7435">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1616"/>
          </reference>
        </references>
      </pivotArea>
    </format>
    <format dxfId="7434">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614"/>
          </reference>
        </references>
      </pivotArea>
    </format>
    <format dxfId="7433">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478"/>
          </reference>
        </references>
      </pivotArea>
    </format>
    <format dxfId="7432">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515"/>
          </reference>
        </references>
      </pivotArea>
    </format>
    <format dxfId="7431">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614"/>
          </reference>
        </references>
      </pivotArea>
    </format>
    <format dxfId="7430">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498"/>
          </reference>
        </references>
      </pivotArea>
    </format>
    <format dxfId="7429">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562"/>
          </reference>
        </references>
      </pivotArea>
    </format>
    <format dxfId="7428">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564"/>
          </reference>
        </references>
      </pivotArea>
    </format>
    <format dxfId="7427">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1578"/>
          </reference>
        </references>
      </pivotArea>
    </format>
    <format dxfId="7426">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577"/>
          </reference>
        </references>
      </pivotArea>
    </format>
    <format dxfId="7425">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486"/>
          </reference>
        </references>
      </pivotArea>
    </format>
    <format dxfId="7424">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493"/>
          </reference>
        </references>
      </pivotArea>
    </format>
    <format dxfId="7423">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495"/>
          </reference>
        </references>
      </pivotArea>
    </format>
    <format dxfId="7422">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556"/>
          </reference>
        </references>
      </pivotArea>
    </format>
    <format dxfId="7421">
      <pivotArea field="82" type="button" dataOnly="0" labelOnly="1" outline="0" axis="axisRow" fieldPosition="9"/>
    </format>
    <format dxfId="7420">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1484"/>
          </reference>
          <reference field="82" count="1">
            <x v="27"/>
          </reference>
        </references>
      </pivotArea>
    </format>
    <format dxfId="7419">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1486"/>
          </reference>
          <reference field="82" count="1">
            <x v="31"/>
          </reference>
        </references>
      </pivotArea>
    </format>
    <format dxfId="7418">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1509"/>
          </reference>
          <reference field="82" count="1">
            <x v="29"/>
          </reference>
        </references>
      </pivotArea>
    </format>
    <format dxfId="7417">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1509"/>
          </reference>
          <reference field="82" count="1">
            <x v="29"/>
          </reference>
        </references>
      </pivotArea>
    </format>
    <format dxfId="7416">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1496"/>
          </reference>
          <reference field="82" count="1">
            <x v="28"/>
          </reference>
        </references>
      </pivotArea>
    </format>
    <format dxfId="7415">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484"/>
          </reference>
          <reference field="82" count="1">
            <x v="27"/>
          </reference>
        </references>
      </pivotArea>
    </format>
    <format dxfId="741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484"/>
          </reference>
          <reference field="82" count="1">
            <x v="27"/>
          </reference>
        </references>
      </pivotArea>
    </format>
    <format dxfId="741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484"/>
          </reference>
          <reference field="82" count="1">
            <x v="27"/>
          </reference>
        </references>
      </pivotArea>
    </format>
    <format dxfId="7412">
      <pivotArea field="87" type="button" dataOnly="0" labelOnly="1" outline="0" axis="axisRow" fieldPosition="12"/>
    </format>
    <format dxfId="7411">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484"/>
          </reference>
          <reference field="82" count="1" selected="0">
            <x v="27"/>
          </reference>
          <reference field="85" count="1" selected="0">
            <x v="0"/>
          </reference>
          <reference field="87" count="1">
            <x v="937"/>
          </reference>
        </references>
      </pivotArea>
    </format>
    <format dxfId="7410">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1486"/>
          </reference>
          <reference field="82" count="1" selected="0">
            <x v="31"/>
          </reference>
          <reference field="85" count="1" selected="0">
            <x v="0"/>
          </reference>
          <reference field="87" count="1">
            <x v="932"/>
          </reference>
        </references>
      </pivotArea>
    </format>
    <format dxfId="7409">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509"/>
          </reference>
          <reference field="82" count="1" selected="0">
            <x v="29"/>
          </reference>
          <reference field="85" count="1" selected="0">
            <x v="2"/>
          </reference>
          <reference field="87" count="1">
            <x v="845"/>
          </reference>
        </references>
      </pivotArea>
    </format>
    <format dxfId="7408">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509"/>
          </reference>
          <reference field="82" count="1" selected="0">
            <x v="29"/>
          </reference>
          <reference field="85" count="1" selected="0">
            <x v="2"/>
          </reference>
          <reference field="87" count="1">
            <x v="845"/>
          </reference>
        </references>
      </pivotArea>
    </format>
    <format dxfId="7407">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496"/>
          </reference>
          <reference field="82" count="1" selected="0">
            <x v="28"/>
          </reference>
          <reference field="85" count="1" selected="0">
            <x v="4"/>
          </reference>
          <reference field="87" count="1">
            <x v="832"/>
          </reference>
        </references>
      </pivotArea>
    </format>
    <format dxfId="7406">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484"/>
          </reference>
          <reference field="82" count="1" selected="0">
            <x v="27"/>
          </reference>
          <reference field="85" count="1" selected="0">
            <x v="4"/>
          </reference>
          <reference field="87" count="1">
            <x v="820"/>
          </reference>
        </references>
      </pivotArea>
    </format>
    <format dxfId="740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484"/>
          </reference>
          <reference field="82" count="1" selected="0">
            <x v="27"/>
          </reference>
          <reference field="85" count="1" selected="0">
            <x v="4"/>
          </reference>
          <reference field="87" count="1">
            <x v="820"/>
          </reference>
        </references>
      </pivotArea>
    </format>
    <format dxfId="740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484"/>
          </reference>
          <reference field="82" count="1" selected="0">
            <x v="27"/>
          </reference>
          <reference field="85" count="1" selected="0">
            <x v="4"/>
          </reference>
          <reference field="87" count="1">
            <x v="820"/>
          </reference>
        </references>
      </pivotArea>
    </format>
    <format dxfId="7403">
      <pivotArea field="88" type="button" dataOnly="0" labelOnly="1" outline="0" axis="axisRow" fieldPosition="13"/>
    </format>
    <format dxfId="7402">
      <pivotArea field="13" type="button" dataOnly="0" labelOnly="1" outline="0" axis="axisRow" fieldPosition="6"/>
    </format>
    <format dxfId="7401">
      <pivotArea field="13" type="button" dataOnly="0" labelOnly="1" outline="0" axis="axisRow" fieldPosition="6"/>
    </format>
    <format dxfId="7400">
      <pivotArea field="13" type="button" dataOnly="0" labelOnly="1" outline="0" axis="axisRow" fieldPosition="6"/>
    </format>
    <format dxfId="7399">
      <pivotArea field="13" type="button" dataOnly="0" labelOnly="1" outline="0" axis="axisRow" fieldPosition="6"/>
    </format>
    <format dxfId="7398">
      <pivotArea field="72" type="button" dataOnly="0" labelOnly="1" outline="0" axis="axisRow" fieldPosition="5"/>
    </format>
    <format dxfId="7397">
      <pivotArea field="13" type="button" dataOnly="0" labelOnly="1" outline="0" axis="axisRow" fieldPosition="6"/>
    </format>
    <format dxfId="7396">
      <pivotArea field="81" type="button" dataOnly="0" labelOnly="1" outline="0" axis="axisRow" fieldPosition="8"/>
    </format>
    <format dxfId="7395">
      <pivotArea field="82" type="button" dataOnly="0" labelOnly="1" outline="0" axis="axisRow" fieldPosition="9"/>
    </format>
    <format dxfId="7394">
      <pivotArea field="87" type="button" dataOnly="0" labelOnly="1" outline="0" axis="axisRow" fieldPosition="12"/>
    </format>
    <format dxfId="7393">
      <pivotArea field="88" type="button" dataOnly="0" labelOnly="1" outline="0" axis="axisRow" fieldPosition="13"/>
    </format>
    <format dxfId="7392">
      <pivotArea field="72" type="button" dataOnly="0" labelOnly="1" outline="0" axis="axisRow" fieldPosition="5"/>
    </format>
    <format dxfId="7391">
      <pivotArea field="13" type="button" dataOnly="0" labelOnly="1" outline="0" axis="axisRow" fieldPosition="6"/>
    </format>
    <format dxfId="7390">
      <pivotArea field="81" type="button" dataOnly="0" labelOnly="1" outline="0" axis="axisRow" fieldPosition="8"/>
    </format>
    <format dxfId="7389">
      <pivotArea field="82" type="button" dataOnly="0" labelOnly="1" outline="0" axis="axisRow" fieldPosition="9"/>
    </format>
    <format dxfId="7388">
      <pivotArea field="87" type="button" dataOnly="0" labelOnly="1" outline="0" axis="axisRow" fieldPosition="12"/>
    </format>
    <format dxfId="7387">
      <pivotArea field="88" type="button" dataOnly="0" labelOnly="1" outline="0" axis="axisRow" fieldPosition="13"/>
    </format>
    <format dxfId="7386">
      <pivotArea dataOnly="0" labelOnly="1" outline="0" fieldPosition="0">
        <references count="1">
          <reference field="1" count="0"/>
        </references>
      </pivotArea>
    </format>
    <format dxfId="7385">
      <pivotArea dataOnly="0" labelOnly="1" outline="0" fieldPosition="0">
        <references count="3">
          <reference field="1" count="1" selected="0">
            <x v="2"/>
          </reference>
          <reference field="2" count="1">
            <x v="3"/>
          </reference>
          <reference field="3" count="1" selected="0">
            <x v="0"/>
          </reference>
        </references>
      </pivotArea>
    </format>
    <format dxfId="7384">
      <pivotArea dataOnly="0" labelOnly="1" outline="0" fieldPosition="0">
        <references count="5">
          <reference field="1" count="1" selected="0">
            <x v="13"/>
          </reference>
          <reference field="2" count="1" selected="0">
            <x v="10"/>
          </reference>
          <reference field="3" count="1" selected="0">
            <x v="4"/>
          </reference>
          <reference field="5" count="1" selected="0">
            <x v="0"/>
          </reference>
          <reference field="23" count="1">
            <x v="2"/>
          </reference>
        </references>
      </pivotArea>
    </format>
    <format dxfId="7383">
      <pivotArea field="72" type="button" dataOnly="0" labelOnly="1" outline="0" axis="axisRow" fieldPosition="5"/>
    </format>
    <format dxfId="7382">
      <pivotArea field="81" type="button" dataOnly="0" labelOnly="1" outline="0" axis="axisRow" fieldPosition="8"/>
    </format>
    <format dxfId="7381">
      <pivotArea field="82" type="button" dataOnly="0" labelOnly="1" outline="0" axis="axisRow" fieldPosition="9"/>
    </format>
    <format dxfId="7380">
      <pivotArea field="87" type="button" dataOnly="0" labelOnly="1" outline="0" axis="axisRow" fieldPosition="12"/>
    </format>
    <format dxfId="7379">
      <pivotArea field="88" type="button" dataOnly="0" labelOnly="1" outline="0" axis="axisRow" fieldPosition="13"/>
    </format>
    <format dxfId="7378">
      <pivotArea field="13" type="button" dataOnly="0" labelOnly="1" outline="0" axis="axisRow" fieldPosition="6"/>
    </format>
    <format dxfId="7377">
      <pivotArea field="1" type="button" dataOnly="0" labelOnly="1" outline="0" axis="axisRow" fieldPosition="0"/>
    </format>
    <format dxfId="7376">
      <pivotArea field="3" type="button" dataOnly="0" labelOnly="1" outline="0" axis="axisRow" fieldPosition="1"/>
    </format>
    <format dxfId="7375">
      <pivotArea field="2" type="button" dataOnly="0" labelOnly="1" outline="0" axis="axisRow" fieldPosition="2"/>
    </format>
    <format dxfId="7374">
      <pivotArea field="5" type="button" dataOnly="0" labelOnly="1" outline="0" axis="axisRow" fieldPosition="3"/>
    </format>
    <format dxfId="7373">
      <pivotArea field="23" type="button" dataOnly="0" labelOnly="1" outline="0" axis="axisRow" fieldPosition="4"/>
    </format>
    <format dxfId="7372">
      <pivotArea field="72" type="button" dataOnly="0" labelOnly="1" outline="0" axis="axisRow" fieldPosition="5"/>
    </format>
    <format dxfId="7371">
      <pivotArea field="13" type="button" dataOnly="0" labelOnly="1" outline="0" axis="axisRow" fieldPosition="6"/>
    </format>
    <format dxfId="7370">
      <pivotArea field="22" type="button" dataOnly="0" labelOnly="1" outline="0" axis="axisRow" fieldPosition="7"/>
    </format>
    <format dxfId="7369">
      <pivotArea field="81" type="button" dataOnly="0" labelOnly="1" outline="0" axis="axisRow" fieldPosition="8"/>
    </format>
    <format dxfId="7368">
      <pivotArea field="82" type="button" dataOnly="0" labelOnly="1" outline="0" axis="axisRow" fieldPosition="9"/>
    </format>
    <format dxfId="7367">
      <pivotArea field="12" type="button" dataOnly="0" labelOnly="1" outline="0" axis="axisRow" fieldPosition="10"/>
    </format>
    <format dxfId="7366">
      <pivotArea field="85" type="button" dataOnly="0" labelOnly="1" outline="0" axis="axisRow" fieldPosition="11"/>
    </format>
    <format dxfId="7365">
      <pivotArea field="87" type="button" dataOnly="0" labelOnly="1" outline="0" axis="axisRow" fieldPosition="12"/>
    </format>
    <format dxfId="7364">
      <pivotArea field="88" type="button" dataOnly="0" labelOnly="1" outline="0" axis="axisRow" fieldPosition="13"/>
    </format>
    <format dxfId="7363">
      <pivotArea field="73" type="button" dataOnly="0" labelOnly="1" outline="0" axis="axisRow" fieldPosition="14"/>
    </format>
    <format dxfId="7362">
      <pivotArea field="1" type="button" dataOnly="0" labelOnly="1" outline="0" axis="axisRow" fieldPosition="0"/>
    </format>
    <format dxfId="7361">
      <pivotArea field="3" type="button" dataOnly="0" labelOnly="1" outline="0" axis="axisRow" fieldPosition="1"/>
    </format>
    <format dxfId="7360">
      <pivotArea field="2" type="button" dataOnly="0" labelOnly="1" outline="0" axis="axisRow" fieldPosition="2"/>
    </format>
    <format dxfId="7359">
      <pivotArea field="5" type="button" dataOnly="0" labelOnly="1" outline="0" axis="axisRow" fieldPosition="3"/>
    </format>
    <format dxfId="7358">
      <pivotArea field="23" type="button" dataOnly="0" labelOnly="1" outline="0" axis="axisRow" fieldPosition="4"/>
    </format>
    <format dxfId="7357">
      <pivotArea field="72" type="button" dataOnly="0" labelOnly="1" outline="0" axis="axisRow" fieldPosition="5"/>
    </format>
    <format dxfId="7356">
      <pivotArea field="13" type="button" dataOnly="0" labelOnly="1" outline="0" axis="axisRow" fieldPosition="6"/>
    </format>
    <format dxfId="7355">
      <pivotArea field="22" type="button" dataOnly="0" labelOnly="1" outline="0" axis="axisRow" fieldPosition="7"/>
    </format>
    <format dxfId="7354">
      <pivotArea field="81" type="button" dataOnly="0" labelOnly="1" outline="0" axis="axisRow" fieldPosition="8"/>
    </format>
    <format dxfId="7353">
      <pivotArea field="82" type="button" dataOnly="0" labelOnly="1" outline="0" axis="axisRow" fieldPosition="9"/>
    </format>
    <format dxfId="7352">
      <pivotArea field="12" type="button" dataOnly="0" labelOnly="1" outline="0" axis="axisRow" fieldPosition="10"/>
    </format>
    <format dxfId="7351">
      <pivotArea field="85" type="button" dataOnly="0" labelOnly="1" outline="0" axis="axisRow" fieldPosition="11"/>
    </format>
    <format dxfId="7350">
      <pivotArea field="87" type="button" dataOnly="0" labelOnly="1" outline="0" axis="axisRow" fieldPosition="12"/>
    </format>
    <format dxfId="7349">
      <pivotArea field="88" type="button" dataOnly="0" labelOnly="1" outline="0" axis="axisRow" fieldPosition="13"/>
    </format>
    <format dxfId="7348">
      <pivotArea field="73" type="button" dataOnly="0" labelOnly="1" outline="0" axis="axisRow" fieldPosition="14"/>
    </format>
    <format dxfId="7347">
      <pivotArea field="1" type="button" dataOnly="0" labelOnly="1" outline="0" axis="axisRow" fieldPosition="0"/>
    </format>
    <format dxfId="7346">
      <pivotArea field="3" type="button" dataOnly="0" labelOnly="1" outline="0" axis="axisRow" fieldPosition="1"/>
    </format>
    <format dxfId="7345">
      <pivotArea field="2" type="button" dataOnly="0" labelOnly="1" outline="0" axis="axisRow" fieldPosition="2"/>
    </format>
    <format dxfId="7344">
      <pivotArea field="5" type="button" dataOnly="0" labelOnly="1" outline="0" axis="axisRow" fieldPosition="3"/>
    </format>
    <format dxfId="7343">
      <pivotArea field="23" type="button" dataOnly="0" labelOnly="1" outline="0" axis="axisRow" fieldPosition="4"/>
    </format>
    <format dxfId="7342">
      <pivotArea field="72" type="button" dataOnly="0" labelOnly="1" outline="0" axis="axisRow" fieldPosition="5"/>
    </format>
    <format dxfId="7341">
      <pivotArea field="13" type="button" dataOnly="0" labelOnly="1" outline="0" axis="axisRow" fieldPosition="6"/>
    </format>
    <format dxfId="7340">
      <pivotArea field="22" type="button" dataOnly="0" labelOnly="1" outline="0" axis="axisRow" fieldPosition="7"/>
    </format>
    <format dxfId="7339">
      <pivotArea field="81" type="button" dataOnly="0" labelOnly="1" outline="0" axis="axisRow" fieldPosition="8"/>
    </format>
    <format dxfId="7338">
      <pivotArea field="82" type="button" dataOnly="0" labelOnly="1" outline="0" axis="axisRow" fieldPosition="9"/>
    </format>
    <format dxfId="7337">
      <pivotArea field="12" type="button" dataOnly="0" labelOnly="1" outline="0" axis="axisRow" fieldPosition="10"/>
    </format>
    <format dxfId="7336">
      <pivotArea field="85" type="button" dataOnly="0" labelOnly="1" outline="0" axis="axisRow" fieldPosition="11"/>
    </format>
    <format dxfId="7335">
      <pivotArea field="87" type="button" dataOnly="0" labelOnly="1" outline="0" axis="axisRow" fieldPosition="12"/>
    </format>
    <format dxfId="7334">
      <pivotArea field="88" type="button" dataOnly="0" labelOnly="1" outline="0" axis="axisRow" fieldPosition="13"/>
    </format>
    <format dxfId="7333">
      <pivotArea field="73" type="button" dataOnly="0" labelOnly="1" outline="0" axis="axisRow" fieldPosition="14"/>
    </format>
    <format dxfId="7332">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93"/>
          </reference>
        </references>
      </pivotArea>
    </format>
    <format dxfId="7331">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06"/>
          </reference>
          <reference field="82" count="1" selected="0">
            <x v="220"/>
          </reference>
        </references>
      </pivotArea>
    </format>
    <format dxfId="7330">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892"/>
          </reference>
          <reference field="82" count="1" selected="0">
            <x v="306"/>
          </reference>
        </references>
      </pivotArea>
    </format>
    <format dxfId="7329">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12"/>
          </reference>
          <reference field="82" count="1" selected="0">
            <x v="226"/>
          </reference>
        </references>
      </pivotArea>
    </format>
    <format dxfId="7328">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1739"/>
          </reference>
          <reference field="82" count="1" selected="0">
            <x v="153"/>
          </reference>
        </references>
      </pivotArea>
    </format>
    <format dxfId="7327">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12"/>
          </reference>
          <reference field="82" count="1" selected="0">
            <x v="226"/>
          </reference>
        </references>
      </pivotArea>
    </format>
    <format dxfId="7326">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1734"/>
          </reference>
          <reference field="82" count="1" selected="0">
            <x v="148"/>
          </reference>
        </references>
      </pivotArea>
    </format>
    <format dxfId="7325">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10"/>
          </reference>
          <reference field="82" count="1" selected="0">
            <x v="224"/>
          </reference>
        </references>
      </pivotArea>
    </format>
    <format dxfId="7324">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1727"/>
          </reference>
          <reference field="82" count="1" selected="0">
            <x v="141"/>
          </reference>
        </references>
      </pivotArea>
    </format>
    <format dxfId="7323">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02"/>
          </reference>
          <reference field="82" count="1" selected="0">
            <x v="216"/>
          </reference>
        </references>
      </pivotArea>
    </format>
    <format dxfId="7322">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884"/>
          </reference>
          <reference field="82" count="1" selected="0">
            <x v="298"/>
          </reference>
        </references>
      </pivotArea>
    </format>
    <format dxfId="7321">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1660"/>
          </reference>
          <reference field="82" count="1" selected="0">
            <x v="72"/>
          </reference>
        </references>
      </pivotArea>
    </format>
    <format dxfId="7320">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1703"/>
          </reference>
          <reference field="82" count="1" selected="0">
            <x v="116"/>
          </reference>
        </references>
      </pivotArea>
    </format>
    <format dxfId="7319">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1734"/>
          </reference>
          <reference field="82" count="1" selected="0">
            <x v="148"/>
          </reference>
        </references>
      </pivotArea>
    </format>
    <format dxfId="7318">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1659"/>
          </reference>
          <reference field="82" count="1" selected="0">
            <x v="71"/>
          </reference>
        </references>
      </pivotArea>
    </format>
    <format dxfId="7317">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04"/>
          </reference>
          <reference field="82" count="1" selected="0">
            <x v="218"/>
          </reference>
        </references>
      </pivotArea>
    </format>
    <format dxfId="7316">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1484"/>
          </reference>
          <reference field="82" count="1" selected="0">
            <x v="27"/>
          </reference>
        </references>
      </pivotArea>
    </format>
    <format dxfId="7315">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08"/>
          </reference>
          <reference field="82" count="1" selected="0">
            <x v="222"/>
          </reference>
        </references>
      </pivotArea>
    </format>
    <format dxfId="7314">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888"/>
          </reference>
          <reference field="82" count="1" selected="0">
            <x v="302"/>
          </reference>
        </references>
      </pivotArea>
    </format>
    <format dxfId="7313">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12"/>
          </reference>
          <reference field="82" count="1" selected="0">
            <x v="226"/>
          </reference>
        </references>
      </pivotArea>
    </format>
    <format dxfId="7312">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1741"/>
          </reference>
          <reference field="82" count="1" selected="0">
            <x v="155"/>
          </reference>
        </references>
      </pivotArea>
    </format>
    <format dxfId="7311">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1656"/>
          </reference>
          <reference field="82" count="1" selected="0">
            <x v="68"/>
          </reference>
        </references>
      </pivotArea>
    </format>
    <format dxfId="7310">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1742"/>
          </reference>
          <reference field="82" count="1" selected="0">
            <x v="156"/>
          </reference>
        </references>
      </pivotArea>
    </format>
    <format dxfId="7309">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1814"/>
          </reference>
          <reference field="82" count="1" selected="0">
            <x v="228"/>
          </reference>
        </references>
      </pivotArea>
    </format>
    <format dxfId="7308">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1745"/>
          </reference>
          <reference field="82" count="1" selected="0">
            <x v="159"/>
          </reference>
        </references>
      </pivotArea>
    </format>
    <format dxfId="7307">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1821"/>
          </reference>
          <reference field="82" count="1" selected="0">
            <x v="235"/>
          </reference>
        </references>
      </pivotArea>
    </format>
    <format dxfId="7306">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1754"/>
          </reference>
          <reference field="82" count="1" selected="0">
            <x v="168"/>
          </reference>
        </references>
      </pivotArea>
    </format>
    <format dxfId="7305">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1633"/>
          </reference>
          <reference field="82" count="1" selected="0">
            <x v="44"/>
          </reference>
        </references>
      </pivotArea>
    </format>
    <format dxfId="7304">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1694"/>
          </reference>
          <reference field="82" count="1" selected="0">
            <x v="107"/>
          </reference>
        </references>
      </pivotArea>
    </format>
    <format dxfId="7303">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1751"/>
          </reference>
          <reference field="82" count="1" selected="0">
            <x v="165"/>
          </reference>
        </references>
      </pivotArea>
    </format>
    <format dxfId="7302">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93"/>
          </reference>
          <reference field="81" count="1" selected="0">
            <x v="1835"/>
          </reference>
          <reference field="82" count="1" selected="0">
            <x v="249"/>
          </reference>
        </references>
      </pivotArea>
    </format>
    <format dxfId="7301">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1717"/>
          </reference>
          <reference field="82" count="1" selected="0">
            <x v="131"/>
          </reference>
        </references>
      </pivotArea>
    </format>
    <format dxfId="7300">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1657"/>
          </reference>
          <reference field="82" count="1" selected="0">
            <x v="69"/>
          </reference>
        </references>
      </pivotArea>
    </format>
    <format dxfId="7299">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1698"/>
          </reference>
          <reference field="82" count="1" selected="0">
            <x v="111"/>
          </reference>
        </references>
      </pivotArea>
    </format>
    <format dxfId="7298">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1713"/>
          </reference>
          <reference field="82" count="1" selected="0">
            <x v="127"/>
          </reference>
        </references>
      </pivotArea>
    </format>
    <format dxfId="7297">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1827"/>
          </reference>
          <reference field="82" count="1" selected="0">
            <x v="241"/>
          </reference>
        </references>
      </pivotArea>
    </format>
    <format dxfId="7296">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1719"/>
          </reference>
          <reference field="82" count="1" selected="0">
            <x v="133"/>
          </reference>
        </references>
      </pivotArea>
    </format>
    <format dxfId="7295">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1642"/>
          </reference>
          <reference field="82" count="1" selected="0">
            <x v="53"/>
          </reference>
        </references>
      </pivotArea>
    </format>
    <format dxfId="7294">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1722"/>
          </reference>
          <reference field="82" count="1" selected="0">
            <x v="136"/>
          </reference>
        </references>
      </pivotArea>
    </format>
    <format dxfId="7293">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1781"/>
          </reference>
          <reference field="82" count="1" selected="0">
            <x v="195"/>
          </reference>
        </references>
      </pivotArea>
    </format>
    <format dxfId="7292">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1725"/>
          </reference>
          <reference field="82" count="1" selected="0">
            <x v="139"/>
          </reference>
        </references>
      </pivotArea>
    </format>
    <format dxfId="7291">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1818"/>
          </reference>
          <reference field="82" count="1" selected="0">
            <x v="232"/>
          </reference>
        </references>
      </pivotArea>
    </format>
    <format dxfId="7290">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845"/>
          </reference>
          <reference field="82" count="1" selected="0">
            <x v="259"/>
          </reference>
        </references>
      </pivotArea>
    </format>
    <format dxfId="7289">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1622"/>
          </reference>
          <reference field="82" count="1" selected="0">
            <x v="33"/>
          </reference>
        </references>
      </pivotArea>
    </format>
    <format dxfId="7288">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841"/>
          </reference>
          <reference field="82" count="1" selected="0">
            <x v="255"/>
          </reference>
        </references>
      </pivotArea>
    </format>
    <format dxfId="7287">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837"/>
          </reference>
          <reference field="82" count="1" selected="0">
            <x v="251"/>
          </reference>
        </references>
      </pivotArea>
    </format>
    <format dxfId="7286">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1758"/>
          </reference>
          <reference field="82" count="1" selected="0">
            <x v="172"/>
          </reference>
        </references>
      </pivotArea>
    </format>
    <format dxfId="7285">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1635"/>
          </reference>
          <reference field="82" count="1" selected="0">
            <x v="46"/>
          </reference>
        </references>
      </pivotArea>
    </format>
    <format dxfId="7284">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1688"/>
          </reference>
          <reference field="82" count="1" selected="0">
            <x v="101"/>
          </reference>
        </references>
      </pivotArea>
    </format>
    <format dxfId="7283">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1769"/>
          </reference>
          <reference field="82" count="1" selected="0">
            <x v="183"/>
          </reference>
        </references>
      </pivotArea>
    </format>
    <format dxfId="7282">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1833"/>
          </reference>
          <reference field="82" count="1" selected="0">
            <x v="247"/>
          </reference>
        </references>
      </pivotArea>
    </format>
    <format dxfId="7281">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1644"/>
          </reference>
          <reference field="82" count="1" selected="0">
            <x v="55"/>
          </reference>
        </references>
      </pivotArea>
    </format>
    <format dxfId="7280">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1685"/>
          </reference>
          <reference field="82" count="1" selected="0">
            <x v="97"/>
          </reference>
        </references>
      </pivotArea>
    </format>
    <format dxfId="7279">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1766"/>
          </reference>
          <reference field="82" count="1" selected="0">
            <x v="180"/>
          </reference>
        </references>
      </pivotArea>
    </format>
    <format dxfId="7278">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1832"/>
          </reference>
          <reference field="82" count="1" selected="0">
            <x v="246"/>
          </reference>
        </references>
      </pivotArea>
    </format>
    <format dxfId="7277">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1700"/>
          </reference>
          <reference field="82" count="1" selected="0">
            <x v="113"/>
          </reference>
        </references>
      </pivotArea>
    </format>
    <format dxfId="7276">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1760"/>
          </reference>
          <reference field="82" count="1" selected="0">
            <x v="174"/>
          </reference>
        </references>
      </pivotArea>
    </format>
    <format dxfId="7275">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1773"/>
          </reference>
          <reference field="82" count="1" selected="0">
            <x v="187"/>
          </reference>
        </references>
      </pivotArea>
    </format>
    <format dxfId="7274">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1701"/>
          </reference>
          <reference field="82" count="1" selected="0">
            <x v="114"/>
          </reference>
        </references>
      </pivotArea>
    </format>
    <format dxfId="7273">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1763"/>
          </reference>
          <reference field="82" count="1" selected="0">
            <x v="177"/>
          </reference>
        </references>
      </pivotArea>
    </format>
    <format dxfId="7272">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1776"/>
          </reference>
          <reference field="82" count="1" selected="0">
            <x v="190"/>
          </reference>
        </references>
      </pivotArea>
    </format>
    <format dxfId="7271">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1830"/>
          </reference>
          <reference field="82" count="1" selected="0">
            <x v="244"/>
          </reference>
        </references>
      </pivotArea>
    </format>
    <format dxfId="7270">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70"/>
          </reference>
          <reference field="81" count="1" selected="0">
            <x v="1900"/>
          </reference>
          <reference field="82" count="1" selected="0">
            <x v="314"/>
          </reference>
        </references>
      </pivotArea>
    </format>
    <format dxfId="7269">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1652"/>
          </reference>
          <reference field="82" count="1" selected="0">
            <x v="64"/>
          </reference>
        </references>
      </pivotArea>
    </format>
    <format dxfId="7268">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1801"/>
          </reference>
          <reference field="82" count="1" selected="0">
            <x v="215"/>
          </reference>
        </references>
      </pivotArea>
    </format>
    <format dxfId="7267">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1917"/>
          </reference>
          <reference field="82" count="1" selected="0">
            <x v="331"/>
          </reference>
        </references>
      </pivotArea>
    </format>
    <format dxfId="7266">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1920"/>
          </reference>
          <reference field="82" count="1" selected="0">
            <x v="334"/>
          </reference>
        </references>
      </pivotArea>
    </format>
    <format dxfId="7265">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1867"/>
          </reference>
          <reference field="82" count="1" selected="0">
            <x v="281"/>
          </reference>
        </references>
      </pivotArea>
    </format>
    <format dxfId="7264">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1862"/>
          </reference>
          <reference field="82" count="1" selected="0">
            <x v="276"/>
          </reference>
        </references>
      </pivotArea>
    </format>
    <format dxfId="7263">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1857"/>
          </reference>
          <reference field="82" count="1" selected="0">
            <x v="271"/>
          </reference>
        </references>
      </pivotArea>
    </format>
    <format dxfId="7262">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1913"/>
          </reference>
          <reference field="82" count="1" selected="0">
            <x v="327"/>
          </reference>
        </references>
      </pivotArea>
    </format>
    <format dxfId="7261">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1799"/>
          </reference>
          <reference field="82" count="1" selected="0">
            <x v="213"/>
          </reference>
        </references>
      </pivotArea>
    </format>
    <format dxfId="7260">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1509"/>
          </reference>
          <reference field="82" count="1" selected="0">
            <x v="29"/>
          </reference>
        </references>
      </pivotArea>
    </format>
    <format dxfId="7259">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1628"/>
          </reference>
          <reference field="82" count="1" selected="0">
            <x v="39"/>
          </reference>
        </references>
      </pivotArea>
    </format>
    <format dxfId="7258">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1665"/>
          </reference>
          <reference field="82" count="1" selected="0">
            <x v="77"/>
          </reference>
        </references>
      </pivotArea>
    </format>
    <format dxfId="7257">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1658"/>
          </reference>
          <reference field="82" count="1" selected="0">
            <x v="70"/>
          </reference>
        </references>
      </pivotArea>
    </format>
    <format dxfId="7256">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1627"/>
          </reference>
          <reference field="82" count="1" selected="0">
            <x v="38"/>
          </reference>
        </references>
      </pivotArea>
    </format>
    <format dxfId="7255">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1919"/>
          </reference>
          <reference field="82" count="1" selected="0">
            <x v="333"/>
          </reference>
        </references>
      </pivotArea>
    </format>
    <format dxfId="7254">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1784"/>
          </reference>
          <reference field="82" count="1" selected="0">
            <x v="198"/>
          </reference>
        </references>
      </pivotArea>
    </format>
    <format dxfId="7253">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1664"/>
          </reference>
          <reference field="82" count="1" selected="0">
            <x v="76"/>
          </reference>
        </references>
      </pivotArea>
    </format>
    <format dxfId="7252">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1662"/>
          </reference>
          <reference field="82" count="1" selected="0">
            <x v="74"/>
          </reference>
        </references>
      </pivotArea>
    </format>
    <format dxfId="7251">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1795"/>
          </reference>
          <reference field="82" count="1" selected="0">
            <x v="209"/>
          </reference>
        </references>
      </pivotArea>
    </format>
    <format dxfId="7250">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1663"/>
          </reference>
          <reference field="82" count="1" selected="0">
            <x v="75"/>
          </reference>
        </references>
      </pivotArea>
    </format>
    <format dxfId="7249">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1911"/>
          </reference>
          <reference field="82" count="1" selected="0">
            <x v="325"/>
          </reference>
        </references>
      </pivotArea>
    </format>
    <format dxfId="7248">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1820"/>
          </reference>
          <reference field="82" count="1" selected="0">
            <x v="234"/>
          </reference>
        </references>
      </pivotArea>
    </format>
    <format dxfId="7247">
      <pivotArea dataOnly="0" labelOnly="1" outline="0" fieldPosition="0">
        <references count="11">
          <reference field="1" count="1" selected="0">
            <x v="49"/>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7"/>
          </reference>
          <reference field="81" count="1" selected="0">
            <x v="1896"/>
          </reference>
          <reference field="82" count="1" selected="0">
            <x v="310"/>
          </reference>
        </references>
      </pivotArea>
    </format>
    <format dxfId="7246">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06"/>
          </reference>
          <reference field="82" count="1" selected="0">
            <x v="220"/>
          </reference>
          <reference field="85" count="1">
            <x v="7"/>
          </reference>
        </references>
      </pivotArea>
    </format>
    <format dxfId="7245">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892"/>
          </reference>
          <reference field="82" count="1" selected="0">
            <x v="306"/>
          </reference>
          <reference field="85" count="1">
            <x v="4"/>
          </reference>
        </references>
      </pivotArea>
    </format>
    <format dxfId="7244">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12"/>
          </reference>
          <reference field="82" count="1" selected="0">
            <x v="226"/>
          </reference>
          <reference field="85" count="1">
            <x v="7"/>
          </reference>
        </references>
      </pivotArea>
    </format>
    <format dxfId="7243">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739"/>
          </reference>
          <reference field="82" count="1" selected="0">
            <x v="153"/>
          </reference>
          <reference field="85" count="1">
            <x v="0"/>
          </reference>
        </references>
      </pivotArea>
    </format>
    <format dxfId="7242">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12"/>
          </reference>
          <reference field="82" count="1" selected="0">
            <x v="226"/>
          </reference>
          <reference field="85" count="1">
            <x v="7"/>
          </reference>
        </references>
      </pivotArea>
    </format>
    <format dxfId="7241">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734"/>
          </reference>
          <reference field="82" count="1" selected="0">
            <x v="148"/>
          </reference>
          <reference field="85" count="1">
            <x v="0"/>
          </reference>
        </references>
      </pivotArea>
    </format>
    <format dxfId="7240">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10"/>
          </reference>
          <reference field="82" count="1" selected="0">
            <x v="224"/>
          </reference>
          <reference field="85" count="1">
            <x v="7"/>
          </reference>
        </references>
      </pivotArea>
    </format>
    <format dxfId="7239">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1727"/>
          </reference>
          <reference field="82" count="1" selected="0">
            <x v="141"/>
          </reference>
          <reference field="85" count="1">
            <x v="0"/>
          </reference>
        </references>
      </pivotArea>
    </format>
    <format dxfId="7238">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02"/>
          </reference>
          <reference field="82" count="1" selected="0">
            <x v="216"/>
          </reference>
          <reference field="85" count="1">
            <x v="7"/>
          </reference>
        </references>
      </pivotArea>
    </format>
    <format dxfId="7237">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884"/>
          </reference>
          <reference field="82" count="1" selected="0">
            <x v="298"/>
          </reference>
          <reference field="85" count="1">
            <x v="4"/>
          </reference>
        </references>
      </pivotArea>
    </format>
    <format dxfId="7236">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660"/>
          </reference>
          <reference field="82" count="1" selected="0">
            <x v="72"/>
          </reference>
          <reference field="85" count="1">
            <x v="7"/>
          </reference>
        </references>
      </pivotArea>
    </format>
    <format dxfId="7235">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1703"/>
          </reference>
          <reference field="82" count="1" selected="0">
            <x v="116"/>
          </reference>
          <reference field="85" count="1">
            <x v="4"/>
          </reference>
        </references>
      </pivotArea>
    </format>
    <format dxfId="7234">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734"/>
          </reference>
          <reference field="82" count="1" selected="0">
            <x v="148"/>
          </reference>
          <reference field="85" count="1">
            <x v="0"/>
          </reference>
        </references>
      </pivotArea>
    </format>
    <format dxfId="7233">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659"/>
          </reference>
          <reference field="82" count="1" selected="0">
            <x v="71"/>
          </reference>
          <reference field="85" count="1">
            <x v="7"/>
          </reference>
        </references>
      </pivotArea>
    </format>
    <format dxfId="7232">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04"/>
          </reference>
          <reference field="82" count="1" selected="0">
            <x v="218"/>
          </reference>
          <reference field="85" count="1">
            <x v="7"/>
          </reference>
        </references>
      </pivotArea>
    </format>
    <format dxfId="7231">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484"/>
          </reference>
          <reference field="82" count="1" selected="0">
            <x v="27"/>
          </reference>
          <reference field="85" count="1">
            <x v="0"/>
          </reference>
        </references>
      </pivotArea>
    </format>
    <format dxfId="7230">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08"/>
          </reference>
          <reference field="82" count="1" selected="0">
            <x v="222"/>
          </reference>
          <reference field="85" count="1">
            <x v="7"/>
          </reference>
        </references>
      </pivotArea>
    </format>
    <format dxfId="7229">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888"/>
          </reference>
          <reference field="82" count="1" selected="0">
            <x v="302"/>
          </reference>
          <reference field="85" count="1">
            <x v="4"/>
          </reference>
        </references>
      </pivotArea>
    </format>
    <format dxfId="7228">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12"/>
          </reference>
          <reference field="82" count="1" selected="0">
            <x v="226"/>
          </reference>
          <reference field="85" count="1">
            <x v="7"/>
          </reference>
        </references>
      </pivotArea>
    </format>
    <format dxfId="7227">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741"/>
          </reference>
          <reference field="82" count="1" selected="0">
            <x v="155"/>
          </reference>
          <reference field="85" count="1">
            <x v="0"/>
          </reference>
        </references>
      </pivotArea>
    </format>
    <format dxfId="7226">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1656"/>
          </reference>
          <reference field="82" count="1" selected="0">
            <x v="68"/>
          </reference>
          <reference field="85" count="1">
            <x v="7"/>
          </reference>
        </references>
      </pivotArea>
    </format>
    <format dxfId="7225">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742"/>
          </reference>
          <reference field="82" count="1" selected="0">
            <x v="156"/>
          </reference>
          <reference field="85" count="1">
            <x v="0"/>
          </reference>
        </references>
      </pivotArea>
    </format>
    <format dxfId="7224">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1814"/>
          </reference>
          <reference field="82" count="1" selected="0">
            <x v="228"/>
          </reference>
          <reference field="85" count="1">
            <x v="7"/>
          </reference>
        </references>
      </pivotArea>
    </format>
    <format dxfId="7223">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745"/>
          </reference>
          <reference field="82" count="1" selected="0">
            <x v="159"/>
          </reference>
          <reference field="85" count="1">
            <x v="0"/>
          </reference>
        </references>
      </pivotArea>
    </format>
    <format dxfId="7222">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1821"/>
          </reference>
          <reference field="82" count="1" selected="0">
            <x v="235"/>
          </reference>
          <reference field="85" count="1">
            <x v="7"/>
          </reference>
        </references>
      </pivotArea>
    </format>
    <format dxfId="7221">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1754"/>
          </reference>
          <reference field="82" count="1" selected="0">
            <x v="168"/>
          </reference>
          <reference field="85" count="1">
            <x v="0"/>
          </reference>
        </references>
      </pivotArea>
    </format>
    <format dxfId="7220">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1633"/>
          </reference>
          <reference field="82" count="1" selected="0">
            <x v="44"/>
          </reference>
          <reference field="85" count="1">
            <x v="7"/>
          </reference>
        </references>
      </pivotArea>
    </format>
    <format dxfId="7219">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1694"/>
          </reference>
          <reference field="82" count="1" selected="0">
            <x v="107"/>
          </reference>
          <reference field="85" count="1">
            <x v="4"/>
          </reference>
        </references>
      </pivotArea>
    </format>
    <format dxfId="7218">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1751"/>
          </reference>
          <reference field="82" count="1" selected="0">
            <x v="165"/>
          </reference>
          <reference field="85" count="1">
            <x v="0"/>
          </reference>
        </references>
      </pivotArea>
    </format>
    <format dxfId="7217">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93"/>
          </reference>
          <reference field="81" count="1" selected="0">
            <x v="1835"/>
          </reference>
          <reference field="82" count="1" selected="0">
            <x v="249"/>
          </reference>
          <reference field="85" count="1">
            <x v="7"/>
          </reference>
        </references>
      </pivotArea>
    </format>
    <format dxfId="7216">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1717"/>
          </reference>
          <reference field="82" count="1" selected="0">
            <x v="131"/>
          </reference>
          <reference field="85" count="1">
            <x v="0"/>
          </reference>
        </references>
      </pivotArea>
    </format>
    <format dxfId="7215">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1657"/>
          </reference>
          <reference field="82" count="1" selected="0">
            <x v="69"/>
          </reference>
          <reference field="85" count="1">
            <x v="7"/>
          </reference>
        </references>
      </pivotArea>
    </format>
    <format dxfId="7214">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1698"/>
          </reference>
          <reference field="82" count="1" selected="0">
            <x v="111"/>
          </reference>
          <reference field="85" count="1">
            <x v="4"/>
          </reference>
        </references>
      </pivotArea>
    </format>
    <format dxfId="7213">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713"/>
          </reference>
          <reference field="82" count="1" selected="0">
            <x v="127"/>
          </reference>
          <reference field="85" count="1">
            <x v="0"/>
          </reference>
        </references>
      </pivotArea>
    </format>
    <format dxfId="7212">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827"/>
          </reference>
          <reference field="82" count="1" selected="0">
            <x v="241"/>
          </reference>
          <reference field="85" count="1">
            <x v="7"/>
          </reference>
        </references>
      </pivotArea>
    </format>
    <format dxfId="7211">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719"/>
          </reference>
          <reference field="82" count="1" selected="0">
            <x v="133"/>
          </reference>
          <reference field="85" count="1">
            <x v="0"/>
          </reference>
        </references>
      </pivotArea>
    </format>
    <format dxfId="7210">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1642"/>
          </reference>
          <reference field="82" count="1" selected="0">
            <x v="53"/>
          </reference>
          <reference field="85" count="1">
            <x v="7"/>
          </reference>
        </references>
      </pivotArea>
    </format>
    <format dxfId="7209">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722"/>
          </reference>
          <reference field="82" count="1" selected="0">
            <x v="136"/>
          </reference>
          <reference field="85" count="1">
            <x v="0"/>
          </reference>
        </references>
      </pivotArea>
    </format>
    <format dxfId="7208">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1781"/>
          </reference>
          <reference field="82" count="1" selected="0">
            <x v="195"/>
          </reference>
          <reference field="85" count="1">
            <x v="2"/>
          </reference>
        </references>
      </pivotArea>
    </format>
    <format dxfId="7207">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725"/>
          </reference>
          <reference field="82" count="1" selected="0">
            <x v="139"/>
          </reference>
          <reference field="85" count="1">
            <x v="0"/>
          </reference>
        </references>
      </pivotArea>
    </format>
    <format dxfId="7206">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818"/>
          </reference>
          <reference field="82" count="1" selected="0">
            <x v="232"/>
          </reference>
          <reference field="85" count="1">
            <x v="7"/>
          </reference>
        </references>
      </pivotArea>
    </format>
    <format dxfId="7205">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845"/>
          </reference>
          <reference field="82" count="1" selected="0">
            <x v="259"/>
          </reference>
          <reference field="85" count="1">
            <x v="4"/>
          </reference>
        </references>
      </pivotArea>
    </format>
    <format dxfId="7204">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1622"/>
          </reference>
          <reference field="82" count="1" selected="0">
            <x v="33"/>
          </reference>
          <reference field="85" count="1">
            <x v="3"/>
          </reference>
        </references>
      </pivotArea>
    </format>
    <format dxfId="7203">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841"/>
          </reference>
          <reference field="82" count="1" selected="0">
            <x v="255"/>
          </reference>
          <reference field="85" count="1">
            <x v="4"/>
          </reference>
        </references>
      </pivotArea>
    </format>
    <format dxfId="7202">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837"/>
          </reference>
          <reference field="82" count="1" selected="0">
            <x v="251"/>
          </reference>
          <reference field="85" count="1">
            <x v="4"/>
          </reference>
        </references>
      </pivotArea>
    </format>
    <format dxfId="7201">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1758"/>
          </reference>
          <reference field="82" count="1" selected="0">
            <x v="172"/>
          </reference>
          <reference field="85" count="1">
            <x v="0"/>
          </reference>
        </references>
      </pivotArea>
    </format>
    <format dxfId="7200">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635"/>
          </reference>
          <reference field="82" count="1" selected="0">
            <x v="46"/>
          </reference>
          <reference field="85" count="1">
            <x v="7"/>
          </reference>
        </references>
      </pivotArea>
    </format>
    <format dxfId="7199">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1688"/>
          </reference>
          <reference field="82" count="1" selected="0">
            <x v="101"/>
          </reference>
          <reference field="85" count="1">
            <x v="4"/>
          </reference>
        </references>
      </pivotArea>
    </format>
    <format dxfId="7198">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1769"/>
          </reference>
          <reference field="82" count="1" selected="0">
            <x v="183"/>
          </reference>
          <reference field="85" count="1">
            <x v="0"/>
          </reference>
        </references>
      </pivotArea>
    </format>
    <format dxfId="7197">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1833"/>
          </reference>
          <reference field="82" count="1" selected="0">
            <x v="247"/>
          </reference>
          <reference field="85" count="1">
            <x v="7"/>
          </reference>
        </references>
      </pivotArea>
    </format>
    <format dxfId="7196">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631"/>
          </reference>
          <reference field="82" count="1" selected="0">
            <x v="42"/>
          </reference>
          <reference field="85" count="1">
            <x v="3"/>
          </reference>
        </references>
      </pivotArea>
    </format>
    <format dxfId="7195">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644"/>
          </reference>
          <reference field="82" count="1" selected="0">
            <x v="55"/>
          </reference>
          <reference field="85" count="1">
            <x v="7"/>
          </reference>
        </references>
      </pivotArea>
    </format>
    <format dxfId="7194">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1685"/>
          </reference>
          <reference field="82" count="1" selected="0">
            <x v="97"/>
          </reference>
          <reference field="85" count="1">
            <x v="4"/>
          </reference>
        </references>
      </pivotArea>
    </format>
    <format dxfId="7193">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1766"/>
          </reference>
          <reference field="82" count="1" selected="0">
            <x v="180"/>
          </reference>
          <reference field="85" count="1">
            <x v="0"/>
          </reference>
        </references>
      </pivotArea>
    </format>
    <format dxfId="7192">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1832"/>
          </reference>
          <reference field="82" count="1" selected="0">
            <x v="246"/>
          </reference>
          <reference field="85" count="1">
            <x v="7"/>
          </reference>
        </references>
      </pivotArea>
    </format>
    <format dxfId="7191">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632"/>
          </reference>
          <reference field="82" count="1" selected="0">
            <x v="43"/>
          </reference>
          <reference field="85" count="1">
            <x v="3"/>
          </reference>
        </references>
      </pivotArea>
    </format>
    <format dxfId="7190">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646"/>
          </reference>
          <reference field="82" count="1" selected="0">
            <x v="57"/>
          </reference>
          <reference field="85" count="1">
            <x v="7"/>
          </reference>
        </references>
      </pivotArea>
    </format>
    <format dxfId="7189">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1626"/>
          </reference>
          <reference field="82" count="1" selected="0">
            <x v="37"/>
          </reference>
          <reference field="85" count="1">
            <x v="3"/>
          </reference>
        </references>
      </pivotArea>
    </format>
    <format dxfId="7188">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700"/>
          </reference>
          <reference field="82" count="1" selected="0">
            <x v="113"/>
          </reference>
          <reference field="85" count="1">
            <x v="4"/>
          </reference>
        </references>
      </pivotArea>
    </format>
    <format dxfId="7187">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1760"/>
          </reference>
          <reference field="82" count="1" selected="0">
            <x v="174"/>
          </reference>
          <reference field="85" count="1">
            <x v="0"/>
          </reference>
        </references>
      </pivotArea>
    </format>
    <format dxfId="7186">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773"/>
          </reference>
          <reference field="82" count="1" selected="0">
            <x v="187"/>
          </reference>
          <reference field="85" count="1">
            <x v="2"/>
          </reference>
        </references>
      </pivotArea>
    </format>
    <format dxfId="7185">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701"/>
          </reference>
          <reference field="82" count="1" selected="0">
            <x v="114"/>
          </reference>
          <reference field="85" count="1">
            <x v="4"/>
          </reference>
        </references>
      </pivotArea>
    </format>
    <format dxfId="7184">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1763"/>
          </reference>
          <reference field="82" count="1" selected="0">
            <x v="177"/>
          </reference>
          <reference field="85" count="1">
            <x v="0"/>
          </reference>
        </references>
      </pivotArea>
    </format>
    <format dxfId="7183">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776"/>
          </reference>
          <reference field="82" count="1" selected="0">
            <x v="190"/>
          </reference>
          <reference field="85" count="1">
            <x v="2"/>
          </reference>
        </references>
      </pivotArea>
    </format>
    <format dxfId="7182">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1830"/>
          </reference>
          <reference field="82" count="1" selected="0">
            <x v="244"/>
          </reference>
          <reference field="85" count="1">
            <x v="7"/>
          </reference>
        </references>
      </pivotArea>
    </format>
    <format dxfId="7181">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900"/>
          </reference>
          <reference field="82" count="1" selected="0">
            <x v="314"/>
          </reference>
          <reference field="85" count="1">
            <x v="4"/>
          </reference>
        </references>
      </pivotArea>
    </format>
    <format dxfId="7180">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1652"/>
          </reference>
          <reference field="82" count="1" selected="0">
            <x v="64"/>
          </reference>
          <reference field="85" count="1">
            <x v="7"/>
          </reference>
        </references>
      </pivotArea>
    </format>
    <format dxfId="7179">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1801"/>
          </reference>
          <reference field="82" count="1" selected="0">
            <x v="215"/>
          </reference>
          <reference field="85" count="1">
            <x v="2"/>
          </reference>
        </references>
      </pivotArea>
    </format>
    <format dxfId="7178">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1917"/>
          </reference>
          <reference field="82" count="1" selected="0">
            <x v="331"/>
          </reference>
          <reference field="85" count="1">
            <x v="4"/>
          </reference>
        </references>
      </pivotArea>
    </format>
    <format dxfId="7177">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1920"/>
          </reference>
          <reference field="82" count="1" selected="0">
            <x v="334"/>
          </reference>
          <reference field="85" count="1">
            <x v="4"/>
          </reference>
        </references>
      </pivotArea>
    </format>
    <format dxfId="7176">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867"/>
          </reference>
          <reference field="82" count="1" selected="0">
            <x v="281"/>
          </reference>
          <reference field="85" count="1">
            <x v="4"/>
          </reference>
        </references>
      </pivotArea>
    </format>
    <format dxfId="7175">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862"/>
          </reference>
          <reference field="82" count="1" selected="0">
            <x v="276"/>
          </reference>
          <reference field="85" count="1">
            <x v="4"/>
          </reference>
        </references>
      </pivotArea>
    </format>
    <format dxfId="7174">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857"/>
          </reference>
          <reference field="82" count="1" selected="0">
            <x v="271"/>
          </reference>
          <reference field="85" count="1">
            <x v="4"/>
          </reference>
        </references>
      </pivotArea>
    </format>
    <format dxfId="7173">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1913"/>
          </reference>
          <reference field="82" count="1" selected="0">
            <x v="327"/>
          </reference>
          <reference field="85" count="1">
            <x v="4"/>
          </reference>
        </references>
      </pivotArea>
    </format>
    <format dxfId="7172">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509"/>
          </reference>
          <reference field="82" count="1" selected="0">
            <x v="29"/>
          </reference>
          <reference field="85" count="1">
            <x v="4"/>
          </reference>
        </references>
      </pivotArea>
    </format>
    <format dxfId="7171">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1628"/>
          </reference>
          <reference field="82" count="1" selected="0">
            <x v="39"/>
          </reference>
          <reference field="85" count="1">
            <x v="3"/>
          </reference>
        </references>
      </pivotArea>
    </format>
    <format dxfId="7170">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665"/>
          </reference>
          <reference field="82" count="1" selected="0">
            <x v="77"/>
          </reference>
          <reference field="85" count="1">
            <x v="7"/>
          </reference>
        </references>
      </pivotArea>
    </format>
    <format dxfId="7169">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1629"/>
          </reference>
          <reference field="82" count="1" selected="0">
            <x v="40"/>
          </reference>
          <reference field="85" count="1">
            <x v="3"/>
          </reference>
        </references>
      </pivotArea>
    </format>
    <format dxfId="7168">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666"/>
          </reference>
          <reference field="82" count="1" selected="0">
            <x v="78"/>
          </reference>
          <reference field="85" count="1">
            <x v="7"/>
          </reference>
        </references>
      </pivotArea>
    </format>
    <format dxfId="7167">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1658"/>
          </reference>
          <reference field="82" count="1" selected="0">
            <x v="70"/>
          </reference>
          <reference field="85" count="1">
            <x v="2"/>
          </reference>
        </references>
      </pivotArea>
    </format>
    <format dxfId="7166">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1919"/>
          </reference>
          <reference field="82" count="1" selected="0">
            <x v="333"/>
          </reference>
          <reference field="85" count="1">
            <x v="4"/>
          </reference>
        </references>
      </pivotArea>
    </format>
    <format dxfId="7165">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784"/>
          </reference>
          <reference field="82" count="1" selected="0">
            <x v="198"/>
          </reference>
          <reference field="85" count="1">
            <x v="2"/>
          </reference>
        </references>
      </pivotArea>
    </format>
    <format dxfId="7164">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1664"/>
          </reference>
          <reference field="82" count="1" selected="0">
            <x v="76"/>
          </reference>
          <reference field="85" count="1">
            <x v="2"/>
          </reference>
        </references>
      </pivotArea>
    </format>
    <format dxfId="7163">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662"/>
          </reference>
          <reference field="82" count="1" selected="0">
            <x v="74"/>
          </reference>
          <reference field="85" count="1">
            <x v="7"/>
          </reference>
        </references>
      </pivotArea>
    </format>
    <format dxfId="7162">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795"/>
          </reference>
          <reference field="82" count="1" selected="0">
            <x v="209"/>
          </reference>
          <reference field="85" count="1">
            <x v="2"/>
          </reference>
        </references>
      </pivotArea>
    </format>
    <format dxfId="7161">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663"/>
          </reference>
          <reference field="82" count="1" selected="0">
            <x v="75"/>
          </reference>
          <reference field="85" count="1">
            <x v="7"/>
          </reference>
        </references>
      </pivotArea>
    </format>
    <format dxfId="7160">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1911"/>
          </reference>
          <reference field="82" count="1" selected="0">
            <x v="325"/>
          </reference>
          <reference field="85" count="1">
            <x v="4"/>
          </reference>
        </references>
      </pivotArea>
    </format>
    <format dxfId="7159">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1820"/>
          </reference>
          <reference field="82" count="1" selected="0">
            <x v="234"/>
          </reference>
          <reference field="85" count="1">
            <x v="7"/>
          </reference>
        </references>
      </pivotArea>
    </format>
    <format dxfId="7158">
      <pivotArea dataOnly="0" labelOnly="1" outline="0" fieldPosition="0">
        <references count="12">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1896"/>
          </reference>
          <reference field="82" count="1" selected="0">
            <x v="310"/>
          </reference>
          <reference field="85" count="1">
            <x v="4"/>
          </reference>
        </references>
      </pivotArea>
    </format>
    <format dxfId="7157">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1650"/>
          </reference>
          <reference field="82" count="1" selected="0">
            <x v="61"/>
          </reference>
          <reference field="85" count="1" selected="0">
            <x v="7"/>
          </reference>
          <reference field="87" count="1" selected="0">
            <x v="1008"/>
          </reference>
          <reference field="88" count="1" selected="0">
            <x v="57"/>
          </reference>
        </references>
      </pivotArea>
    </format>
    <format dxfId="7156">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4"/>
          </reference>
          <reference field="81" count="1" selected="0">
            <x v="1651"/>
          </reference>
          <reference field="82" count="1" selected="0">
            <x v="63"/>
          </reference>
          <reference field="85" count="1" selected="0">
            <x v="7"/>
          </reference>
          <reference field="87" count="1" selected="0">
            <x v="1009"/>
          </reference>
          <reference field="88" count="1" selected="0">
            <x v="59"/>
          </reference>
        </references>
      </pivotArea>
    </format>
    <format dxfId="7155">
      <pivotArea dataOnly="0" labelOnly="1" outline="0" fieldPosition="0">
        <references count="15">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1660"/>
          </reference>
          <reference field="82" count="1" selected="0">
            <x v="72"/>
          </reference>
          <reference field="85" count="1" selected="0">
            <x v="7"/>
          </reference>
          <reference field="87" count="1" selected="0">
            <x v="1018"/>
          </reference>
          <reference field="88" count="1" selected="0">
            <x v="68"/>
          </reference>
        </references>
      </pivotArea>
    </format>
    <format dxfId="7154">
      <pivotArea dataOnly="0" labelOnly="1" outline="0" fieldPosition="0">
        <references count="15">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1650"/>
          </reference>
          <reference field="82" count="1" selected="0">
            <x v="62"/>
          </reference>
          <reference field="85" count="1" selected="0">
            <x v="7"/>
          </reference>
          <reference field="87" count="1" selected="0">
            <x v="1008"/>
          </reference>
          <reference field="88" count="1" selected="0">
            <x v="58"/>
          </reference>
        </references>
      </pivotArea>
    </format>
    <format dxfId="7153">
      <pivotArea dataOnly="0" labelOnly="1" outline="0" fieldPosition="0">
        <references count="15">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1659"/>
          </reference>
          <reference field="82" count="1" selected="0">
            <x v="71"/>
          </reference>
          <reference field="85" count="1" selected="0">
            <x v="7"/>
          </reference>
          <reference field="87" count="1" selected="0">
            <x v="1017"/>
          </reference>
          <reference field="88" count="1" selected="0">
            <x v="67"/>
          </reference>
        </references>
      </pivotArea>
    </format>
    <format dxfId="7152">
      <pivotArea dataOnly="0" labelOnly="1" outline="0" fieldPosition="0">
        <references count="15">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73" count="1">
            <x v="9"/>
          </reference>
          <reference field="81" count="1" selected="0">
            <x v="1656"/>
          </reference>
          <reference field="82" count="1" selected="0">
            <x v="68"/>
          </reference>
          <reference field="85" count="1" selected="0">
            <x v="7"/>
          </reference>
          <reference field="87" count="1" selected="0">
            <x v="1014"/>
          </reference>
          <reference field="88" count="1" selected="0">
            <x v="64"/>
          </reference>
        </references>
      </pivotArea>
    </format>
    <format dxfId="7151">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73" count="1">
            <x v="9"/>
          </reference>
          <reference field="81" count="1" selected="0">
            <x v="1640"/>
          </reference>
          <reference field="82" count="1" selected="0">
            <x v="51"/>
          </reference>
          <reference field="85" count="1" selected="0">
            <x v="7"/>
          </reference>
          <reference field="87" count="1" selected="0">
            <x v="998"/>
          </reference>
          <reference field="88" count="1" selected="0">
            <x v="47"/>
          </reference>
        </references>
      </pivotArea>
    </format>
    <format dxfId="7150">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4"/>
          </reference>
          <reference field="81" count="1" selected="0">
            <x v="1641"/>
          </reference>
          <reference field="82" count="1" selected="0">
            <x v="52"/>
          </reference>
          <reference field="85" count="1" selected="0">
            <x v="7"/>
          </reference>
          <reference field="87" count="1" selected="0">
            <x v="999"/>
          </reference>
          <reference field="88" count="1" selected="0">
            <x v="48"/>
          </reference>
        </references>
      </pivotArea>
    </format>
    <format dxfId="7149">
      <pivotArea dataOnly="0" labelOnly="1" outline="0" fieldPosition="0">
        <references count="15">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73" count="1">
            <x v="51"/>
          </reference>
          <reference field="81" count="1" selected="0">
            <x v="1661"/>
          </reference>
          <reference field="82" count="1" selected="0">
            <x v="73"/>
          </reference>
          <reference field="85" count="1" selected="0">
            <x v="7"/>
          </reference>
          <reference field="87" count="1" selected="0">
            <x v="1019"/>
          </reference>
          <reference field="88" count="1" selected="0">
            <x v="69"/>
          </reference>
        </references>
      </pivotArea>
    </format>
    <format dxfId="7148">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73" count="1">
            <x v="9"/>
          </reference>
          <reference field="81" count="1" selected="0">
            <x v="1633"/>
          </reference>
          <reference field="82" count="1" selected="0">
            <x v="44"/>
          </reference>
          <reference field="85" count="1" selected="0">
            <x v="7"/>
          </reference>
          <reference field="87" count="1" selected="0">
            <x v="991"/>
          </reference>
          <reference field="88" count="1" selected="0">
            <x v="40"/>
          </reference>
        </references>
      </pivotArea>
    </format>
    <format dxfId="7147">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1634"/>
          </reference>
          <reference field="82" count="1" selected="0">
            <x v="45"/>
          </reference>
          <reference field="85" count="1" selected="0">
            <x v="7"/>
          </reference>
          <reference field="87" count="1" selected="0">
            <x v="992"/>
          </reference>
          <reference field="88" count="1" selected="0">
            <x v="41"/>
          </reference>
        </references>
      </pivotArea>
    </format>
    <format dxfId="7146">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73" count="1">
            <x v="50"/>
          </reference>
          <reference field="81" count="1" selected="0">
            <x v="1694"/>
          </reference>
          <reference field="82" count="1" selected="0">
            <x v="107"/>
          </reference>
          <reference field="85" count="1" selected="0">
            <x v="4"/>
          </reference>
          <reference field="87" count="1" selected="0">
            <x v="1053"/>
          </reference>
          <reference field="88" count="1" selected="0">
            <x v="104"/>
          </reference>
        </references>
      </pivotArea>
    </format>
    <format dxfId="7145">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73" count="1">
            <x v="50"/>
          </reference>
          <reference field="81" count="1" selected="0">
            <x v="1695"/>
          </reference>
          <reference field="82" count="1" selected="0">
            <x v="108"/>
          </reference>
          <reference field="85" count="1" selected="0">
            <x v="4"/>
          </reference>
          <reference field="87" count="1" selected="0">
            <x v="1054"/>
          </reference>
          <reference field="88" count="1" selected="0">
            <x v="105"/>
          </reference>
        </references>
      </pivotArea>
    </format>
    <format dxfId="7144">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73" count="1">
            <x v="50"/>
          </reference>
          <reference field="81" count="1" selected="0">
            <x v="1692"/>
          </reference>
          <reference field="82" count="1" selected="0">
            <x v="105"/>
          </reference>
          <reference field="85" count="1" selected="0">
            <x v="4"/>
          </reference>
          <reference field="87" count="1" selected="0">
            <x v="1051"/>
          </reference>
          <reference field="88" count="1" selected="0">
            <x v="102"/>
          </reference>
        </references>
      </pivotArea>
    </format>
    <format dxfId="7143">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73" count="1">
            <x v="50"/>
          </reference>
          <reference field="81" count="1" selected="0">
            <x v="1693"/>
          </reference>
          <reference field="82" count="1" selected="0">
            <x v="106"/>
          </reference>
          <reference field="85" count="1" selected="0">
            <x v="4"/>
          </reference>
          <reference field="87" count="1" selected="0">
            <x v="1052"/>
          </reference>
          <reference field="88" count="1" selected="0">
            <x v="103"/>
          </reference>
        </references>
      </pivotArea>
    </format>
    <format dxfId="7142">
      <pivotArea dataOnly="0" labelOnly="1" outline="0" fieldPosition="0">
        <references count="15">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1649"/>
          </reference>
          <reference field="82" count="1" selected="0">
            <x v="60"/>
          </reference>
          <reference field="85" count="1" selected="0">
            <x v="7"/>
          </reference>
          <reference field="87" count="1" selected="0">
            <x v="1007"/>
          </reference>
          <reference field="88" count="1" selected="0">
            <x v="56"/>
          </reference>
        </references>
      </pivotArea>
    </format>
    <format dxfId="7141">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73" count="1">
            <x v="51"/>
          </reference>
          <reference field="81" count="1" selected="0">
            <x v="1657"/>
          </reference>
          <reference field="82" count="1" selected="0">
            <x v="69"/>
          </reference>
          <reference field="85" count="1" selected="0">
            <x v="7"/>
          </reference>
          <reference field="87" count="1" selected="0">
            <x v="1015"/>
          </reference>
          <reference field="88" count="1" selected="0">
            <x v="65"/>
          </reference>
        </references>
      </pivotArea>
    </format>
    <format dxfId="7140">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1648"/>
          </reference>
          <reference field="82" count="1" selected="0">
            <x v="59"/>
          </reference>
          <reference field="85" count="1" selected="0">
            <x v="7"/>
          </reference>
          <reference field="87" count="1" selected="0">
            <x v="1006"/>
          </reference>
          <reference field="88" count="1" selected="0">
            <x v="55"/>
          </reference>
        </references>
      </pivotArea>
    </format>
    <format dxfId="7139">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73" count="1">
            <x v="50"/>
          </reference>
          <reference field="81" count="1" selected="0">
            <x v="1696"/>
          </reference>
          <reference field="82" count="1" selected="0">
            <x v="109"/>
          </reference>
          <reference field="85" count="1" selected="0">
            <x v="4"/>
          </reference>
          <reference field="87" count="1" selected="0">
            <x v="1055"/>
          </reference>
          <reference field="88" count="1" selected="0">
            <x v="106"/>
          </reference>
        </references>
      </pivotArea>
    </format>
    <format dxfId="7138">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73" count="1">
            <x v="50"/>
          </reference>
          <reference field="81" count="1" selected="0">
            <x v="1697"/>
          </reference>
          <reference field="82" count="1" selected="0">
            <x v="110"/>
          </reference>
          <reference field="85" count="1" selected="0">
            <x v="4"/>
          </reference>
          <reference field="87" count="1" selected="0">
            <x v="1056"/>
          </reference>
          <reference field="88" count="1" selected="0">
            <x v="107"/>
          </reference>
        </references>
      </pivotArea>
    </format>
    <format dxfId="7137">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73" count="1">
            <x v="9"/>
          </reference>
          <reference field="81" count="1" selected="0">
            <x v="1642"/>
          </reference>
          <reference field="82" count="1" selected="0">
            <x v="53"/>
          </reference>
          <reference field="85" count="1" selected="0">
            <x v="7"/>
          </reference>
          <reference field="87" count="1" selected="0">
            <x v="1000"/>
          </reference>
          <reference field="88" count="1" selected="0">
            <x v="49"/>
          </reference>
        </references>
      </pivotArea>
    </format>
    <format dxfId="7136">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1643"/>
          </reference>
          <reference field="82" count="1" selected="0">
            <x v="54"/>
          </reference>
          <reference field="85" count="1" selected="0">
            <x v="7"/>
          </reference>
          <reference field="87" count="1" selected="0">
            <x v="1001"/>
          </reference>
          <reference field="88" count="1" selected="0">
            <x v="50"/>
          </reference>
        </references>
      </pivotArea>
    </format>
    <format dxfId="7135">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73" count="1">
            <x v="5"/>
          </reference>
          <reference field="81" count="1" selected="0">
            <x v="1622"/>
          </reference>
          <reference field="82" count="1" selected="0">
            <x v="33"/>
          </reference>
          <reference field="85" count="1" selected="0">
            <x v="3"/>
          </reference>
          <reference field="87" count="1" selected="0">
            <x v="980"/>
          </reference>
          <reference field="88" count="1" selected="0">
            <x v="29"/>
          </reference>
        </references>
      </pivotArea>
    </format>
    <format dxfId="7134">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73" count="1">
            <x v="5"/>
          </reference>
          <reference field="81" count="1" selected="0">
            <x v="1621"/>
          </reference>
          <reference field="82" count="1" selected="0">
            <x v="32"/>
          </reference>
          <reference field="85" count="1" selected="0">
            <x v="3"/>
          </reference>
          <reference field="87" count="1" selected="0">
            <x v="979"/>
          </reference>
          <reference field="88" count="1" selected="0">
            <x v="28"/>
          </reference>
        </references>
      </pivotArea>
    </format>
    <format dxfId="7133">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1635"/>
          </reference>
          <reference field="82" count="1" selected="0">
            <x v="46"/>
          </reference>
          <reference field="85" count="1" selected="0">
            <x v="7"/>
          </reference>
          <reference field="87" count="1" selected="0">
            <x v="993"/>
          </reference>
          <reference field="88" count="1" selected="0">
            <x v="42"/>
          </reference>
        </references>
      </pivotArea>
    </format>
    <format dxfId="7132">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1636"/>
          </reference>
          <reference field="82" count="1" selected="0">
            <x v="47"/>
          </reference>
          <reference field="85" count="1" selected="0">
            <x v="7"/>
          </reference>
          <reference field="87" count="1" selected="0">
            <x v="994"/>
          </reference>
          <reference field="88" count="1" selected="0">
            <x v="43"/>
          </reference>
        </references>
      </pivotArea>
    </format>
    <format dxfId="7131">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1637"/>
          </reference>
          <reference field="82" count="1" selected="0">
            <x v="48"/>
          </reference>
          <reference field="85" count="1" selected="0">
            <x v="7"/>
          </reference>
          <reference field="87" count="1" selected="0">
            <x v="995"/>
          </reference>
          <reference field="88" count="1" selected="0">
            <x v="44"/>
          </reference>
        </references>
      </pivotArea>
    </format>
    <format dxfId="7130">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73" count="1">
            <x v="50"/>
          </reference>
          <reference field="81" count="1" selected="0">
            <x v="1688"/>
          </reference>
          <reference field="82" count="1" selected="0">
            <x v="101"/>
          </reference>
          <reference field="85" count="1" selected="0">
            <x v="4"/>
          </reference>
          <reference field="87" count="1" selected="0">
            <x v="1047"/>
          </reference>
          <reference field="88" count="1" selected="0">
            <x v="98"/>
          </reference>
        </references>
      </pivotArea>
    </format>
    <format dxfId="7129">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73" count="1">
            <x v="50"/>
          </reference>
          <reference field="81" count="1" selected="0">
            <x v="1689"/>
          </reference>
          <reference field="82" count="1" selected="0">
            <x v="102"/>
          </reference>
          <reference field="85" count="1" selected="0">
            <x v="4"/>
          </reference>
          <reference field="87" count="1" selected="0">
            <x v="1048"/>
          </reference>
          <reference field="88" count="1" selected="0">
            <x v="99"/>
          </reference>
        </references>
      </pivotArea>
    </format>
    <format dxfId="7128">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73" count="1">
            <x v="50"/>
          </reference>
          <reference field="81" count="1" selected="0">
            <x v="1690"/>
          </reference>
          <reference field="82" count="1" selected="0">
            <x v="103"/>
          </reference>
          <reference field="85" count="1" selected="0">
            <x v="4"/>
          </reference>
          <reference field="87" count="1" selected="0">
            <x v="1049"/>
          </reference>
          <reference field="88" count="1" selected="0">
            <x v="100"/>
          </reference>
        </references>
      </pivotArea>
    </format>
    <format dxfId="7127">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73" count="1">
            <x v="50"/>
          </reference>
          <reference field="81" count="1" selected="0">
            <x v="1691"/>
          </reference>
          <reference field="82" count="1" selected="0">
            <x v="104"/>
          </reference>
          <reference field="85" count="1" selected="0">
            <x v="4"/>
          </reference>
          <reference field="87" count="1" selected="0">
            <x v="1050"/>
          </reference>
          <reference field="88" count="1" selected="0">
            <x v="101"/>
          </reference>
        </references>
      </pivotArea>
    </format>
    <format dxfId="7126">
      <pivotArea dataOnly="0" labelOnly="1" outline="0" fieldPosition="0">
        <references count="15">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1631"/>
          </reference>
          <reference field="82" count="1" selected="0">
            <x v="42"/>
          </reference>
          <reference field="85" count="1" selected="0">
            <x v="3"/>
          </reference>
          <reference field="87" count="1" selected="0">
            <x v="989"/>
          </reference>
          <reference field="88" count="1" selected="0">
            <x v="38"/>
          </reference>
        </references>
      </pivotArea>
    </format>
    <format dxfId="7125">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1644"/>
          </reference>
          <reference field="82" count="1" selected="0">
            <x v="55"/>
          </reference>
          <reference field="85" count="1" selected="0">
            <x v="7"/>
          </reference>
          <reference field="87" count="1" selected="0">
            <x v="1002"/>
          </reference>
          <reference field="88" count="1" selected="0">
            <x v="51"/>
          </reference>
        </references>
      </pivotArea>
    </format>
    <format dxfId="7124">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1645"/>
          </reference>
          <reference field="82" count="1" selected="0">
            <x v="56"/>
          </reference>
          <reference field="85" count="1" selected="0">
            <x v="7"/>
          </reference>
          <reference field="87" count="1" selected="0">
            <x v="1003"/>
          </reference>
          <reference field="88" count="1" selected="0">
            <x v="52"/>
          </reference>
        </references>
      </pivotArea>
    </format>
    <format dxfId="7123">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1638"/>
          </reference>
          <reference field="82" count="1" selected="0">
            <x v="49"/>
          </reference>
          <reference field="85" count="1" selected="0">
            <x v="7"/>
          </reference>
          <reference field="87" count="1" selected="0">
            <x v="996"/>
          </reference>
          <reference field="88" count="1" selected="0">
            <x v="45"/>
          </reference>
        </references>
      </pivotArea>
    </format>
    <format dxfId="7122">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1639"/>
          </reference>
          <reference field="82" count="1" selected="0">
            <x v="50"/>
          </reference>
          <reference field="85" count="1" selected="0">
            <x v="7"/>
          </reference>
          <reference field="87" count="1" selected="0">
            <x v="997"/>
          </reference>
          <reference field="88" count="1" selected="0">
            <x v="46"/>
          </reference>
        </references>
      </pivotArea>
    </format>
    <format dxfId="7121">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1637"/>
          </reference>
          <reference field="82" count="1" selected="0">
            <x v="48"/>
          </reference>
          <reference field="85" count="1" selected="0">
            <x v="7"/>
          </reference>
          <reference field="87" count="1" selected="0">
            <x v="995"/>
          </reference>
          <reference field="88" count="1" selected="0">
            <x v="44"/>
          </reference>
        </references>
      </pivotArea>
    </format>
    <format dxfId="7120">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73" count="1">
            <x v="50"/>
          </reference>
          <reference field="81" count="1" selected="0">
            <x v="1685"/>
          </reference>
          <reference field="82" count="1" selected="0">
            <x v="97"/>
          </reference>
          <reference field="85" count="1" selected="0">
            <x v="4"/>
          </reference>
          <reference field="87" count="1" selected="0">
            <x v="1044"/>
          </reference>
          <reference field="88" count="1" selected="0">
            <x v="94"/>
          </reference>
        </references>
      </pivotArea>
    </format>
    <format dxfId="7119">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73" count="1">
            <x v="50"/>
          </reference>
          <reference field="81" count="1" selected="0">
            <x v="1683"/>
          </reference>
          <reference field="82" count="1" selected="0">
            <x v="98"/>
          </reference>
          <reference field="85" count="1" selected="0">
            <x v="4"/>
          </reference>
          <reference field="87" count="1" selected="0">
            <x v="1042"/>
          </reference>
          <reference field="88" count="1" selected="0">
            <x v="95"/>
          </reference>
        </references>
      </pivotArea>
    </format>
    <format dxfId="7118">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73" count="1">
            <x v="50"/>
          </reference>
          <reference field="81" count="1" selected="0">
            <x v="1686"/>
          </reference>
          <reference field="82" count="1" selected="0">
            <x v="99"/>
          </reference>
          <reference field="85" count="1" selected="0">
            <x v="4"/>
          </reference>
          <reference field="87" count="1" selected="0">
            <x v="1045"/>
          </reference>
          <reference field="88" count="1" selected="0">
            <x v="96"/>
          </reference>
        </references>
      </pivotArea>
    </format>
    <format dxfId="7117">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73" count="1">
            <x v="50"/>
          </reference>
          <reference field="81" count="1" selected="0">
            <x v="1687"/>
          </reference>
          <reference field="82" count="1" selected="0">
            <x v="100"/>
          </reference>
          <reference field="85" count="1" selected="0">
            <x v="4"/>
          </reference>
          <reference field="87" count="1" selected="0">
            <x v="1046"/>
          </reference>
          <reference field="88" count="1" selected="0">
            <x v="97"/>
          </reference>
        </references>
      </pivotArea>
    </format>
    <format dxfId="7116">
      <pivotArea dataOnly="0" labelOnly="1" outline="0" fieldPosition="0">
        <references count="15">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1632"/>
          </reference>
          <reference field="82" count="1" selected="0">
            <x v="43"/>
          </reference>
          <reference field="85" count="1" selected="0">
            <x v="3"/>
          </reference>
          <reference field="87" count="1" selected="0">
            <x v="990"/>
          </reference>
          <reference field="88" count="1" selected="0">
            <x v="39"/>
          </reference>
        </references>
      </pivotArea>
    </format>
    <format dxfId="7115">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1646"/>
          </reference>
          <reference field="82" count="1" selected="0">
            <x v="57"/>
          </reference>
          <reference field="85" count="1" selected="0">
            <x v="7"/>
          </reference>
          <reference field="87" count="1" selected="0">
            <x v="1004"/>
          </reference>
          <reference field="88" count="1" selected="0">
            <x v="53"/>
          </reference>
        </references>
      </pivotArea>
    </format>
    <format dxfId="7114">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1647"/>
          </reference>
          <reference field="82" count="1" selected="0">
            <x v="58"/>
          </reference>
          <reference field="85" count="1" selected="0">
            <x v="7"/>
          </reference>
          <reference field="87" count="1" selected="0">
            <x v="1005"/>
          </reference>
          <reference field="88" count="1" selected="0">
            <x v="54"/>
          </reference>
        </references>
      </pivotArea>
    </format>
    <format dxfId="7113">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73" count="1">
            <x v="5"/>
          </reference>
          <reference field="81" count="1" selected="0">
            <x v="1626"/>
          </reference>
          <reference field="82" count="1" selected="0">
            <x v="37"/>
          </reference>
          <reference field="85" count="1" selected="0">
            <x v="3"/>
          </reference>
          <reference field="87" count="1" selected="0">
            <x v="984"/>
          </reference>
          <reference field="88" count="1" selected="0">
            <x v="33"/>
          </reference>
        </references>
      </pivotArea>
    </format>
    <format dxfId="7112">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73" count="1">
            <x v="5"/>
          </reference>
          <reference field="81" count="1" selected="0">
            <x v="1625"/>
          </reference>
          <reference field="82" count="1" selected="0">
            <x v="36"/>
          </reference>
          <reference field="85" count="1" selected="0">
            <x v="3"/>
          </reference>
          <reference field="87" count="1" selected="0">
            <x v="983"/>
          </reference>
          <reference field="88" count="1" selected="0">
            <x v="32"/>
          </reference>
        </references>
      </pivotArea>
    </format>
    <format dxfId="7111">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73" count="1">
            <x v="5"/>
          </reference>
          <reference field="81" count="1" selected="0">
            <x v="1623"/>
          </reference>
          <reference field="82" count="1" selected="0">
            <x v="34"/>
          </reference>
          <reference field="85" count="1" selected="0">
            <x v="3"/>
          </reference>
          <reference field="87" count="1" selected="0">
            <x v="981"/>
          </reference>
          <reference field="88" count="1" selected="0">
            <x v="30"/>
          </reference>
        </references>
      </pivotArea>
    </format>
    <format dxfId="7110">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73" count="1">
            <x v="5"/>
          </reference>
          <reference field="81" count="1" selected="0">
            <x v="1624"/>
          </reference>
          <reference field="82" count="1" selected="0">
            <x v="35"/>
          </reference>
          <reference field="85" count="1" selected="0">
            <x v="3"/>
          </reference>
          <reference field="87" count="1" selected="0">
            <x v="982"/>
          </reference>
          <reference field="88" count="1" selected="0">
            <x v="31"/>
          </reference>
        </references>
      </pivotArea>
    </format>
    <format dxfId="7109">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73" count="1">
            <x v="51"/>
          </reference>
          <reference field="81" count="1" selected="0">
            <x v="1652"/>
          </reference>
          <reference field="82" count="1" selected="0">
            <x v="64"/>
          </reference>
          <reference field="85" count="1" selected="0">
            <x v="7"/>
          </reference>
          <reference field="87" count="1" selected="0">
            <x v="1010"/>
          </reference>
          <reference field="88" count="1" selected="0">
            <x v="60"/>
          </reference>
        </references>
      </pivotArea>
    </format>
    <format dxfId="7108">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73" count="1">
            <x v="9"/>
          </reference>
          <reference field="81" count="1" selected="0">
            <x v="1653"/>
          </reference>
          <reference field="82" count="1" selected="0">
            <x v="65"/>
          </reference>
          <reference field="85" count="1" selected="0">
            <x v="7"/>
          </reference>
          <reference field="87" count="1" selected="0">
            <x v="1011"/>
          </reference>
          <reference field="88" count="1" selected="0">
            <x v="61"/>
          </reference>
        </references>
      </pivotArea>
    </format>
    <format dxfId="7107">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1671"/>
          </reference>
          <reference field="82" count="1" selected="0">
            <x v="83"/>
          </reference>
          <reference field="85" count="1" selected="0">
            <x v="4"/>
          </reference>
          <reference field="87" count="1" selected="0">
            <x v="1029"/>
          </reference>
          <reference field="88" count="1" selected="0">
            <x v="79"/>
          </reference>
        </references>
      </pivotArea>
    </format>
    <format dxfId="7106">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1674"/>
          </reference>
          <reference field="82" count="1" selected="0">
            <x v="86"/>
          </reference>
          <reference field="85" count="1" selected="0">
            <x v="4"/>
          </reference>
          <reference field="87" count="1" selected="0">
            <x v="1032"/>
          </reference>
          <reference field="88" count="1" selected="0">
            <x v="82"/>
          </reference>
        </references>
      </pivotArea>
    </format>
    <format dxfId="7105">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1672"/>
          </reference>
          <reference field="82" count="1" selected="0">
            <x v="84"/>
          </reference>
          <reference field="85" count="1" selected="0">
            <x v="4"/>
          </reference>
          <reference field="87" count="1" selected="0">
            <x v="1030"/>
          </reference>
          <reference field="88" count="1" selected="0">
            <x v="80"/>
          </reference>
        </references>
      </pivotArea>
    </format>
    <format dxfId="7104">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1673"/>
          </reference>
          <reference field="82" count="1" selected="0">
            <x v="85"/>
          </reference>
          <reference field="85" count="1" selected="0">
            <x v="4"/>
          </reference>
          <reference field="87" count="1" selected="0">
            <x v="1031"/>
          </reference>
          <reference field="88" count="1" selected="0">
            <x v="81"/>
          </reference>
        </references>
      </pivotArea>
    </format>
    <format dxfId="7103">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1667"/>
          </reference>
          <reference field="82" count="1" selected="0">
            <x v="79"/>
          </reference>
          <reference field="85" count="1" selected="0">
            <x v="4"/>
          </reference>
          <reference field="87" count="1" selected="0">
            <x v="1025"/>
          </reference>
          <reference field="88" count="1" selected="0">
            <x v="75"/>
          </reference>
        </references>
      </pivotArea>
    </format>
    <format dxfId="7102">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1670"/>
          </reference>
          <reference field="82" count="1" selected="0">
            <x v="82"/>
          </reference>
          <reference field="85" count="1" selected="0">
            <x v="4"/>
          </reference>
          <reference field="87" count="1" selected="0">
            <x v="1028"/>
          </reference>
          <reference field="88" count="1" selected="0">
            <x v="78"/>
          </reference>
        </references>
      </pivotArea>
    </format>
    <format dxfId="7101">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1668"/>
          </reference>
          <reference field="82" count="1" selected="0">
            <x v="80"/>
          </reference>
          <reference field="85" count="1" selected="0">
            <x v="4"/>
          </reference>
          <reference field="87" count="1" selected="0">
            <x v="1026"/>
          </reference>
          <reference field="88" count="1" selected="0">
            <x v="76"/>
          </reference>
        </references>
      </pivotArea>
    </format>
    <format dxfId="7100">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1669"/>
          </reference>
          <reference field="82" count="1" selected="0">
            <x v="81"/>
          </reference>
          <reference field="85" count="1" selected="0">
            <x v="4"/>
          </reference>
          <reference field="87" count="1" selected="0">
            <x v="1027"/>
          </reference>
          <reference field="88" count="1" selected="0">
            <x v="77"/>
          </reference>
        </references>
      </pivotArea>
    </format>
    <format dxfId="7099">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1509"/>
          </reference>
          <reference field="82" count="1" selected="0">
            <x v="29"/>
          </reference>
          <reference field="85" count="1" selected="0">
            <x v="4"/>
          </reference>
          <reference field="87" count="1" selected="0">
            <x v="1033"/>
          </reference>
          <reference field="88" count="1" selected="0">
            <x v="83"/>
          </reference>
        </references>
      </pivotArea>
    </format>
    <format dxfId="7098">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1677"/>
          </reference>
          <reference field="82" count="1" selected="0">
            <x v="89"/>
          </reference>
          <reference field="85" count="1" selected="0">
            <x v="4"/>
          </reference>
          <reference field="87" count="1" selected="0">
            <x v="1036"/>
          </reference>
          <reference field="88" count="1" selected="0">
            <x v="86"/>
          </reference>
        </references>
      </pivotArea>
    </format>
    <format dxfId="7097">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1675"/>
          </reference>
          <reference field="82" count="1" selected="0">
            <x v="87"/>
          </reference>
          <reference field="85" count="1" selected="0">
            <x v="4"/>
          </reference>
          <reference field="87" count="1" selected="0">
            <x v="1034"/>
          </reference>
          <reference field="88" count="1" selected="0">
            <x v="84"/>
          </reference>
        </references>
      </pivotArea>
    </format>
    <format dxfId="7096">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1676"/>
          </reference>
          <reference field="82" count="1" selected="0">
            <x v="88"/>
          </reference>
          <reference field="85" count="1" selected="0">
            <x v="4"/>
          </reference>
          <reference field="87" count="1" selected="0">
            <x v="1035"/>
          </reference>
          <reference field="88" count="1" selected="0">
            <x v="85"/>
          </reference>
        </references>
      </pivotArea>
    </format>
    <format dxfId="7095">
      <pivotArea dataOnly="0" labelOnly="1" outline="0" fieldPosition="0">
        <references count="15">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73" count="1">
            <x v="11"/>
          </reference>
          <reference field="81" count="1" selected="0">
            <x v="1628"/>
          </reference>
          <reference field="82" count="1" selected="0">
            <x v="39"/>
          </reference>
          <reference field="85" count="1" selected="0">
            <x v="3"/>
          </reference>
          <reference field="87" count="1" selected="0">
            <x v="986"/>
          </reference>
          <reference field="88" count="1" selected="0">
            <x v="35"/>
          </reference>
        </references>
      </pivotArea>
    </format>
    <format dxfId="7094">
      <pivotArea dataOnly="0" labelOnly="1" outline="0" fieldPosition="0">
        <references count="15">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1"/>
          </reference>
          <reference field="81" count="1" selected="0">
            <x v="1665"/>
          </reference>
          <reference field="82" count="1" selected="0">
            <x v="77"/>
          </reference>
          <reference field="85" count="1" selected="0">
            <x v="7"/>
          </reference>
          <reference field="87" count="1" selected="0">
            <x v="1023"/>
          </reference>
          <reference field="88" count="1" selected="0">
            <x v="73"/>
          </reference>
        </references>
      </pivotArea>
    </format>
    <format dxfId="7093">
      <pivotArea dataOnly="0" labelOnly="1" outline="0" fieldPosition="0">
        <references count="15">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73" count="1">
            <x v="11"/>
          </reference>
          <reference field="81" count="1" selected="0">
            <x v="1629"/>
          </reference>
          <reference field="82" count="1" selected="0">
            <x v="40"/>
          </reference>
          <reference field="85" count="1" selected="0">
            <x v="3"/>
          </reference>
          <reference field="87" count="1" selected="0">
            <x v="987"/>
          </reference>
          <reference field="88" count="1" selected="0">
            <x v="36"/>
          </reference>
        </references>
      </pivotArea>
    </format>
    <format dxfId="7092">
      <pivotArea dataOnly="0" labelOnly="1" outline="0" fieldPosition="0">
        <references count="15">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0"/>
          </reference>
          <reference field="81" count="1" selected="0">
            <x v="1666"/>
          </reference>
          <reference field="82" count="1" selected="0">
            <x v="78"/>
          </reference>
          <reference field="85" count="1" selected="0">
            <x v="7"/>
          </reference>
          <reference field="87" count="1" selected="0">
            <x v="1024"/>
          </reference>
          <reference field="88" count="1" selected="0">
            <x v="74"/>
          </reference>
        </references>
      </pivotArea>
    </format>
    <format dxfId="7091">
      <pivotArea dataOnly="0" labelOnly="1" outline="0" fieldPosition="0">
        <references count="15">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73" count="1">
            <x v="9"/>
          </reference>
          <reference field="81" count="1" selected="0">
            <x v="1658"/>
          </reference>
          <reference field="82" count="1" selected="0">
            <x v="70"/>
          </reference>
          <reference field="85" count="1" selected="0">
            <x v="2"/>
          </reference>
          <reference field="87" count="1" selected="0">
            <x v="1016"/>
          </reference>
          <reference field="88" count="1" selected="0">
            <x v="66"/>
          </reference>
        </references>
      </pivotArea>
    </format>
    <format dxfId="7090">
      <pivotArea dataOnly="0" labelOnly="1" outline="0" fieldPosition="0">
        <references count="15">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73" count="1">
            <x v="5"/>
          </reference>
          <reference field="81" count="1" selected="0">
            <x v="1627"/>
          </reference>
          <reference field="82" count="1" selected="0">
            <x v="38"/>
          </reference>
          <reference field="85" count="1" selected="0">
            <x v="3"/>
          </reference>
          <reference field="87" count="1" selected="0">
            <x v="985"/>
          </reference>
          <reference field="88" count="1" selected="0">
            <x v="34"/>
          </reference>
        </references>
      </pivotArea>
    </format>
    <format dxfId="7089">
      <pivotArea dataOnly="0" labelOnly="1" outline="0" fieldPosition="0">
        <references count="15">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73" count="1">
            <x v="46"/>
          </reference>
          <reference field="81" count="1" selected="0">
            <x v="1664"/>
          </reference>
          <reference field="82" count="1" selected="0">
            <x v="76"/>
          </reference>
          <reference field="85" count="1" selected="0">
            <x v="2"/>
          </reference>
          <reference field="87" count="1" selected="0">
            <x v="1022"/>
          </reference>
          <reference field="88" count="1" selected="0">
            <x v="72"/>
          </reference>
        </references>
      </pivotArea>
    </format>
    <format dxfId="7088">
      <pivotArea dataOnly="0" labelOnly="1" outline="0" fieldPosition="0">
        <references count="15">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1662"/>
          </reference>
          <reference field="82" count="1" selected="0">
            <x v="74"/>
          </reference>
          <reference field="85" count="1" selected="0">
            <x v="7"/>
          </reference>
          <reference field="87" count="1" selected="0">
            <x v="1020"/>
          </reference>
          <reference field="88" count="1" selected="0">
            <x v="70"/>
          </reference>
        </references>
      </pivotArea>
    </format>
    <format dxfId="7087">
      <pivotArea dataOnly="0" labelOnly="1" outline="0" fieldPosition="0">
        <references count="15">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1663"/>
          </reference>
          <reference field="82" count="1" selected="0">
            <x v="75"/>
          </reference>
          <reference field="85" count="1" selected="0">
            <x v="7"/>
          </reference>
          <reference field="87" count="1" selected="0">
            <x v="1021"/>
          </reference>
          <reference field="88" count="1" selected="0">
            <x v="71"/>
          </reference>
        </references>
      </pivotArea>
    </format>
    <format dxfId="7086">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73" count="1">
            <x v="51"/>
          </reference>
          <reference field="81" count="1" selected="0">
            <x v="1655"/>
          </reference>
          <reference field="82" count="1" selected="0">
            <x v="67"/>
          </reference>
          <reference field="85" count="1" selected="0">
            <x v="7"/>
          </reference>
          <reference field="87" count="1" selected="0">
            <x v="1013"/>
          </reference>
          <reference field="88" count="1" selected="0">
            <x v="63"/>
          </reference>
        </references>
      </pivotArea>
    </format>
    <format dxfId="7085">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73" count="1">
            <x v="9"/>
          </reference>
          <reference field="81" count="1" selected="0">
            <x v="1654"/>
          </reference>
          <reference field="82" count="1" selected="0">
            <x v="66"/>
          </reference>
          <reference field="85" count="1" selected="0">
            <x v="7"/>
          </reference>
          <reference field="87" count="1" selected="0">
            <x v="1012"/>
          </reference>
          <reference field="88" count="1" selected="0">
            <x v="62"/>
          </reference>
        </references>
      </pivotArea>
    </format>
    <format dxfId="7084">
      <pivotArea field="72" type="button" dataOnly="0" labelOnly="1" outline="0" axis="axisRow" fieldPosition="5"/>
    </format>
    <format dxfId="7083">
      <pivotArea field="81" type="button" dataOnly="0" labelOnly="1" outline="0" axis="axisRow" fieldPosition="8"/>
    </format>
    <format dxfId="7082">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06"/>
          </reference>
        </references>
      </pivotArea>
    </format>
    <format dxfId="7081">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807"/>
          </reference>
        </references>
      </pivotArea>
    </format>
    <format dxfId="7080">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892"/>
          </reference>
        </references>
      </pivotArea>
    </format>
    <format dxfId="707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893"/>
          </reference>
        </references>
      </pivotArea>
    </format>
    <format dxfId="707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894"/>
          </reference>
        </references>
      </pivotArea>
    </format>
    <format dxfId="707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895"/>
          </reference>
        </references>
      </pivotArea>
    </format>
    <format dxfId="7076">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12"/>
          </reference>
        </references>
      </pivotArea>
    </format>
    <format dxfId="7075">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811"/>
          </reference>
        </references>
      </pivotArea>
    </format>
    <format dxfId="7074">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739"/>
          </reference>
        </references>
      </pivotArea>
    </format>
    <format dxfId="707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740"/>
          </reference>
        </references>
      </pivotArea>
    </format>
    <format dxfId="707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737"/>
          </reference>
        </references>
      </pivotArea>
    </format>
    <format dxfId="707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738"/>
          </reference>
        </references>
      </pivotArea>
    </format>
    <format dxfId="7070">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12"/>
          </reference>
        </references>
      </pivotArea>
    </format>
    <format dxfId="7069">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811"/>
          </reference>
        </references>
      </pivotArea>
    </format>
    <format dxfId="7068">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734"/>
          </reference>
        </references>
      </pivotArea>
    </format>
    <format dxfId="706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735"/>
          </reference>
        </references>
      </pivotArea>
    </format>
    <format dxfId="706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737"/>
          </reference>
        </references>
      </pivotArea>
    </format>
    <format dxfId="706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733"/>
          </reference>
        </references>
      </pivotArea>
    </format>
    <format dxfId="7064">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10"/>
          </reference>
        </references>
      </pivotArea>
    </format>
    <format dxfId="7063">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811"/>
          </reference>
        </references>
      </pivotArea>
    </format>
    <format dxfId="7062">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650"/>
          </reference>
        </references>
      </pivotArea>
    </format>
    <format dxfId="7061">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651"/>
          </reference>
        </references>
      </pivotArea>
    </format>
    <format dxfId="7060">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727"/>
          </reference>
        </references>
      </pivotArea>
    </format>
    <format dxfId="705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730"/>
          </reference>
        </references>
      </pivotArea>
    </format>
    <format dxfId="705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728"/>
          </reference>
        </references>
      </pivotArea>
    </format>
    <format dxfId="705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729"/>
          </reference>
        </references>
      </pivotArea>
    </format>
    <format dxfId="7056">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02"/>
          </reference>
        </references>
      </pivotArea>
    </format>
    <format dxfId="7055">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803"/>
          </reference>
        </references>
      </pivotArea>
    </format>
    <format dxfId="7054">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884"/>
          </reference>
        </references>
      </pivotArea>
    </format>
    <format dxfId="705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885"/>
          </reference>
        </references>
      </pivotArea>
    </format>
    <format dxfId="705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886"/>
          </reference>
        </references>
      </pivotArea>
    </format>
    <format dxfId="705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887"/>
          </reference>
        </references>
      </pivotArea>
    </format>
    <format dxfId="7050">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660"/>
          </reference>
        </references>
      </pivotArea>
    </format>
    <format dxfId="7049">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650"/>
          </reference>
        </references>
      </pivotArea>
    </format>
    <format dxfId="704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703"/>
          </reference>
        </references>
      </pivotArea>
    </format>
    <format dxfId="704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705"/>
          </reference>
        </references>
      </pivotArea>
    </format>
    <format dxfId="704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706"/>
          </reference>
        </references>
      </pivotArea>
    </format>
    <format dxfId="704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702"/>
          </reference>
        </references>
      </pivotArea>
    </format>
    <format dxfId="704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707"/>
          </reference>
        </references>
      </pivotArea>
    </format>
    <format dxfId="704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708"/>
          </reference>
        </references>
      </pivotArea>
    </format>
    <format dxfId="704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709"/>
          </reference>
        </references>
      </pivotArea>
    </format>
    <format dxfId="704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704"/>
          </reference>
        </references>
      </pivotArea>
    </format>
    <format dxfId="704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734"/>
          </reference>
        </references>
      </pivotArea>
    </format>
    <format dxfId="703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735"/>
          </reference>
        </references>
      </pivotArea>
    </format>
    <format dxfId="703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736"/>
          </reference>
        </references>
      </pivotArea>
    </format>
    <format dxfId="703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733"/>
          </reference>
        </references>
      </pivotArea>
    </format>
    <format dxfId="7036">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659"/>
          </reference>
        </references>
      </pivotArea>
    </format>
    <format dxfId="7035">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04"/>
          </reference>
        </references>
      </pivotArea>
    </format>
    <format dxfId="7034">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805"/>
          </reference>
        </references>
      </pivotArea>
    </format>
    <format dxfId="7033">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484"/>
          </reference>
        </references>
      </pivotArea>
    </format>
    <format dxfId="7032">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731"/>
          </reference>
        </references>
      </pivotArea>
    </format>
    <format dxfId="7031">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732"/>
          </reference>
        </references>
      </pivotArea>
    </format>
    <format dxfId="7030">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08"/>
          </reference>
        </references>
      </pivotArea>
    </format>
    <format dxfId="7029">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809"/>
          </reference>
        </references>
      </pivotArea>
    </format>
    <format dxfId="702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888"/>
          </reference>
        </references>
      </pivotArea>
    </format>
    <format dxfId="702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889"/>
          </reference>
        </references>
      </pivotArea>
    </format>
    <format dxfId="702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890"/>
          </reference>
        </references>
      </pivotArea>
    </format>
    <format dxfId="7025">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891"/>
          </reference>
        </references>
      </pivotArea>
    </format>
    <format dxfId="7024">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12"/>
          </reference>
        </references>
      </pivotArea>
    </format>
    <format dxfId="7023">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813"/>
          </reference>
        </references>
      </pivotArea>
    </format>
    <format dxfId="7022">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741"/>
          </reference>
        </references>
      </pivotArea>
    </format>
    <format dxfId="7021">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748"/>
          </reference>
        </references>
      </pivotArea>
    </format>
    <format dxfId="702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749"/>
          </reference>
        </references>
      </pivotArea>
    </format>
    <format dxfId="7019">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750"/>
          </reference>
        </references>
      </pivotArea>
    </format>
    <format dxfId="7018">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656"/>
          </reference>
        </references>
      </pivotArea>
    </format>
    <format dxfId="7017">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1640"/>
          </reference>
        </references>
      </pivotArea>
    </format>
    <format dxfId="7016">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641"/>
          </reference>
        </references>
      </pivotArea>
    </format>
    <format dxfId="7015">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742"/>
          </reference>
        </references>
      </pivotArea>
    </format>
    <format dxfId="7014">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743"/>
          </reference>
        </references>
      </pivotArea>
    </format>
    <format dxfId="7013">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744"/>
          </reference>
        </references>
      </pivotArea>
    </format>
    <format dxfId="7012">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814"/>
          </reference>
        </references>
      </pivotArea>
    </format>
    <format dxfId="7011">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815"/>
          </reference>
        </references>
      </pivotArea>
    </format>
    <format dxfId="7010">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1661"/>
          </reference>
        </references>
      </pivotArea>
    </format>
    <format dxfId="7009">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745"/>
          </reference>
        </references>
      </pivotArea>
    </format>
    <format dxfId="7008">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746"/>
          </reference>
        </references>
      </pivotArea>
    </format>
    <format dxfId="7007">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747"/>
          </reference>
        </references>
      </pivotArea>
    </format>
    <format dxfId="7006">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821"/>
          </reference>
        </references>
      </pivotArea>
    </format>
    <format dxfId="7005">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754"/>
          </reference>
        </references>
      </pivotArea>
    </format>
    <format dxfId="7004">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755"/>
          </reference>
        </references>
      </pivotArea>
    </format>
    <format dxfId="7003">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756"/>
          </reference>
        </references>
      </pivotArea>
    </format>
    <format dxfId="7002">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633"/>
          </reference>
        </references>
      </pivotArea>
    </format>
    <format dxfId="7001">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634"/>
          </reference>
        </references>
      </pivotArea>
    </format>
    <format dxfId="700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694"/>
          </reference>
        </references>
      </pivotArea>
    </format>
    <format dxfId="699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695"/>
          </reference>
        </references>
      </pivotArea>
    </format>
    <format dxfId="6998">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692"/>
          </reference>
        </references>
      </pivotArea>
    </format>
    <format dxfId="699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693"/>
          </reference>
        </references>
      </pivotArea>
    </format>
    <format dxfId="6996">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751"/>
          </reference>
        </references>
      </pivotArea>
    </format>
    <format dxfId="6995">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752"/>
          </reference>
        </references>
      </pivotArea>
    </format>
    <format dxfId="6994">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753"/>
          </reference>
        </references>
      </pivotArea>
    </format>
    <format dxfId="6993">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93"/>
          </reference>
          <reference field="81" count="1">
            <x v="1835"/>
          </reference>
        </references>
      </pivotArea>
    </format>
    <format dxfId="6992">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649"/>
          </reference>
        </references>
      </pivotArea>
    </format>
    <format dxfId="6991">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717"/>
          </reference>
        </references>
      </pivotArea>
    </format>
    <format dxfId="6990">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716"/>
          </reference>
        </references>
      </pivotArea>
    </format>
    <format dxfId="6989">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718"/>
          </reference>
        </references>
      </pivotArea>
    </format>
    <format dxfId="6988">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657"/>
          </reference>
        </references>
      </pivotArea>
    </format>
    <format dxfId="6987">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648"/>
          </reference>
        </references>
      </pivotArea>
    </format>
    <format dxfId="698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698"/>
          </reference>
        </references>
      </pivotArea>
    </format>
    <format dxfId="698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699"/>
          </reference>
        </references>
      </pivotArea>
    </format>
    <format dxfId="6984">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696"/>
          </reference>
        </references>
      </pivotArea>
    </format>
    <format dxfId="698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697"/>
          </reference>
        </references>
      </pivotArea>
    </format>
    <format dxfId="6982">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713"/>
          </reference>
        </references>
      </pivotArea>
    </format>
    <format dxfId="6981">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714"/>
          </reference>
        </references>
      </pivotArea>
    </format>
    <format dxfId="6980">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715"/>
          </reference>
        </references>
      </pivotArea>
    </format>
    <format dxfId="6979">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827"/>
          </reference>
        </references>
      </pivotArea>
    </format>
    <format dxfId="6978">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719"/>
          </reference>
        </references>
      </pivotArea>
    </format>
    <format dxfId="6977">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720"/>
          </reference>
        </references>
      </pivotArea>
    </format>
    <format dxfId="6976">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721"/>
          </reference>
        </references>
      </pivotArea>
    </format>
    <format dxfId="6975">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642"/>
          </reference>
        </references>
      </pivotArea>
    </format>
    <format dxfId="6974">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643"/>
          </reference>
        </references>
      </pivotArea>
    </format>
    <format dxfId="6973">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722"/>
          </reference>
        </references>
      </pivotArea>
    </format>
    <format dxfId="6972">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723"/>
          </reference>
        </references>
      </pivotArea>
    </format>
    <format dxfId="6971">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724"/>
          </reference>
        </references>
      </pivotArea>
    </format>
    <format dxfId="6970">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781"/>
          </reference>
        </references>
      </pivotArea>
    </format>
    <format dxfId="6969">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780"/>
          </reference>
        </references>
      </pivotArea>
    </format>
    <format dxfId="6968">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782"/>
          </reference>
        </references>
      </pivotArea>
    </format>
    <format dxfId="6967">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725"/>
          </reference>
        </references>
      </pivotArea>
    </format>
    <format dxfId="6966">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486"/>
          </reference>
        </references>
      </pivotArea>
    </format>
    <format dxfId="6965">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726"/>
          </reference>
        </references>
      </pivotArea>
    </format>
    <format dxfId="6964">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818"/>
          </reference>
        </references>
      </pivotArea>
    </format>
    <format dxfId="696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921"/>
          </reference>
        </references>
      </pivotArea>
    </format>
    <format dxfId="696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922"/>
          </reference>
        </references>
      </pivotArea>
    </format>
    <format dxfId="696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923"/>
          </reference>
        </references>
      </pivotArea>
    </format>
    <format dxfId="6960">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924"/>
          </reference>
        </references>
      </pivotArea>
    </format>
    <format dxfId="695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845"/>
          </reference>
        </references>
      </pivotArea>
    </format>
    <format dxfId="695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846"/>
          </reference>
        </references>
      </pivotArea>
    </format>
    <format dxfId="695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847"/>
          </reference>
        </references>
      </pivotArea>
    </format>
    <format dxfId="695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848"/>
          </reference>
        </references>
      </pivotArea>
    </format>
    <format dxfId="6955">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622"/>
          </reference>
        </references>
      </pivotArea>
    </format>
    <format dxfId="6954">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621"/>
          </reference>
        </references>
      </pivotArea>
    </format>
    <format dxfId="695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841"/>
          </reference>
        </references>
      </pivotArea>
    </format>
    <format dxfId="695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842"/>
          </reference>
        </references>
      </pivotArea>
    </format>
    <format dxfId="695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843"/>
          </reference>
        </references>
      </pivotArea>
    </format>
    <format dxfId="6950">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844"/>
          </reference>
        </references>
      </pivotArea>
    </format>
    <format dxfId="694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837"/>
          </reference>
        </references>
      </pivotArea>
    </format>
    <format dxfId="694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838"/>
          </reference>
        </references>
      </pivotArea>
    </format>
    <format dxfId="694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839"/>
          </reference>
        </references>
      </pivotArea>
    </format>
    <format dxfId="694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840"/>
          </reference>
        </references>
      </pivotArea>
    </format>
    <format dxfId="6945">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758"/>
          </reference>
        </references>
      </pivotArea>
    </format>
    <format dxfId="6944">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759"/>
          </reference>
        </references>
      </pivotArea>
    </format>
    <format dxfId="6943">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757"/>
          </reference>
        </references>
      </pivotArea>
    </format>
    <format dxfId="694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635"/>
          </reference>
        </references>
      </pivotArea>
    </format>
    <format dxfId="6941">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636"/>
          </reference>
        </references>
      </pivotArea>
    </format>
    <format dxfId="6940">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637"/>
          </reference>
        </references>
      </pivotArea>
    </format>
    <format dxfId="693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688"/>
          </reference>
        </references>
      </pivotArea>
    </format>
    <format dxfId="693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689"/>
          </reference>
        </references>
      </pivotArea>
    </format>
    <format dxfId="693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690"/>
          </reference>
        </references>
      </pivotArea>
    </format>
    <format dxfId="693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691"/>
          </reference>
        </references>
      </pivotArea>
    </format>
    <format dxfId="6935">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769"/>
          </reference>
        </references>
      </pivotArea>
    </format>
    <format dxfId="6934">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770"/>
          </reference>
        </references>
      </pivotArea>
    </format>
    <format dxfId="6933">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771"/>
          </reference>
        </references>
      </pivotArea>
    </format>
    <format dxfId="6932">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833"/>
          </reference>
        </references>
      </pivotArea>
    </format>
    <format dxfId="6931">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834"/>
          </reference>
        </references>
      </pivotArea>
    </format>
    <format dxfId="6930">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631"/>
          </reference>
        </references>
      </pivotArea>
    </format>
    <format dxfId="6929">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644"/>
          </reference>
        </references>
      </pivotArea>
    </format>
    <format dxfId="6928">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645"/>
          </reference>
        </references>
      </pivotArea>
    </format>
    <format dxfId="6927">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638"/>
          </reference>
        </references>
      </pivotArea>
    </format>
    <format dxfId="6926">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639"/>
          </reference>
        </references>
      </pivotArea>
    </format>
    <format dxfId="6925">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637"/>
          </reference>
        </references>
      </pivotArea>
    </format>
    <format dxfId="692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685"/>
          </reference>
        </references>
      </pivotArea>
    </format>
    <format dxfId="692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683"/>
          </reference>
        </references>
      </pivotArea>
    </format>
    <format dxfId="692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686"/>
          </reference>
        </references>
      </pivotArea>
    </format>
    <format dxfId="692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687"/>
          </reference>
        </references>
      </pivotArea>
    </format>
    <format dxfId="6920">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766"/>
          </reference>
        </references>
      </pivotArea>
    </format>
    <format dxfId="6919">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767"/>
          </reference>
        </references>
      </pivotArea>
    </format>
    <format dxfId="6918">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768"/>
          </reference>
        </references>
      </pivotArea>
    </format>
    <format dxfId="6917">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832"/>
          </reference>
        </references>
      </pivotArea>
    </format>
    <format dxfId="6916">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632"/>
          </reference>
        </references>
      </pivotArea>
    </format>
    <format dxfId="6915">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646"/>
          </reference>
        </references>
      </pivotArea>
    </format>
    <format dxfId="6914">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647"/>
          </reference>
        </references>
      </pivotArea>
    </format>
    <format dxfId="691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626"/>
          </reference>
        </references>
      </pivotArea>
    </format>
    <format dxfId="691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625"/>
          </reference>
        </references>
      </pivotArea>
    </format>
    <format dxfId="691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623"/>
          </reference>
        </references>
      </pivotArea>
    </format>
    <format dxfId="691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624"/>
          </reference>
        </references>
      </pivotArea>
    </format>
    <format dxfId="6909">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700"/>
          </reference>
        </references>
      </pivotArea>
    </format>
    <format dxfId="690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760"/>
          </reference>
        </references>
      </pivotArea>
    </format>
    <format dxfId="690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761"/>
          </reference>
        </references>
      </pivotArea>
    </format>
    <format dxfId="690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762"/>
          </reference>
        </references>
      </pivotArea>
    </format>
    <format dxfId="6905">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773"/>
          </reference>
        </references>
      </pivotArea>
    </format>
    <format dxfId="690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774"/>
          </reference>
        </references>
      </pivotArea>
    </format>
    <format dxfId="6903">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772"/>
          </reference>
        </references>
      </pivotArea>
    </format>
    <format dxfId="6902">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701"/>
          </reference>
        </references>
      </pivotArea>
    </format>
    <format dxfId="6901">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763"/>
          </reference>
        </references>
      </pivotArea>
    </format>
    <format dxfId="690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764"/>
          </reference>
        </references>
      </pivotArea>
    </format>
    <format dxfId="6899">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765"/>
          </reference>
        </references>
      </pivotArea>
    </format>
    <format dxfId="689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776"/>
          </reference>
        </references>
      </pivotArea>
    </format>
    <format dxfId="689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777"/>
          </reference>
        </references>
      </pivotArea>
    </format>
    <format dxfId="689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778"/>
          </reference>
        </references>
      </pivotArea>
    </format>
    <format dxfId="689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775"/>
          </reference>
        </references>
      </pivotArea>
    </format>
    <format dxfId="689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779"/>
          </reference>
        </references>
      </pivotArea>
    </format>
    <format dxfId="6893">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830"/>
          </reference>
        </references>
      </pivotArea>
    </format>
    <format dxfId="689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831"/>
          </reference>
        </references>
      </pivotArea>
    </format>
    <format dxfId="6891">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900"/>
          </reference>
        </references>
      </pivotArea>
    </format>
    <format dxfId="689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901"/>
          </reference>
        </references>
      </pivotArea>
    </format>
    <format dxfId="688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902"/>
          </reference>
        </references>
      </pivotArea>
    </format>
    <format dxfId="688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899"/>
          </reference>
        </references>
      </pivotArea>
    </format>
    <format dxfId="688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908"/>
          </reference>
        </references>
      </pivotArea>
    </format>
    <format dxfId="688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909"/>
          </reference>
        </references>
      </pivotArea>
    </format>
    <format dxfId="688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910"/>
          </reference>
        </references>
      </pivotArea>
    </format>
    <format dxfId="688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907"/>
          </reference>
        </references>
      </pivotArea>
    </format>
    <format dxfId="688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905"/>
          </reference>
        </references>
      </pivotArea>
    </format>
    <format dxfId="688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906"/>
          </reference>
        </references>
      </pivotArea>
    </format>
    <format dxfId="688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904"/>
          </reference>
        </references>
      </pivotArea>
    </format>
    <format dxfId="688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903"/>
          </reference>
        </references>
      </pivotArea>
    </format>
    <format dxfId="6879">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1652"/>
          </reference>
        </references>
      </pivotArea>
    </format>
    <format dxfId="6878">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653"/>
          </reference>
        </references>
      </pivotArea>
    </format>
    <format dxfId="6877">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801"/>
          </reference>
        </references>
      </pivotArea>
    </format>
    <format dxfId="6876">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917"/>
          </reference>
        </references>
      </pivotArea>
    </format>
    <format dxfId="6875">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918"/>
          </reference>
        </references>
      </pivotArea>
    </format>
    <format dxfId="6874">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920"/>
          </reference>
        </references>
      </pivotArea>
    </format>
    <format dxfId="687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671"/>
          </reference>
        </references>
      </pivotArea>
    </format>
    <format dxfId="687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674"/>
          </reference>
        </references>
      </pivotArea>
    </format>
    <format dxfId="687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672"/>
          </reference>
        </references>
      </pivotArea>
    </format>
    <format dxfId="687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673"/>
          </reference>
        </references>
      </pivotArea>
    </format>
    <format dxfId="686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867"/>
          </reference>
        </references>
      </pivotArea>
    </format>
    <format dxfId="686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63"/>
          </reference>
        </references>
      </pivotArea>
    </format>
    <format dxfId="686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64"/>
          </reference>
        </references>
      </pivotArea>
    </format>
    <format dxfId="686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65"/>
          </reference>
        </references>
      </pivotArea>
    </format>
    <format dxfId="686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66"/>
          </reference>
        </references>
      </pivotArea>
    </format>
    <format dxfId="686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667"/>
          </reference>
        </references>
      </pivotArea>
    </format>
    <format dxfId="686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670"/>
          </reference>
        </references>
      </pivotArea>
    </format>
    <format dxfId="686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668"/>
          </reference>
        </references>
      </pivotArea>
    </format>
    <format dxfId="686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669"/>
          </reference>
        </references>
      </pivotArea>
    </format>
    <format dxfId="686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862"/>
          </reference>
        </references>
      </pivotArea>
    </format>
    <format dxfId="685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58"/>
          </reference>
        </references>
      </pivotArea>
    </format>
    <format dxfId="685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59"/>
          </reference>
        </references>
      </pivotArea>
    </format>
    <format dxfId="685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60"/>
          </reference>
        </references>
      </pivotArea>
    </format>
    <format dxfId="685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61"/>
          </reference>
        </references>
      </pivotArea>
    </format>
    <format dxfId="6855">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710"/>
          </reference>
        </references>
      </pivotArea>
    </format>
    <format dxfId="685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705"/>
          </reference>
        </references>
      </pivotArea>
    </format>
    <format dxfId="685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711"/>
          </reference>
        </references>
      </pivotArea>
    </format>
    <format dxfId="685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712"/>
          </reference>
        </references>
      </pivotArea>
    </format>
    <format dxfId="685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857"/>
          </reference>
        </references>
      </pivotArea>
    </format>
    <format dxfId="685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53"/>
          </reference>
        </references>
      </pivotArea>
    </format>
    <format dxfId="684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54"/>
          </reference>
        </references>
      </pivotArea>
    </format>
    <format dxfId="684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55"/>
          </reference>
        </references>
      </pivotArea>
    </format>
    <format dxfId="684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56"/>
          </reference>
        </references>
      </pivotArea>
    </format>
    <format dxfId="6846">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913"/>
          </reference>
        </references>
      </pivotArea>
    </format>
    <format dxfId="684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916"/>
          </reference>
        </references>
      </pivotArea>
    </format>
    <format dxfId="684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914"/>
          </reference>
        </references>
      </pivotArea>
    </format>
    <format dxfId="6843">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915"/>
          </reference>
        </references>
      </pivotArea>
    </format>
    <format dxfId="684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876"/>
          </reference>
        </references>
      </pivotArea>
    </format>
    <format dxfId="684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877"/>
          </reference>
        </references>
      </pivotArea>
    </format>
    <format dxfId="684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878"/>
          </reference>
        </references>
      </pivotArea>
    </format>
    <format dxfId="6839">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879"/>
          </reference>
        </references>
      </pivotArea>
    </format>
    <format dxfId="683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880"/>
          </reference>
        </references>
      </pivotArea>
    </format>
    <format dxfId="683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881"/>
          </reference>
        </references>
      </pivotArea>
    </format>
    <format dxfId="683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882"/>
          </reference>
        </references>
      </pivotArea>
    </format>
    <format dxfId="6835">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883"/>
          </reference>
        </references>
      </pivotArea>
    </format>
    <format dxfId="683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849"/>
          </reference>
        </references>
      </pivotArea>
    </format>
    <format dxfId="683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851"/>
          </reference>
        </references>
      </pivotArea>
    </format>
    <format dxfId="683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852"/>
          </reference>
        </references>
      </pivotArea>
    </format>
    <format dxfId="683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850"/>
          </reference>
        </references>
      </pivotArea>
    </format>
    <format dxfId="6830">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799"/>
          </reference>
        </references>
      </pivotArea>
    </format>
    <format dxfId="6829">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800"/>
          </reference>
        </references>
      </pivotArea>
    </format>
    <format dxfId="6828">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798"/>
          </reference>
        </references>
      </pivotArea>
    </format>
    <format dxfId="682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509"/>
          </reference>
        </references>
      </pivotArea>
    </format>
    <format dxfId="682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677"/>
          </reference>
        </references>
      </pivotArea>
    </format>
    <format dxfId="682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675"/>
          </reference>
        </references>
      </pivotArea>
    </format>
    <format dxfId="6824">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676"/>
          </reference>
        </references>
      </pivotArea>
    </format>
    <format dxfId="682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68"/>
          </reference>
        </references>
      </pivotArea>
    </format>
    <format dxfId="682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69"/>
          </reference>
        </references>
      </pivotArea>
    </format>
    <format dxfId="682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70"/>
          </reference>
        </references>
      </pivotArea>
    </format>
    <format dxfId="6820">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71"/>
          </reference>
        </references>
      </pivotArea>
    </format>
    <format dxfId="681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72"/>
          </reference>
        </references>
      </pivotArea>
    </format>
    <format dxfId="681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73"/>
          </reference>
        </references>
      </pivotArea>
    </format>
    <format dxfId="681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74"/>
          </reference>
        </references>
      </pivotArea>
    </format>
    <format dxfId="681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75"/>
          </reference>
        </references>
      </pivotArea>
    </format>
    <format dxfId="6815">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628"/>
          </reference>
        </references>
      </pivotArea>
    </format>
    <format dxfId="6814">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925"/>
          </reference>
        </references>
      </pivotArea>
    </format>
    <format dxfId="6813">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665"/>
          </reference>
        </references>
      </pivotArea>
    </format>
    <format dxfId="6812">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629"/>
          </reference>
        </references>
      </pivotArea>
    </format>
    <format dxfId="6811">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666"/>
          </reference>
        </references>
      </pivotArea>
    </format>
    <format dxfId="6810">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927"/>
          </reference>
        </references>
      </pivotArea>
    </format>
    <format dxfId="6809">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929"/>
          </reference>
        </references>
      </pivotArea>
    </format>
    <format dxfId="6808">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928"/>
          </reference>
        </references>
      </pivotArea>
    </format>
    <format dxfId="6807">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658"/>
          </reference>
        </references>
      </pivotArea>
    </format>
    <format dxfId="6806">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930"/>
          </reference>
        </references>
      </pivotArea>
    </format>
    <format dxfId="6805">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627"/>
          </reference>
        </references>
      </pivotArea>
    </format>
    <format dxfId="6804">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919"/>
          </reference>
        </references>
      </pivotArea>
    </format>
    <format dxfId="680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1784"/>
            <x v="1787"/>
          </reference>
        </references>
      </pivotArea>
    </format>
    <format dxfId="680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2">
            <x v="1785"/>
            <x v="1788"/>
          </reference>
        </references>
      </pivotArea>
    </format>
    <format dxfId="680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793"/>
          </reference>
        </references>
      </pivotArea>
    </format>
    <format dxfId="680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791"/>
          </reference>
        </references>
      </pivotArea>
    </format>
    <format dxfId="679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790"/>
          </reference>
        </references>
      </pivotArea>
    </format>
    <format dxfId="679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789"/>
          </reference>
        </references>
      </pivotArea>
    </format>
    <format dxfId="679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1783"/>
            <x v="1786"/>
          </reference>
        </references>
      </pivotArea>
    </format>
    <format dxfId="679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792"/>
          </reference>
        </references>
      </pivotArea>
    </format>
    <format dxfId="6795">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926"/>
          </reference>
        </references>
      </pivotArea>
    </format>
    <format dxfId="6794">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1664"/>
          </reference>
        </references>
      </pivotArea>
    </format>
    <format dxfId="6793">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662"/>
          </reference>
        </references>
      </pivotArea>
    </format>
    <format dxfId="6792">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1795"/>
            <x v="1797"/>
          </reference>
        </references>
      </pivotArea>
    </format>
    <format dxfId="6791">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1794"/>
            <x v="1796"/>
          </reference>
        </references>
      </pivotArea>
    </format>
    <format dxfId="6790">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663"/>
          </reference>
        </references>
      </pivotArea>
    </format>
    <format dxfId="6789">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911"/>
          </reference>
        </references>
      </pivotArea>
    </format>
    <format dxfId="6788">
      <pivotArea dataOnly="0" labelOnly="1" outline="0" fieldPosition="0">
        <references count="9">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912"/>
          </reference>
        </references>
      </pivotArea>
    </format>
    <format dxfId="6787">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820"/>
          </reference>
        </references>
      </pivotArea>
    </format>
    <format dxfId="6786">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826"/>
          </reference>
        </references>
      </pivotArea>
    </format>
    <format dxfId="6785">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1655"/>
          </reference>
        </references>
      </pivotArea>
    </format>
    <format dxfId="6784">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654"/>
          </reference>
        </references>
      </pivotArea>
    </format>
    <format dxfId="6783">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896"/>
          </reference>
        </references>
      </pivotArea>
    </format>
    <format dxfId="6782">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897"/>
          </reference>
        </references>
      </pivotArea>
    </format>
    <format dxfId="6781">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898"/>
          </reference>
        </references>
      </pivotArea>
    </format>
    <format dxfId="6780">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1496"/>
          </reference>
        </references>
      </pivotArea>
    </format>
    <format dxfId="6779">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821"/>
          </reference>
        </references>
      </pivotArea>
    </format>
    <format dxfId="6778">
      <pivotArea dataOnly="0" labelOnly="1" outline="0" fieldPosition="0">
        <references count="9">
          <reference field="1" count="1" selected="0">
            <x v="50"/>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836"/>
          </reference>
        </references>
      </pivotArea>
    </format>
    <format dxfId="6777">
      <pivotArea field="82" type="button" dataOnly="0" labelOnly="1" outline="0" axis="axisRow" fieldPosition="9"/>
    </format>
    <format dxfId="6776">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06"/>
          </reference>
          <reference field="82" count="1">
            <x v="220"/>
          </reference>
        </references>
      </pivotArea>
    </format>
    <format dxfId="6775">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1807"/>
          </reference>
          <reference field="82" count="1">
            <x v="221"/>
          </reference>
        </references>
      </pivotArea>
    </format>
    <format dxfId="6774">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892"/>
          </reference>
          <reference field="82" count="1">
            <x v="306"/>
          </reference>
        </references>
      </pivotArea>
    </format>
    <format dxfId="6773">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893"/>
          </reference>
          <reference field="82" count="1">
            <x v="307"/>
          </reference>
        </references>
      </pivotArea>
    </format>
    <format dxfId="6772">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894"/>
          </reference>
          <reference field="82" count="1">
            <x v="308"/>
          </reference>
        </references>
      </pivotArea>
    </format>
    <format dxfId="6771">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895"/>
          </reference>
          <reference field="82" count="1">
            <x v="309"/>
          </reference>
        </references>
      </pivotArea>
    </format>
    <format dxfId="6770">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12"/>
          </reference>
          <reference field="82" count="1">
            <x v="226"/>
          </reference>
        </references>
      </pivotArea>
    </format>
    <format dxfId="6769">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1811"/>
          </reference>
          <reference field="82" count="1">
            <x v="225"/>
          </reference>
        </references>
      </pivotArea>
    </format>
    <format dxfId="6768">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739"/>
          </reference>
          <reference field="82" count="1">
            <x v="153"/>
          </reference>
        </references>
      </pivotArea>
    </format>
    <format dxfId="6767">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1740"/>
          </reference>
          <reference field="82" count="1">
            <x v="154"/>
          </reference>
        </references>
      </pivotArea>
    </format>
    <format dxfId="6766">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1737"/>
          </reference>
          <reference field="82" count="1">
            <x v="151"/>
          </reference>
        </references>
      </pivotArea>
    </format>
    <format dxfId="6765">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1738"/>
          </reference>
          <reference field="82" count="1">
            <x v="152"/>
          </reference>
        </references>
      </pivotArea>
    </format>
    <format dxfId="6764">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12"/>
          </reference>
          <reference field="82" count="1">
            <x v="226"/>
          </reference>
        </references>
      </pivotArea>
    </format>
    <format dxfId="6763">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1811"/>
          </reference>
          <reference field="82" count="1">
            <x v="225"/>
          </reference>
        </references>
      </pivotArea>
    </format>
    <format dxfId="6762">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734"/>
          </reference>
          <reference field="82" count="1">
            <x v="148"/>
          </reference>
        </references>
      </pivotArea>
    </format>
    <format dxfId="6761">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1735"/>
          </reference>
          <reference field="82" count="1">
            <x v="149"/>
          </reference>
        </references>
      </pivotArea>
    </format>
    <format dxfId="6760">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1737"/>
          </reference>
          <reference field="82" count="1">
            <x v="151"/>
          </reference>
        </references>
      </pivotArea>
    </format>
    <format dxfId="6759">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1733"/>
          </reference>
          <reference field="82" count="1">
            <x v="147"/>
          </reference>
        </references>
      </pivotArea>
    </format>
    <format dxfId="6758">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10"/>
          </reference>
          <reference field="82" count="1">
            <x v="224"/>
          </reference>
        </references>
      </pivotArea>
    </format>
    <format dxfId="6757">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1811"/>
          </reference>
          <reference field="82" count="1">
            <x v="225"/>
          </reference>
        </references>
      </pivotArea>
    </format>
    <format dxfId="6756">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1650"/>
          </reference>
          <reference field="82" count="1">
            <x v="61"/>
          </reference>
        </references>
      </pivotArea>
    </format>
    <format dxfId="6755">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651"/>
          </reference>
          <reference field="82" count="1">
            <x v="63"/>
          </reference>
        </references>
      </pivotArea>
    </format>
    <format dxfId="6754">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1727"/>
          </reference>
          <reference field="82" count="1">
            <x v="141"/>
          </reference>
        </references>
      </pivotArea>
    </format>
    <format dxfId="6753">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1730"/>
          </reference>
          <reference field="82" count="1">
            <x v="144"/>
          </reference>
        </references>
      </pivotArea>
    </format>
    <format dxfId="6752">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1728"/>
          </reference>
          <reference field="82" count="1">
            <x v="142"/>
          </reference>
        </references>
      </pivotArea>
    </format>
    <format dxfId="6751">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1729"/>
          </reference>
          <reference field="82" count="1">
            <x v="143"/>
          </reference>
        </references>
      </pivotArea>
    </format>
    <format dxfId="6750">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02"/>
          </reference>
          <reference field="82" count="1">
            <x v="216"/>
          </reference>
        </references>
      </pivotArea>
    </format>
    <format dxfId="6749">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1803"/>
          </reference>
          <reference field="82" count="1">
            <x v="217"/>
          </reference>
        </references>
      </pivotArea>
    </format>
    <format dxfId="6748">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884"/>
          </reference>
          <reference field="82" count="1">
            <x v="298"/>
          </reference>
        </references>
      </pivotArea>
    </format>
    <format dxfId="6747">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885"/>
          </reference>
          <reference field="82" count="1">
            <x v="299"/>
          </reference>
        </references>
      </pivotArea>
    </format>
    <format dxfId="6746">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886"/>
          </reference>
          <reference field="82" count="1">
            <x v="300"/>
          </reference>
        </references>
      </pivotArea>
    </format>
    <format dxfId="6745">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887"/>
          </reference>
          <reference field="82" count="1">
            <x v="301"/>
          </reference>
        </references>
      </pivotArea>
    </format>
    <format dxfId="6744">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1660"/>
          </reference>
          <reference field="82" count="1">
            <x v="72"/>
          </reference>
        </references>
      </pivotArea>
    </format>
    <format dxfId="6743">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1650"/>
          </reference>
          <reference field="82" count="1">
            <x v="62"/>
          </reference>
        </references>
      </pivotArea>
    </format>
    <format dxfId="674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1703"/>
          </reference>
          <reference field="82" count="1">
            <x v="116"/>
          </reference>
        </references>
      </pivotArea>
    </format>
    <format dxfId="674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1705"/>
          </reference>
          <reference field="82" count="1">
            <x v="118"/>
          </reference>
        </references>
      </pivotArea>
    </format>
    <format dxfId="674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1706"/>
          </reference>
          <reference field="82" count="1">
            <x v="119"/>
          </reference>
        </references>
      </pivotArea>
    </format>
    <format dxfId="673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1702"/>
          </reference>
          <reference field="82" count="1">
            <x v="115"/>
          </reference>
        </references>
      </pivotArea>
    </format>
    <format dxfId="673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1707"/>
          </reference>
          <reference field="82" count="1">
            <x v="120"/>
          </reference>
        </references>
      </pivotArea>
    </format>
    <format dxfId="673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1708"/>
          </reference>
          <reference field="82" count="1">
            <x v="121"/>
          </reference>
        </references>
      </pivotArea>
    </format>
    <format dxfId="673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1709"/>
          </reference>
          <reference field="82" count="1">
            <x v="122"/>
          </reference>
        </references>
      </pivotArea>
    </format>
    <format dxfId="673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1704"/>
          </reference>
          <reference field="82" count="1">
            <x v="117"/>
          </reference>
        </references>
      </pivotArea>
    </format>
    <format dxfId="6734">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734"/>
          </reference>
          <reference field="82" count="1">
            <x v="148"/>
          </reference>
        </references>
      </pivotArea>
    </format>
    <format dxfId="6733">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1735"/>
          </reference>
          <reference field="82" count="1">
            <x v="149"/>
          </reference>
        </references>
      </pivotArea>
    </format>
    <format dxfId="6732">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1736"/>
          </reference>
          <reference field="82" count="1">
            <x v="150"/>
          </reference>
        </references>
      </pivotArea>
    </format>
    <format dxfId="6731">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1733"/>
          </reference>
          <reference field="82" count="1">
            <x v="147"/>
          </reference>
        </references>
      </pivotArea>
    </format>
    <format dxfId="6730">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1659"/>
          </reference>
          <reference field="82" count="1">
            <x v="71"/>
          </reference>
        </references>
      </pivotArea>
    </format>
    <format dxfId="6729">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04"/>
          </reference>
          <reference field="82" count="1">
            <x v="218"/>
          </reference>
        </references>
      </pivotArea>
    </format>
    <format dxfId="6728">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1805"/>
          </reference>
          <reference field="82" count="1">
            <x v="219"/>
          </reference>
        </references>
      </pivotArea>
    </format>
    <format dxfId="6727">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1484"/>
          </reference>
          <reference field="82" count="1">
            <x v="27"/>
          </reference>
        </references>
      </pivotArea>
    </format>
    <format dxfId="6726">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1731"/>
          </reference>
          <reference field="82" count="1">
            <x v="145"/>
          </reference>
        </references>
      </pivotArea>
    </format>
    <format dxfId="6725">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1732"/>
          </reference>
          <reference field="82" count="1">
            <x v="146"/>
          </reference>
        </references>
      </pivotArea>
    </format>
    <format dxfId="6724">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08"/>
          </reference>
          <reference field="82" count="1">
            <x v="222"/>
          </reference>
        </references>
      </pivotArea>
    </format>
    <format dxfId="6723">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1809"/>
          </reference>
          <reference field="82" count="1">
            <x v="223"/>
          </reference>
        </references>
      </pivotArea>
    </format>
    <format dxfId="6722">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888"/>
          </reference>
          <reference field="82" count="1">
            <x v="302"/>
          </reference>
        </references>
      </pivotArea>
    </format>
    <format dxfId="6721">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889"/>
          </reference>
          <reference field="82" count="1">
            <x v="303"/>
          </reference>
        </references>
      </pivotArea>
    </format>
    <format dxfId="6720">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890"/>
          </reference>
          <reference field="82" count="1">
            <x v="304"/>
          </reference>
        </references>
      </pivotArea>
    </format>
    <format dxfId="6719">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891"/>
          </reference>
          <reference field="82" count="1">
            <x v="305"/>
          </reference>
        </references>
      </pivotArea>
    </format>
    <format dxfId="6718">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12"/>
          </reference>
          <reference field="82" count="1">
            <x v="226"/>
          </reference>
        </references>
      </pivotArea>
    </format>
    <format dxfId="6717">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1813"/>
          </reference>
          <reference field="82" count="1">
            <x v="227"/>
          </reference>
        </references>
      </pivotArea>
    </format>
    <format dxfId="6716">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741"/>
          </reference>
          <reference field="82" count="1">
            <x v="155"/>
          </reference>
        </references>
      </pivotArea>
    </format>
    <format dxfId="6715">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1748"/>
          </reference>
          <reference field="82" count="1">
            <x v="162"/>
          </reference>
        </references>
      </pivotArea>
    </format>
    <format dxfId="6714">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1749"/>
          </reference>
          <reference field="82" count="1">
            <x v="163"/>
          </reference>
        </references>
      </pivotArea>
    </format>
    <format dxfId="6713">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1750"/>
          </reference>
          <reference field="82" count="1">
            <x v="164"/>
          </reference>
        </references>
      </pivotArea>
    </format>
    <format dxfId="6712">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1656"/>
          </reference>
          <reference field="82" count="1">
            <x v="68"/>
          </reference>
        </references>
      </pivotArea>
    </format>
    <format dxfId="6711">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selected="0">
            <x v="1640"/>
          </reference>
          <reference field="82" count="1">
            <x v="51"/>
          </reference>
        </references>
      </pivotArea>
    </format>
    <format dxfId="6710">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1641"/>
          </reference>
          <reference field="82" count="1">
            <x v="52"/>
          </reference>
        </references>
      </pivotArea>
    </format>
    <format dxfId="6709">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1742"/>
          </reference>
          <reference field="82" count="1">
            <x v="156"/>
          </reference>
        </references>
      </pivotArea>
    </format>
    <format dxfId="6708">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1743"/>
          </reference>
          <reference field="82" count="1">
            <x v="157"/>
          </reference>
        </references>
      </pivotArea>
    </format>
    <format dxfId="6707">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1744"/>
          </reference>
          <reference field="82" count="1">
            <x v="158"/>
          </reference>
        </references>
      </pivotArea>
    </format>
    <format dxfId="6706">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1814"/>
          </reference>
          <reference field="82" count="1">
            <x v="228"/>
          </reference>
        </references>
      </pivotArea>
    </format>
    <format dxfId="6705">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1815"/>
          </reference>
          <reference field="82" count="1">
            <x v="229"/>
          </reference>
        </references>
      </pivotArea>
    </format>
    <format dxfId="6704">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1661"/>
          </reference>
          <reference field="82" count="1">
            <x v="73"/>
          </reference>
        </references>
      </pivotArea>
    </format>
    <format dxfId="6703">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1745"/>
          </reference>
          <reference field="82" count="1">
            <x v="159"/>
          </reference>
        </references>
      </pivotArea>
    </format>
    <format dxfId="6702">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1746"/>
          </reference>
          <reference field="82" count="1">
            <x v="160"/>
          </reference>
        </references>
      </pivotArea>
    </format>
    <format dxfId="6701">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1747"/>
          </reference>
          <reference field="82" count="1">
            <x v="161"/>
          </reference>
        </references>
      </pivotArea>
    </format>
    <format dxfId="6700">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1821"/>
          </reference>
          <reference field="82" count="1">
            <x v="235"/>
          </reference>
        </references>
      </pivotArea>
    </format>
    <format dxfId="6699">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1754"/>
          </reference>
          <reference field="82" count="1">
            <x v="168"/>
          </reference>
        </references>
      </pivotArea>
    </format>
    <format dxfId="6698">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1755"/>
          </reference>
          <reference field="82" count="1">
            <x v="169"/>
          </reference>
        </references>
      </pivotArea>
    </format>
    <format dxfId="6697">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1756"/>
          </reference>
          <reference field="82" count="1">
            <x v="170"/>
          </reference>
        </references>
      </pivotArea>
    </format>
    <format dxfId="6696">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1633"/>
          </reference>
          <reference field="82" count="1">
            <x v="44"/>
          </reference>
        </references>
      </pivotArea>
    </format>
    <format dxfId="6695">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634"/>
          </reference>
          <reference field="82" count="1">
            <x v="45"/>
          </reference>
        </references>
      </pivotArea>
    </format>
    <format dxfId="6694">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1694"/>
          </reference>
          <reference field="82" count="1">
            <x v="107"/>
          </reference>
        </references>
      </pivotArea>
    </format>
    <format dxfId="6693">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1695"/>
          </reference>
          <reference field="82" count="1">
            <x v="108"/>
          </reference>
        </references>
      </pivotArea>
    </format>
    <format dxfId="6692">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1692"/>
          </reference>
          <reference field="82" count="1">
            <x v="105"/>
          </reference>
        </references>
      </pivotArea>
    </format>
    <format dxfId="6691">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1693"/>
          </reference>
          <reference field="82" count="1">
            <x v="106"/>
          </reference>
        </references>
      </pivotArea>
    </format>
    <format dxfId="6690">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1751"/>
          </reference>
          <reference field="82" count="1">
            <x v="165"/>
          </reference>
        </references>
      </pivotArea>
    </format>
    <format dxfId="6689">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1752"/>
          </reference>
          <reference field="82" count="1">
            <x v="166"/>
          </reference>
        </references>
      </pivotArea>
    </format>
    <format dxfId="6688">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1753"/>
          </reference>
          <reference field="82" count="1">
            <x v="167"/>
          </reference>
        </references>
      </pivotArea>
    </format>
    <format dxfId="6687">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93"/>
          </reference>
          <reference field="81" count="1" selected="0">
            <x v="1835"/>
          </reference>
          <reference field="82" count="1">
            <x v="249"/>
          </reference>
        </references>
      </pivotArea>
    </format>
    <format dxfId="6686">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1649"/>
          </reference>
          <reference field="82" count="1">
            <x v="60"/>
          </reference>
        </references>
      </pivotArea>
    </format>
    <format dxfId="6685">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1717"/>
          </reference>
          <reference field="82" count="1">
            <x v="131"/>
          </reference>
        </references>
      </pivotArea>
    </format>
    <format dxfId="6684">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1716"/>
          </reference>
          <reference field="82" count="1">
            <x v="130"/>
          </reference>
        </references>
      </pivotArea>
    </format>
    <format dxfId="6683">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1718"/>
          </reference>
          <reference field="82" count="1">
            <x v="132"/>
          </reference>
        </references>
      </pivotArea>
    </format>
    <format dxfId="6682">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1657"/>
          </reference>
          <reference field="82" count="1">
            <x v="69"/>
          </reference>
        </references>
      </pivotArea>
    </format>
    <format dxfId="6681">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1648"/>
          </reference>
          <reference field="82" count="1">
            <x v="59"/>
          </reference>
        </references>
      </pivotArea>
    </format>
    <format dxfId="6680">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1698"/>
          </reference>
          <reference field="82" count="1">
            <x v="111"/>
          </reference>
        </references>
      </pivotArea>
    </format>
    <format dxfId="6679">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1699"/>
          </reference>
          <reference field="82" count="1">
            <x v="112"/>
          </reference>
        </references>
      </pivotArea>
    </format>
    <format dxfId="6678">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1696"/>
          </reference>
          <reference field="82" count="1">
            <x v="109"/>
          </reference>
        </references>
      </pivotArea>
    </format>
    <format dxfId="6677">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1697"/>
          </reference>
          <reference field="82" count="1">
            <x v="110"/>
          </reference>
        </references>
      </pivotArea>
    </format>
    <format dxfId="6676">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1713"/>
          </reference>
          <reference field="82" count="1">
            <x v="127"/>
          </reference>
        </references>
      </pivotArea>
    </format>
    <format dxfId="6675">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1714"/>
          </reference>
          <reference field="82" count="1">
            <x v="128"/>
          </reference>
        </references>
      </pivotArea>
    </format>
    <format dxfId="6674">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1715"/>
          </reference>
          <reference field="82" count="1">
            <x v="129"/>
          </reference>
        </references>
      </pivotArea>
    </format>
    <format dxfId="6673">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1827"/>
          </reference>
          <reference field="82" count="1">
            <x v="241"/>
          </reference>
        </references>
      </pivotArea>
    </format>
    <format dxfId="6672">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1719"/>
          </reference>
          <reference field="82" count="1">
            <x v="133"/>
          </reference>
        </references>
      </pivotArea>
    </format>
    <format dxfId="6671">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1720"/>
          </reference>
          <reference field="82" count="1">
            <x v="134"/>
          </reference>
        </references>
      </pivotArea>
    </format>
    <format dxfId="6670">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1721"/>
          </reference>
          <reference field="82" count="1">
            <x v="135"/>
          </reference>
        </references>
      </pivotArea>
    </format>
    <format dxfId="6669">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1642"/>
          </reference>
          <reference field="82" count="1">
            <x v="53"/>
          </reference>
        </references>
      </pivotArea>
    </format>
    <format dxfId="6668">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643"/>
          </reference>
          <reference field="82" count="1">
            <x v="54"/>
          </reference>
        </references>
      </pivotArea>
    </format>
    <format dxfId="6667">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1722"/>
          </reference>
          <reference field="82" count="1">
            <x v="136"/>
          </reference>
        </references>
      </pivotArea>
    </format>
    <format dxfId="6666">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1723"/>
          </reference>
          <reference field="82" count="1">
            <x v="137"/>
          </reference>
        </references>
      </pivotArea>
    </format>
    <format dxfId="6665">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1724"/>
          </reference>
          <reference field="82" count="1">
            <x v="138"/>
          </reference>
        </references>
      </pivotArea>
    </format>
    <format dxfId="6664">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1781"/>
          </reference>
          <reference field="82" count="1">
            <x v="195"/>
          </reference>
        </references>
      </pivotArea>
    </format>
    <format dxfId="6663">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1780"/>
          </reference>
          <reference field="82" count="1">
            <x v="194"/>
          </reference>
        </references>
      </pivotArea>
    </format>
    <format dxfId="6662">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1782"/>
          </reference>
          <reference field="82" count="1">
            <x v="196"/>
          </reference>
        </references>
      </pivotArea>
    </format>
    <format dxfId="6661">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1725"/>
          </reference>
          <reference field="82" count="1">
            <x v="139"/>
          </reference>
        </references>
      </pivotArea>
    </format>
    <format dxfId="6660">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1486"/>
          </reference>
          <reference field="82" count="1">
            <x v="31"/>
          </reference>
        </references>
      </pivotArea>
    </format>
    <format dxfId="6659">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1726"/>
          </reference>
          <reference field="82" count="1">
            <x v="140"/>
          </reference>
        </references>
      </pivotArea>
    </format>
    <format dxfId="6658">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1818"/>
          </reference>
          <reference field="82" count="1">
            <x v="232"/>
          </reference>
        </references>
      </pivotArea>
    </format>
    <format dxfId="6657">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845"/>
          </reference>
          <reference field="82" count="1">
            <x v="259"/>
          </reference>
        </references>
      </pivotArea>
    </format>
    <format dxfId="6656">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846"/>
          </reference>
          <reference field="82" count="1">
            <x v="260"/>
          </reference>
        </references>
      </pivotArea>
    </format>
    <format dxfId="6655">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847"/>
          </reference>
          <reference field="82" count="1">
            <x v="261"/>
          </reference>
        </references>
      </pivotArea>
    </format>
    <format dxfId="6654">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848"/>
          </reference>
          <reference field="82" count="1">
            <x v="262"/>
          </reference>
        </references>
      </pivotArea>
    </format>
    <format dxfId="6653">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1622"/>
          </reference>
          <reference field="82" count="1">
            <x v="33"/>
          </reference>
        </references>
      </pivotArea>
    </format>
    <format dxfId="6652">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1621"/>
          </reference>
          <reference field="82" count="1">
            <x v="32"/>
          </reference>
        </references>
      </pivotArea>
    </format>
    <format dxfId="6651">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841"/>
          </reference>
          <reference field="82" count="1">
            <x v="255"/>
          </reference>
        </references>
      </pivotArea>
    </format>
    <format dxfId="6650">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842"/>
          </reference>
          <reference field="82" count="1">
            <x v="256"/>
          </reference>
        </references>
      </pivotArea>
    </format>
    <format dxfId="6649">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843"/>
          </reference>
          <reference field="82" count="1">
            <x v="257"/>
          </reference>
        </references>
      </pivotArea>
    </format>
    <format dxfId="6648">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844"/>
          </reference>
          <reference field="82" count="1">
            <x v="258"/>
          </reference>
        </references>
      </pivotArea>
    </format>
    <format dxfId="6647">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837"/>
          </reference>
          <reference field="82" count="1">
            <x v="251"/>
          </reference>
        </references>
      </pivotArea>
    </format>
    <format dxfId="6646">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838"/>
          </reference>
          <reference field="82" count="1">
            <x v="252"/>
          </reference>
        </references>
      </pivotArea>
    </format>
    <format dxfId="6645">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839"/>
          </reference>
          <reference field="82" count="1">
            <x v="253"/>
          </reference>
        </references>
      </pivotArea>
    </format>
    <format dxfId="6644">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840"/>
          </reference>
          <reference field="82" count="1">
            <x v="254"/>
          </reference>
        </references>
      </pivotArea>
    </format>
    <format dxfId="6643">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1758"/>
          </reference>
          <reference field="82" count="1">
            <x v="172"/>
          </reference>
        </references>
      </pivotArea>
    </format>
    <format dxfId="6642">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1759"/>
          </reference>
          <reference field="82" count="1">
            <x v="173"/>
          </reference>
        </references>
      </pivotArea>
    </format>
    <format dxfId="6641">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1757"/>
          </reference>
          <reference field="82" count="1">
            <x v="171"/>
          </reference>
        </references>
      </pivotArea>
    </format>
    <format dxfId="6640">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635"/>
          </reference>
          <reference field="82" count="1">
            <x v="46"/>
          </reference>
        </references>
      </pivotArea>
    </format>
    <format dxfId="6639">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1636"/>
          </reference>
          <reference field="82" count="1">
            <x v="47"/>
          </reference>
        </references>
      </pivotArea>
    </format>
    <format dxfId="6638">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637"/>
          </reference>
          <reference field="82" count="1">
            <x v="48"/>
          </reference>
        </references>
      </pivotArea>
    </format>
    <format dxfId="6637">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1688"/>
          </reference>
          <reference field="82" count="1">
            <x v="101"/>
          </reference>
        </references>
      </pivotArea>
    </format>
    <format dxfId="6636">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1689"/>
          </reference>
          <reference field="82" count="1">
            <x v="102"/>
          </reference>
        </references>
      </pivotArea>
    </format>
    <format dxfId="6635">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1690"/>
          </reference>
          <reference field="82" count="1">
            <x v="103"/>
          </reference>
        </references>
      </pivotArea>
    </format>
    <format dxfId="6634">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1691"/>
          </reference>
          <reference field="82" count="1">
            <x v="104"/>
          </reference>
        </references>
      </pivotArea>
    </format>
    <format dxfId="6633">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1769"/>
          </reference>
          <reference field="82" count="1">
            <x v="183"/>
          </reference>
        </references>
      </pivotArea>
    </format>
    <format dxfId="6632">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1770"/>
          </reference>
          <reference field="82" count="1">
            <x v="184"/>
          </reference>
        </references>
      </pivotArea>
    </format>
    <format dxfId="6631">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1771"/>
          </reference>
          <reference field="82" count="1">
            <x v="185"/>
          </reference>
        </references>
      </pivotArea>
    </format>
    <format dxfId="6630">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1833"/>
          </reference>
          <reference field="82" count="1">
            <x v="247"/>
          </reference>
        </references>
      </pivotArea>
    </format>
    <format dxfId="6629">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1834"/>
          </reference>
          <reference field="82" count="1">
            <x v="248"/>
          </reference>
        </references>
      </pivotArea>
    </format>
    <format dxfId="6628">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1631"/>
          </reference>
          <reference field="82" count="1">
            <x v="42"/>
          </reference>
        </references>
      </pivotArea>
    </format>
    <format dxfId="6627">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644"/>
          </reference>
          <reference field="82" count="1">
            <x v="55"/>
          </reference>
        </references>
      </pivotArea>
    </format>
    <format dxfId="6626">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1645"/>
          </reference>
          <reference field="82" count="1">
            <x v="56"/>
          </reference>
        </references>
      </pivotArea>
    </format>
    <format dxfId="6625">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638"/>
          </reference>
          <reference field="82" count="1">
            <x v="49"/>
          </reference>
        </references>
      </pivotArea>
    </format>
    <format dxfId="6624">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1639"/>
          </reference>
          <reference field="82" count="1">
            <x v="50"/>
          </reference>
        </references>
      </pivotArea>
    </format>
    <format dxfId="6623">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637"/>
          </reference>
          <reference field="82" count="1">
            <x v="48"/>
          </reference>
        </references>
      </pivotArea>
    </format>
    <format dxfId="6622">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1685"/>
          </reference>
          <reference field="82" count="1">
            <x v="97"/>
          </reference>
        </references>
      </pivotArea>
    </format>
    <format dxfId="6621">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1683"/>
          </reference>
          <reference field="82" count="1">
            <x v="98"/>
          </reference>
        </references>
      </pivotArea>
    </format>
    <format dxfId="6620">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1686"/>
          </reference>
          <reference field="82" count="1">
            <x v="99"/>
          </reference>
        </references>
      </pivotArea>
    </format>
    <format dxfId="6619">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1687"/>
          </reference>
          <reference field="82" count="1">
            <x v="100"/>
          </reference>
        </references>
      </pivotArea>
    </format>
    <format dxfId="6618">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1766"/>
          </reference>
          <reference field="82" count="1">
            <x v="180"/>
          </reference>
        </references>
      </pivotArea>
    </format>
    <format dxfId="6617">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1767"/>
          </reference>
          <reference field="82" count="1">
            <x v="181"/>
          </reference>
        </references>
      </pivotArea>
    </format>
    <format dxfId="6616">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1768"/>
          </reference>
          <reference field="82" count="1">
            <x v="182"/>
          </reference>
        </references>
      </pivotArea>
    </format>
    <format dxfId="6615">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1832"/>
          </reference>
          <reference field="82" count="1">
            <x v="246"/>
          </reference>
        </references>
      </pivotArea>
    </format>
    <format dxfId="6614">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1632"/>
          </reference>
          <reference field="82" count="1">
            <x v="43"/>
          </reference>
        </references>
      </pivotArea>
    </format>
    <format dxfId="6613">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646"/>
          </reference>
          <reference field="82" count="1">
            <x v="57"/>
          </reference>
        </references>
      </pivotArea>
    </format>
    <format dxfId="6612">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1647"/>
          </reference>
          <reference field="82" count="1">
            <x v="58"/>
          </reference>
        </references>
      </pivotArea>
    </format>
    <format dxfId="6611">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1626"/>
          </reference>
          <reference field="82" count="1">
            <x v="37"/>
          </reference>
        </references>
      </pivotArea>
    </format>
    <format dxfId="6610">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1625"/>
          </reference>
          <reference field="82" count="1">
            <x v="36"/>
          </reference>
        </references>
      </pivotArea>
    </format>
    <format dxfId="6609">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1623"/>
          </reference>
          <reference field="82" count="1">
            <x v="34"/>
          </reference>
        </references>
      </pivotArea>
    </format>
    <format dxfId="6608">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1624"/>
          </reference>
          <reference field="82" count="1">
            <x v="35"/>
          </reference>
        </references>
      </pivotArea>
    </format>
    <format dxfId="6607">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1700"/>
          </reference>
          <reference field="82" count="1">
            <x v="113"/>
          </reference>
        </references>
      </pivotArea>
    </format>
    <format dxfId="6606">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1760"/>
          </reference>
          <reference field="82" count="1">
            <x v="174"/>
          </reference>
        </references>
      </pivotArea>
    </format>
    <format dxfId="6605">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1761"/>
          </reference>
          <reference field="82" count="1">
            <x v="175"/>
          </reference>
        </references>
      </pivotArea>
    </format>
    <format dxfId="6604">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1762"/>
          </reference>
          <reference field="82" count="1">
            <x v="176"/>
          </reference>
        </references>
      </pivotArea>
    </format>
    <format dxfId="6603">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1773"/>
          </reference>
          <reference field="82" count="1">
            <x v="187"/>
          </reference>
        </references>
      </pivotArea>
    </format>
    <format dxfId="6602">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1774"/>
          </reference>
          <reference field="82" count="1">
            <x v="188"/>
          </reference>
        </references>
      </pivotArea>
    </format>
    <format dxfId="6601">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1772"/>
          </reference>
          <reference field="82" count="1">
            <x v="186"/>
          </reference>
        </references>
      </pivotArea>
    </format>
    <format dxfId="6600">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1701"/>
          </reference>
          <reference field="82" count="1">
            <x v="114"/>
          </reference>
        </references>
      </pivotArea>
    </format>
    <format dxfId="6599">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1763"/>
          </reference>
          <reference field="82" count="1">
            <x v="177"/>
          </reference>
        </references>
      </pivotArea>
    </format>
    <format dxfId="6598">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1764"/>
          </reference>
          <reference field="82" count="1">
            <x v="178"/>
          </reference>
        </references>
      </pivotArea>
    </format>
    <format dxfId="6597">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1765"/>
          </reference>
          <reference field="82" count="1">
            <x v="179"/>
          </reference>
        </references>
      </pivotArea>
    </format>
    <format dxfId="6596">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1776"/>
          </reference>
          <reference field="82" count="1">
            <x v="190"/>
          </reference>
        </references>
      </pivotArea>
    </format>
    <format dxfId="6595">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1777"/>
          </reference>
          <reference field="82" count="1">
            <x v="191"/>
          </reference>
        </references>
      </pivotArea>
    </format>
    <format dxfId="6594">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1778"/>
          </reference>
          <reference field="82" count="1">
            <x v="192"/>
          </reference>
        </references>
      </pivotArea>
    </format>
    <format dxfId="6593">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1775"/>
          </reference>
          <reference field="82" count="1">
            <x v="189"/>
          </reference>
        </references>
      </pivotArea>
    </format>
    <format dxfId="6592">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1779"/>
          </reference>
          <reference field="82" count="1">
            <x v="193"/>
          </reference>
        </references>
      </pivotArea>
    </format>
    <format dxfId="6591">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1830"/>
          </reference>
          <reference field="82" count="1">
            <x v="244"/>
          </reference>
        </references>
      </pivotArea>
    </format>
    <format dxfId="6590">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1831"/>
          </reference>
          <reference field="82" count="1">
            <x v="245"/>
          </reference>
        </references>
      </pivotArea>
    </format>
    <format dxfId="6589">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1900"/>
          </reference>
          <reference field="82" count="1">
            <x v="314"/>
          </reference>
        </references>
      </pivotArea>
    </format>
    <format dxfId="6588">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1901"/>
          </reference>
          <reference field="82" count="1">
            <x v="315"/>
          </reference>
        </references>
      </pivotArea>
    </format>
    <format dxfId="6587">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1902"/>
          </reference>
          <reference field="82" count="1">
            <x v="316"/>
          </reference>
        </references>
      </pivotArea>
    </format>
    <format dxfId="6586">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1899"/>
          </reference>
          <reference field="82" count="1">
            <x v="313"/>
          </reference>
        </references>
      </pivotArea>
    </format>
    <format dxfId="6585">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1908"/>
          </reference>
          <reference field="82" count="1">
            <x v="322"/>
          </reference>
        </references>
      </pivotArea>
    </format>
    <format dxfId="6584">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1909"/>
          </reference>
          <reference field="82" count="1">
            <x v="323"/>
          </reference>
        </references>
      </pivotArea>
    </format>
    <format dxfId="6583">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1910"/>
          </reference>
          <reference field="82" count="1">
            <x v="324"/>
          </reference>
        </references>
      </pivotArea>
    </format>
    <format dxfId="6582">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1907"/>
          </reference>
          <reference field="82" count="1">
            <x v="321"/>
          </reference>
        </references>
      </pivotArea>
    </format>
    <format dxfId="6581">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selected="0">
            <x v="1905"/>
          </reference>
          <reference field="82" count="1">
            <x v="319"/>
          </reference>
        </references>
      </pivotArea>
    </format>
    <format dxfId="6580">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selected="0">
            <x v="1906"/>
          </reference>
          <reference field="82" count="1">
            <x v="320"/>
          </reference>
        </references>
      </pivotArea>
    </format>
    <format dxfId="6579">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selected="0">
            <x v="1904"/>
          </reference>
          <reference field="82" count="1">
            <x v="318"/>
          </reference>
        </references>
      </pivotArea>
    </format>
    <format dxfId="6578">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selected="0">
            <x v="1903"/>
          </reference>
          <reference field="82" count="1">
            <x v="317"/>
          </reference>
        </references>
      </pivotArea>
    </format>
    <format dxfId="6577">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1652"/>
          </reference>
          <reference field="82" count="1">
            <x v="64"/>
          </reference>
        </references>
      </pivotArea>
    </format>
    <format dxfId="6576">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1653"/>
          </reference>
          <reference field="82" count="1">
            <x v="65"/>
          </reference>
        </references>
      </pivotArea>
    </format>
    <format dxfId="6575">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1801"/>
          </reference>
          <reference field="82" count="1">
            <x v="215"/>
          </reference>
        </references>
      </pivotArea>
    </format>
    <format dxfId="6574">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1917"/>
          </reference>
          <reference field="82" count="1">
            <x v="331"/>
          </reference>
        </references>
      </pivotArea>
    </format>
    <format dxfId="6573">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1918"/>
          </reference>
          <reference field="82" count="1">
            <x v="332"/>
          </reference>
        </references>
      </pivotArea>
    </format>
    <format dxfId="6572">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1920"/>
          </reference>
          <reference field="82" count="1">
            <x v="334"/>
          </reference>
        </references>
      </pivotArea>
    </format>
    <format dxfId="6571">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671"/>
          </reference>
          <reference field="82" count="1">
            <x v="83"/>
          </reference>
        </references>
      </pivotArea>
    </format>
    <format dxfId="6570">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674"/>
          </reference>
          <reference field="82" count="1">
            <x v="86"/>
          </reference>
        </references>
      </pivotArea>
    </format>
    <format dxfId="6569">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672"/>
          </reference>
          <reference field="82" count="1">
            <x v="84"/>
          </reference>
        </references>
      </pivotArea>
    </format>
    <format dxfId="6568">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673"/>
          </reference>
          <reference field="82" count="1">
            <x v="85"/>
          </reference>
        </references>
      </pivotArea>
    </format>
    <format dxfId="656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1867"/>
          </reference>
          <reference field="82" count="1">
            <x v="281"/>
          </reference>
        </references>
      </pivotArea>
    </format>
    <format dxfId="6566">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863"/>
          </reference>
          <reference field="82" count="1">
            <x v="277"/>
          </reference>
        </references>
      </pivotArea>
    </format>
    <format dxfId="6565">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864"/>
          </reference>
          <reference field="82" count="1">
            <x v="278"/>
          </reference>
        </references>
      </pivotArea>
    </format>
    <format dxfId="6564">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865"/>
          </reference>
          <reference field="82" count="1">
            <x v="279"/>
          </reference>
        </references>
      </pivotArea>
    </format>
    <format dxfId="6563">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866"/>
          </reference>
          <reference field="82" count="1">
            <x v="280"/>
          </reference>
        </references>
      </pivotArea>
    </format>
    <format dxfId="6562">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667"/>
          </reference>
          <reference field="82" count="1">
            <x v="79"/>
          </reference>
        </references>
      </pivotArea>
    </format>
    <format dxfId="6561">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670"/>
          </reference>
          <reference field="82" count="1">
            <x v="82"/>
          </reference>
        </references>
      </pivotArea>
    </format>
    <format dxfId="6560">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668"/>
          </reference>
          <reference field="82" count="1">
            <x v="80"/>
          </reference>
        </references>
      </pivotArea>
    </format>
    <format dxfId="6559">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669"/>
          </reference>
          <reference field="82" count="1">
            <x v="81"/>
          </reference>
        </references>
      </pivotArea>
    </format>
    <format dxfId="6558">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1862"/>
          </reference>
          <reference field="82" count="1">
            <x v="276"/>
          </reference>
        </references>
      </pivotArea>
    </format>
    <format dxfId="6557">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858"/>
          </reference>
          <reference field="82" count="1">
            <x v="272"/>
          </reference>
        </references>
      </pivotArea>
    </format>
    <format dxfId="6556">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859"/>
          </reference>
          <reference field="82" count="1">
            <x v="273"/>
          </reference>
        </references>
      </pivotArea>
    </format>
    <format dxfId="6555">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860"/>
          </reference>
          <reference field="82" count="1">
            <x v="274"/>
          </reference>
        </references>
      </pivotArea>
    </format>
    <format dxfId="655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861"/>
          </reference>
          <reference field="82" count="1">
            <x v="275"/>
          </reference>
        </references>
      </pivotArea>
    </format>
    <format dxfId="6553">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710"/>
          </reference>
          <reference field="82" count="1">
            <x v="123"/>
          </reference>
        </references>
      </pivotArea>
    </format>
    <format dxfId="6552">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705"/>
          </reference>
          <reference field="82" count="1">
            <x v="126"/>
          </reference>
        </references>
      </pivotArea>
    </format>
    <format dxfId="6551">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711"/>
          </reference>
          <reference field="82" count="1">
            <x v="124"/>
          </reference>
        </references>
      </pivotArea>
    </format>
    <format dxfId="6550">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712"/>
          </reference>
          <reference field="82" count="1">
            <x v="125"/>
          </reference>
        </references>
      </pivotArea>
    </format>
    <format dxfId="6549">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1857"/>
          </reference>
          <reference field="82" count="1">
            <x v="271"/>
          </reference>
        </references>
      </pivotArea>
    </format>
    <format dxfId="6548">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853"/>
          </reference>
          <reference field="82" count="1">
            <x v="267"/>
          </reference>
        </references>
      </pivotArea>
    </format>
    <format dxfId="6547">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854"/>
          </reference>
          <reference field="82" count="1">
            <x v="268"/>
          </reference>
        </references>
      </pivotArea>
    </format>
    <format dxfId="6546">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855"/>
          </reference>
          <reference field="82" count="1">
            <x v="269"/>
          </reference>
        </references>
      </pivotArea>
    </format>
    <format dxfId="6545">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856"/>
          </reference>
          <reference field="82" count="1">
            <x v="270"/>
          </reference>
        </references>
      </pivotArea>
    </format>
    <format dxfId="6544">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1913"/>
          </reference>
          <reference field="82" count="1">
            <x v="327"/>
          </reference>
        </references>
      </pivotArea>
    </format>
    <format dxfId="6543">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1916"/>
          </reference>
          <reference field="82" count="1">
            <x v="330"/>
          </reference>
        </references>
      </pivotArea>
    </format>
    <format dxfId="6542">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1914"/>
          </reference>
          <reference field="82" count="1">
            <x v="328"/>
          </reference>
        </references>
      </pivotArea>
    </format>
    <format dxfId="6541">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1915"/>
          </reference>
          <reference field="82" count="1">
            <x v="329"/>
          </reference>
        </references>
      </pivotArea>
    </format>
    <format dxfId="6540">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1876"/>
          </reference>
          <reference field="82" count="1">
            <x v="290"/>
          </reference>
        </references>
      </pivotArea>
    </format>
    <format dxfId="6539">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1877"/>
          </reference>
          <reference field="82" count="1">
            <x v="291"/>
          </reference>
        </references>
      </pivotArea>
    </format>
    <format dxfId="6538">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1878"/>
          </reference>
          <reference field="82" count="1">
            <x v="292"/>
          </reference>
        </references>
      </pivotArea>
    </format>
    <format dxfId="6537">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1879"/>
          </reference>
          <reference field="82" count="1">
            <x v="293"/>
          </reference>
        </references>
      </pivotArea>
    </format>
    <format dxfId="6536">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1880"/>
          </reference>
          <reference field="82" count="1">
            <x v="294"/>
          </reference>
        </references>
      </pivotArea>
    </format>
    <format dxfId="6535">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1881"/>
          </reference>
          <reference field="82" count="1">
            <x v="295"/>
          </reference>
        </references>
      </pivotArea>
    </format>
    <format dxfId="6534">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1882"/>
          </reference>
          <reference field="82" count="1">
            <x v="296"/>
          </reference>
        </references>
      </pivotArea>
    </format>
    <format dxfId="6533">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1883"/>
          </reference>
          <reference field="82" count="1">
            <x v="297"/>
          </reference>
        </references>
      </pivotArea>
    </format>
    <format dxfId="6532">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selected="0">
            <x v="1849"/>
          </reference>
          <reference field="82" count="1">
            <x v="263"/>
          </reference>
        </references>
      </pivotArea>
    </format>
    <format dxfId="6531">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selected="0">
            <x v="1851"/>
          </reference>
          <reference field="82" count="1">
            <x v="265"/>
          </reference>
        </references>
      </pivotArea>
    </format>
    <format dxfId="6530">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selected="0">
            <x v="1852"/>
          </reference>
          <reference field="82" count="1">
            <x v="266"/>
          </reference>
        </references>
      </pivotArea>
    </format>
    <format dxfId="6529">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selected="0">
            <x v="1850"/>
          </reference>
          <reference field="82" count="1">
            <x v="264"/>
          </reference>
        </references>
      </pivotArea>
    </format>
    <format dxfId="6528">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1799"/>
          </reference>
          <reference field="82" count="1">
            <x v="213"/>
          </reference>
        </references>
      </pivotArea>
    </format>
    <format dxfId="6527">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1800"/>
          </reference>
          <reference field="82" count="1">
            <x v="214"/>
          </reference>
        </references>
      </pivotArea>
    </format>
    <format dxfId="6526">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1798"/>
          </reference>
          <reference field="82" count="1">
            <x v="212"/>
          </reference>
        </references>
      </pivotArea>
    </format>
    <format dxfId="6525">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509"/>
          </reference>
          <reference field="82" count="1">
            <x v="29"/>
          </reference>
        </references>
      </pivotArea>
    </format>
    <format dxfId="6524">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677"/>
          </reference>
          <reference field="82" count="1">
            <x v="89"/>
          </reference>
        </references>
      </pivotArea>
    </format>
    <format dxfId="6523">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675"/>
          </reference>
          <reference field="82" count="1">
            <x v="87"/>
          </reference>
        </references>
      </pivotArea>
    </format>
    <format dxfId="6522">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676"/>
          </reference>
          <reference field="82" count="1">
            <x v="88"/>
          </reference>
        </references>
      </pivotArea>
    </format>
    <format dxfId="6521">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868"/>
          </reference>
          <reference field="82" count="1">
            <x v="282"/>
          </reference>
        </references>
      </pivotArea>
    </format>
    <format dxfId="6520">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869"/>
          </reference>
          <reference field="82" count="1">
            <x v="283"/>
          </reference>
        </references>
      </pivotArea>
    </format>
    <format dxfId="6519">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870"/>
          </reference>
          <reference field="82" count="1">
            <x v="284"/>
          </reference>
        </references>
      </pivotArea>
    </format>
    <format dxfId="6518">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871"/>
          </reference>
          <reference field="82" count="1">
            <x v="285"/>
          </reference>
        </references>
      </pivotArea>
    </format>
    <format dxfId="6517">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872"/>
          </reference>
          <reference field="82" count="1">
            <x v="286"/>
          </reference>
        </references>
      </pivotArea>
    </format>
    <format dxfId="6516">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873"/>
          </reference>
          <reference field="82" count="1">
            <x v="287"/>
          </reference>
        </references>
      </pivotArea>
    </format>
    <format dxfId="6515">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874"/>
          </reference>
          <reference field="82" count="1">
            <x v="288"/>
          </reference>
        </references>
      </pivotArea>
    </format>
    <format dxfId="6514">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875"/>
          </reference>
          <reference field="82" count="1">
            <x v="289"/>
          </reference>
        </references>
      </pivotArea>
    </format>
    <format dxfId="6513">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1628"/>
          </reference>
          <reference field="82" count="1">
            <x v="39"/>
          </reference>
        </references>
      </pivotArea>
    </format>
    <format dxfId="6512">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1665"/>
          </reference>
          <reference field="82" count="1">
            <x v="77"/>
          </reference>
        </references>
      </pivotArea>
    </format>
    <format dxfId="6511">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1629"/>
          </reference>
          <reference field="82" count="1">
            <x v="40"/>
          </reference>
        </references>
      </pivotArea>
    </format>
    <format dxfId="6510">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1666"/>
          </reference>
          <reference field="82" count="1">
            <x v="78"/>
          </reference>
        </references>
      </pivotArea>
    </format>
    <format dxfId="6509">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1658"/>
          </reference>
          <reference field="82" count="1">
            <x v="70"/>
          </reference>
        </references>
      </pivotArea>
    </format>
    <format dxfId="6508">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1627"/>
          </reference>
          <reference field="82" count="1">
            <x v="38"/>
          </reference>
        </references>
      </pivotArea>
    </format>
    <format dxfId="6507">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1919"/>
          </reference>
          <reference field="82" count="1">
            <x v="333"/>
          </reference>
        </references>
      </pivotArea>
    </format>
    <format dxfId="650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1784"/>
          </reference>
          <reference field="82" count="1">
            <x v="198"/>
          </reference>
        </references>
      </pivotArea>
    </format>
    <format dxfId="650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1787"/>
          </reference>
          <reference field="82" count="1">
            <x v="201"/>
          </reference>
        </references>
      </pivotArea>
    </format>
    <format dxfId="650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1785"/>
          </reference>
          <reference field="82" count="1">
            <x v="199"/>
          </reference>
        </references>
      </pivotArea>
    </format>
    <format dxfId="650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1788"/>
          </reference>
          <reference field="82" count="1">
            <x v="202"/>
          </reference>
        </references>
      </pivotArea>
    </format>
    <format dxfId="650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1793"/>
          </reference>
          <reference field="82" count="1">
            <x v="207"/>
          </reference>
        </references>
      </pivotArea>
    </format>
    <format dxfId="650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1791"/>
          </reference>
          <reference field="82" count="1">
            <x v="205"/>
          </reference>
        </references>
      </pivotArea>
    </format>
    <format dxfId="650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1790"/>
          </reference>
          <reference field="82" count="1">
            <x v="204"/>
          </reference>
        </references>
      </pivotArea>
    </format>
    <format dxfId="649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1789"/>
          </reference>
          <reference field="82" count="1">
            <x v="203"/>
          </reference>
        </references>
      </pivotArea>
    </format>
    <format dxfId="649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1783"/>
          </reference>
          <reference field="82" count="1">
            <x v="197"/>
          </reference>
        </references>
      </pivotArea>
    </format>
    <format dxfId="649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1786"/>
          </reference>
          <reference field="82" count="1">
            <x v="200"/>
          </reference>
        </references>
      </pivotArea>
    </format>
    <format dxfId="649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1792"/>
          </reference>
          <reference field="82" count="1">
            <x v="206"/>
          </reference>
        </references>
      </pivotArea>
    </format>
    <format dxfId="6495">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1664"/>
          </reference>
          <reference field="82" count="1">
            <x v="76"/>
          </reference>
        </references>
      </pivotArea>
    </format>
    <format dxfId="6494">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1662"/>
          </reference>
          <reference field="82" count="1">
            <x v="74"/>
          </reference>
        </references>
      </pivotArea>
    </format>
    <format dxfId="6493">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1795"/>
          </reference>
          <reference field="82" count="1">
            <x v="209"/>
          </reference>
        </references>
      </pivotArea>
    </format>
    <format dxfId="6492">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1797"/>
          </reference>
          <reference field="82" count="1">
            <x v="211"/>
          </reference>
        </references>
      </pivotArea>
    </format>
    <format dxfId="6491">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1794"/>
          </reference>
          <reference field="82" count="1">
            <x v="208"/>
          </reference>
        </references>
      </pivotArea>
    </format>
    <format dxfId="6490">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1796"/>
          </reference>
          <reference field="82" count="1">
            <x v="210"/>
          </reference>
        </references>
      </pivotArea>
    </format>
    <format dxfId="6489">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1663"/>
          </reference>
          <reference field="82" count="1">
            <x v="75"/>
          </reference>
        </references>
      </pivotArea>
    </format>
    <format dxfId="6488">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1911"/>
          </reference>
          <reference field="82" count="1">
            <x v="325"/>
          </reference>
        </references>
      </pivotArea>
    </format>
    <format dxfId="6487">
      <pivotArea dataOnly="0" labelOnly="1" outline="0" fieldPosition="0">
        <references count="10">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1912"/>
          </reference>
          <reference field="82" count="1">
            <x v="326"/>
          </reference>
        </references>
      </pivotArea>
    </format>
    <format dxfId="6486">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1820"/>
          </reference>
          <reference field="82" count="1">
            <x v="234"/>
          </reference>
        </references>
      </pivotArea>
    </format>
    <format dxfId="6485">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1826"/>
          </reference>
          <reference field="82" count="1">
            <x v="240"/>
          </reference>
        </references>
      </pivotArea>
    </format>
    <format dxfId="6484">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1655"/>
          </reference>
          <reference field="82" count="1">
            <x v="67"/>
          </reference>
        </references>
      </pivotArea>
    </format>
    <format dxfId="6483">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1654"/>
          </reference>
          <reference field="82" count="1">
            <x v="66"/>
          </reference>
        </references>
      </pivotArea>
    </format>
    <format dxfId="6482">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selected="0">
            <x v="1896"/>
          </reference>
          <reference field="82" count="1">
            <x v="310"/>
          </reference>
        </references>
      </pivotArea>
    </format>
    <format dxfId="6481">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selected="0">
            <x v="1897"/>
          </reference>
          <reference field="82" count="1">
            <x v="311"/>
          </reference>
        </references>
      </pivotArea>
    </format>
    <format dxfId="6480">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selected="0">
            <x v="1898"/>
          </reference>
          <reference field="82" count="1">
            <x v="312"/>
          </reference>
        </references>
      </pivotArea>
    </format>
    <format dxfId="6479">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selected="0">
            <x v="1496"/>
          </reference>
          <reference field="82" count="1">
            <x v="28"/>
          </reference>
        </references>
      </pivotArea>
    </format>
    <format dxfId="6478">
      <pivotArea dataOnly="0" labelOnly="1" outline="0" fieldPosition="0">
        <references count="10">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1821"/>
          </reference>
          <reference field="82" count="1">
            <x v="235"/>
          </reference>
        </references>
      </pivotArea>
    </format>
    <format dxfId="6477">
      <pivotArea dataOnly="0" labelOnly="1" outline="0" fieldPosition="0">
        <references count="10">
          <reference field="1" count="1" selected="0">
            <x v="50"/>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1836"/>
          </reference>
          <reference field="82" count="1">
            <x v="250"/>
          </reference>
        </references>
      </pivotArea>
    </format>
    <format dxfId="6476">
      <pivotArea field="87" type="button" dataOnly="0" labelOnly="1" outline="0" axis="axisRow" fieldPosition="12"/>
    </format>
    <format dxfId="6475">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06"/>
          </reference>
          <reference field="82" count="1" selected="0">
            <x v="220"/>
          </reference>
          <reference field="85" count="1" selected="0">
            <x v="7"/>
          </reference>
          <reference field="87" count="1">
            <x v="1165"/>
          </reference>
        </references>
      </pivotArea>
    </format>
    <format dxfId="6474">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807"/>
          </reference>
          <reference field="82" count="1" selected="0">
            <x v="221"/>
          </reference>
          <reference field="85" count="1" selected="0">
            <x v="7"/>
          </reference>
          <reference field="87" count="1">
            <x v="1166"/>
          </reference>
        </references>
      </pivotArea>
    </format>
    <format dxfId="6473">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892"/>
          </reference>
          <reference field="82" count="1" selected="0">
            <x v="306"/>
          </reference>
          <reference field="85" count="1" selected="0">
            <x v="4"/>
          </reference>
          <reference field="87" count="1">
            <x v="1251"/>
          </reference>
        </references>
      </pivotArea>
    </format>
    <format dxfId="6472">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893"/>
          </reference>
          <reference field="82" count="1" selected="0">
            <x v="307"/>
          </reference>
          <reference field="85" count="1" selected="0">
            <x v="4"/>
          </reference>
          <reference field="87" count="1">
            <x v="1252"/>
          </reference>
        </references>
      </pivotArea>
    </format>
    <format dxfId="6471">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894"/>
          </reference>
          <reference field="82" count="1" selected="0">
            <x v="308"/>
          </reference>
          <reference field="85" count="1" selected="0">
            <x v="4"/>
          </reference>
          <reference field="87" count="1">
            <x v="1253"/>
          </reference>
        </references>
      </pivotArea>
    </format>
    <format dxfId="6470">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895"/>
          </reference>
          <reference field="82" count="1" selected="0">
            <x v="309"/>
          </reference>
          <reference field="85" count="1" selected="0">
            <x v="4"/>
          </reference>
          <reference field="87" count="1">
            <x v="1254"/>
          </reference>
        </references>
      </pivotArea>
    </format>
    <format dxfId="6469">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12"/>
          </reference>
          <reference field="82" count="1" selected="0">
            <x v="226"/>
          </reference>
          <reference field="85" count="1" selected="0">
            <x v="7"/>
          </reference>
          <reference field="87" count="1">
            <x v="1171"/>
          </reference>
        </references>
      </pivotArea>
    </format>
    <format dxfId="6468">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811"/>
          </reference>
          <reference field="82" count="1" selected="0">
            <x v="225"/>
          </reference>
          <reference field="85" count="1" selected="0">
            <x v="7"/>
          </reference>
          <reference field="87" count="1">
            <x v="1170"/>
          </reference>
        </references>
      </pivotArea>
    </format>
    <format dxfId="6467">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739"/>
          </reference>
          <reference field="82" count="1" selected="0">
            <x v="153"/>
          </reference>
          <reference field="85" count="1" selected="0">
            <x v="0"/>
          </reference>
          <reference field="87" count="1">
            <x v="1098"/>
          </reference>
        </references>
      </pivotArea>
    </format>
    <format dxfId="6466">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1740"/>
          </reference>
          <reference field="82" count="1" selected="0">
            <x v="154"/>
          </reference>
          <reference field="85" count="1" selected="0">
            <x v="0"/>
          </reference>
          <reference field="87" count="1">
            <x v="1099"/>
          </reference>
        </references>
      </pivotArea>
    </format>
    <format dxfId="6465">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1737"/>
          </reference>
          <reference field="82" count="1" selected="0">
            <x v="151"/>
          </reference>
          <reference field="85" count="1" selected="0">
            <x v="0"/>
          </reference>
          <reference field="87" count="1">
            <x v="1096"/>
          </reference>
        </references>
      </pivotArea>
    </format>
    <format dxfId="6464">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1738"/>
          </reference>
          <reference field="82" count="1" selected="0">
            <x v="152"/>
          </reference>
          <reference field="85" count="1" selected="0">
            <x v="0"/>
          </reference>
          <reference field="87" count="1">
            <x v="1097"/>
          </reference>
        </references>
      </pivotArea>
    </format>
    <format dxfId="6463">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12"/>
          </reference>
          <reference field="82" count="1" selected="0">
            <x v="226"/>
          </reference>
          <reference field="85" count="1" selected="0">
            <x v="7"/>
          </reference>
          <reference field="87" count="1">
            <x v="1171"/>
          </reference>
        </references>
      </pivotArea>
    </format>
    <format dxfId="6462">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811"/>
          </reference>
          <reference field="82" count="1" selected="0">
            <x v="225"/>
          </reference>
          <reference field="85" count="1" selected="0">
            <x v="7"/>
          </reference>
          <reference field="87" count="1">
            <x v="1170"/>
          </reference>
        </references>
      </pivotArea>
    </format>
    <format dxfId="6461">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734"/>
          </reference>
          <reference field="82" count="1" selected="0">
            <x v="148"/>
          </reference>
          <reference field="85" count="1" selected="0">
            <x v="0"/>
          </reference>
          <reference field="87" count="1">
            <x v="1093"/>
          </reference>
        </references>
      </pivotArea>
    </format>
    <format dxfId="6460">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1735"/>
          </reference>
          <reference field="82" count="1" selected="0">
            <x v="149"/>
          </reference>
          <reference field="85" count="1" selected="0">
            <x v="0"/>
          </reference>
          <reference field="87" count="1">
            <x v="1094"/>
          </reference>
        </references>
      </pivotArea>
    </format>
    <format dxfId="6459">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1737"/>
          </reference>
          <reference field="82" count="1" selected="0">
            <x v="151"/>
          </reference>
          <reference field="85" count="1" selected="0">
            <x v="0"/>
          </reference>
          <reference field="87" count="1">
            <x v="1096"/>
          </reference>
        </references>
      </pivotArea>
    </format>
    <format dxfId="6458">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1733"/>
          </reference>
          <reference field="82" count="1" selected="0">
            <x v="147"/>
          </reference>
          <reference field="85" count="1" selected="0">
            <x v="0"/>
          </reference>
          <reference field="87" count="1">
            <x v="1092"/>
          </reference>
        </references>
      </pivotArea>
    </format>
    <format dxfId="6457">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10"/>
          </reference>
          <reference field="82" count="1" selected="0">
            <x v="224"/>
          </reference>
          <reference field="85" count="1" selected="0">
            <x v="7"/>
          </reference>
          <reference field="87" count="1">
            <x v="1169"/>
          </reference>
        </references>
      </pivotArea>
    </format>
    <format dxfId="6456">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811"/>
          </reference>
          <reference field="82" count="1" selected="0">
            <x v="225"/>
          </reference>
          <reference field="85" count="1" selected="0">
            <x v="7"/>
          </reference>
          <reference field="87" count="1">
            <x v="1170"/>
          </reference>
        </references>
      </pivotArea>
    </format>
    <format dxfId="6455">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1650"/>
          </reference>
          <reference field="82" count="1" selected="0">
            <x v="61"/>
          </reference>
          <reference field="85" count="1" selected="0">
            <x v="7"/>
          </reference>
          <reference field="87" count="1">
            <x v="1008"/>
          </reference>
        </references>
      </pivotArea>
    </format>
    <format dxfId="6454">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651"/>
          </reference>
          <reference field="82" count="1" selected="0">
            <x v="63"/>
          </reference>
          <reference field="85" count="1" selected="0">
            <x v="7"/>
          </reference>
          <reference field="87" count="1">
            <x v="1009"/>
          </reference>
        </references>
      </pivotArea>
    </format>
    <format dxfId="6453">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1727"/>
          </reference>
          <reference field="82" count="1" selected="0">
            <x v="141"/>
          </reference>
          <reference field="85" count="1" selected="0">
            <x v="0"/>
          </reference>
          <reference field="87" count="1">
            <x v="1086"/>
          </reference>
        </references>
      </pivotArea>
    </format>
    <format dxfId="6452">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730"/>
          </reference>
          <reference field="82" count="1" selected="0">
            <x v="144"/>
          </reference>
          <reference field="85" count="1" selected="0">
            <x v="0"/>
          </reference>
          <reference field="87" count="1">
            <x v="1089"/>
          </reference>
        </references>
      </pivotArea>
    </format>
    <format dxfId="6451">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1728"/>
          </reference>
          <reference field="82" count="1" selected="0">
            <x v="142"/>
          </reference>
          <reference field="85" count="1" selected="0">
            <x v="0"/>
          </reference>
          <reference field="87" count="1">
            <x v="1087"/>
          </reference>
        </references>
      </pivotArea>
    </format>
    <format dxfId="6450">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1729"/>
          </reference>
          <reference field="82" count="1" selected="0">
            <x v="143"/>
          </reference>
          <reference field="85" count="1" selected="0">
            <x v="0"/>
          </reference>
          <reference field="87" count="1">
            <x v="1088"/>
          </reference>
        </references>
      </pivotArea>
    </format>
    <format dxfId="6449">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02"/>
          </reference>
          <reference field="82" count="1" selected="0">
            <x v="216"/>
          </reference>
          <reference field="85" count="1" selected="0">
            <x v="7"/>
          </reference>
          <reference field="87" count="1">
            <x v="1161"/>
          </reference>
        </references>
      </pivotArea>
    </format>
    <format dxfId="6448">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803"/>
          </reference>
          <reference field="82" count="1" selected="0">
            <x v="217"/>
          </reference>
          <reference field="85" count="1" selected="0">
            <x v="7"/>
          </reference>
          <reference field="87" count="1">
            <x v="1162"/>
          </reference>
        </references>
      </pivotArea>
    </format>
    <format dxfId="6447">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884"/>
          </reference>
          <reference field="82" count="1" selected="0">
            <x v="298"/>
          </reference>
          <reference field="85" count="1" selected="0">
            <x v="4"/>
          </reference>
          <reference field="87" count="1">
            <x v="1243"/>
          </reference>
        </references>
      </pivotArea>
    </format>
    <format dxfId="6446">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885"/>
          </reference>
          <reference field="82" count="1" selected="0">
            <x v="299"/>
          </reference>
          <reference field="85" count="1" selected="0">
            <x v="4"/>
          </reference>
          <reference field="87" count="1">
            <x v="1244"/>
          </reference>
        </references>
      </pivotArea>
    </format>
    <format dxfId="6445">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886"/>
          </reference>
          <reference field="82" count="1" selected="0">
            <x v="300"/>
          </reference>
          <reference field="85" count="1" selected="0">
            <x v="4"/>
          </reference>
          <reference field="87" count="1">
            <x v="1245"/>
          </reference>
        </references>
      </pivotArea>
    </format>
    <format dxfId="6444">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887"/>
          </reference>
          <reference field="82" count="1" selected="0">
            <x v="301"/>
          </reference>
          <reference field="85" count="1" selected="0">
            <x v="4"/>
          </reference>
          <reference field="87" count="1">
            <x v="1246"/>
          </reference>
        </references>
      </pivotArea>
    </format>
    <format dxfId="6443">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660"/>
          </reference>
          <reference field="82" count="1" selected="0">
            <x v="72"/>
          </reference>
          <reference field="85" count="1" selected="0">
            <x v="7"/>
          </reference>
          <reference field="87" count="1">
            <x v="1018"/>
          </reference>
        </references>
      </pivotArea>
    </format>
    <format dxfId="6442">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1650"/>
          </reference>
          <reference field="82" count="1" selected="0">
            <x v="62"/>
          </reference>
          <reference field="85" count="1" selected="0">
            <x v="7"/>
          </reference>
          <reference field="87" count="1">
            <x v="1008"/>
          </reference>
        </references>
      </pivotArea>
    </format>
    <format dxfId="644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1703"/>
          </reference>
          <reference field="82" count="1" selected="0">
            <x v="116"/>
          </reference>
          <reference field="85" count="1" selected="0">
            <x v="4"/>
          </reference>
          <reference field="87" count="1">
            <x v="1062"/>
          </reference>
        </references>
      </pivotArea>
    </format>
    <format dxfId="644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1705"/>
          </reference>
          <reference field="82" count="1" selected="0">
            <x v="118"/>
          </reference>
          <reference field="85" count="1" selected="0">
            <x v="4"/>
          </reference>
          <reference field="87" count="1">
            <x v="1064"/>
          </reference>
        </references>
      </pivotArea>
    </format>
    <format dxfId="643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1706"/>
          </reference>
          <reference field="82" count="1" selected="0">
            <x v="119"/>
          </reference>
          <reference field="85" count="1" selected="0">
            <x v="4"/>
          </reference>
          <reference field="87" count="1">
            <x v="1065"/>
          </reference>
        </references>
      </pivotArea>
    </format>
    <format dxfId="643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1702"/>
          </reference>
          <reference field="82" count="1" selected="0">
            <x v="115"/>
          </reference>
          <reference field="85" count="1" selected="0">
            <x v="4"/>
          </reference>
          <reference field="87" count="1">
            <x v="1061"/>
          </reference>
        </references>
      </pivotArea>
    </format>
    <format dxfId="643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1707"/>
          </reference>
          <reference field="82" count="1" selected="0">
            <x v="120"/>
          </reference>
          <reference field="85" count="1" selected="0">
            <x v="4"/>
          </reference>
          <reference field="87" count="1">
            <x v="1066"/>
          </reference>
        </references>
      </pivotArea>
    </format>
    <format dxfId="643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1708"/>
          </reference>
          <reference field="82" count="1" selected="0">
            <x v="121"/>
          </reference>
          <reference field="85" count="1" selected="0">
            <x v="4"/>
          </reference>
          <reference field="87" count="1">
            <x v="1067"/>
          </reference>
        </references>
      </pivotArea>
    </format>
    <format dxfId="643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1709"/>
          </reference>
          <reference field="82" count="1" selected="0">
            <x v="122"/>
          </reference>
          <reference field="85" count="1" selected="0">
            <x v="4"/>
          </reference>
          <reference field="87" count="1">
            <x v="1068"/>
          </reference>
        </references>
      </pivotArea>
    </format>
    <format dxfId="643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1704"/>
          </reference>
          <reference field="82" count="1" selected="0">
            <x v="117"/>
          </reference>
          <reference field="85" count="1" selected="0">
            <x v="4"/>
          </reference>
          <reference field="87" count="1">
            <x v="1063"/>
          </reference>
        </references>
      </pivotArea>
    </format>
    <format dxfId="6433">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734"/>
          </reference>
          <reference field="82" count="1" selected="0">
            <x v="148"/>
          </reference>
          <reference field="85" count="1" selected="0">
            <x v="0"/>
          </reference>
          <reference field="87" count="1">
            <x v="1093"/>
          </reference>
        </references>
      </pivotArea>
    </format>
    <format dxfId="6432">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1735"/>
          </reference>
          <reference field="82" count="1" selected="0">
            <x v="149"/>
          </reference>
          <reference field="85" count="1" selected="0">
            <x v="0"/>
          </reference>
          <reference field="87" count="1">
            <x v="1094"/>
          </reference>
        </references>
      </pivotArea>
    </format>
    <format dxfId="6431">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1736"/>
          </reference>
          <reference field="82" count="1" selected="0">
            <x v="150"/>
          </reference>
          <reference field="85" count="1" selected="0">
            <x v="0"/>
          </reference>
          <reference field="87" count="1">
            <x v="1095"/>
          </reference>
        </references>
      </pivotArea>
    </format>
    <format dxfId="6430">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1733"/>
          </reference>
          <reference field="82" count="1" selected="0">
            <x v="147"/>
          </reference>
          <reference field="85" count="1" selected="0">
            <x v="0"/>
          </reference>
          <reference field="87" count="1">
            <x v="1092"/>
          </reference>
        </references>
      </pivotArea>
    </format>
    <format dxfId="6429">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659"/>
          </reference>
          <reference field="82" count="1" selected="0">
            <x v="71"/>
          </reference>
          <reference field="85" count="1" selected="0">
            <x v="7"/>
          </reference>
          <reference field="87" count="1">
            <x v="1017"/>
          </reference>
        </references>
      </pivotArea>
    </format>
    <format dxfId="6428">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04"/>
          </reference>
          <reference field="82" count="1" selected="0">
            <x v="218"/>
          </reference>
          <reference field="85" count="1" selected="0">
            <x v="7"/>
          </reference>
          <reference field="87" count="1">
            <x v="1163"/>
          </reference>
        </references>
      </pivotArea>
    </format>
    <format dxfId="6427">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805"/>
          </reference>
          <reference field="82" count="1" selected="0">
            <x v="219"/>
          </reference>
          <reference field="85" count="1" selected="0">
            <x v="7"/>
          </reference>
          <reference field="87" count="1">
            <x v="1164"/>
          </reference>
        </references>
      </pivotArea>
    </format>
    <format dxfId="6426">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484"/>
          </reference>
          <reference field="82" count="1" selected="0">
            <x v="27"/>
          </reference>
          <reference field="85" count="1" selected="0">
            <x v="0"/>
          </reference>
          <reference field="87" count="1">
            <x v="937"/>
          </reference>
        </references>
      </pivotArea>
    </format>
    <format dxfId="6425">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1731"/>
          </reference>
          <reference field="82" count="1" selected="0">
            <x v="145"/>
          </reference>
          <reference field="85" count="1" selected="0">
            <x v="0"/>
          </reference>
          <reference field="87" count="1">
            <x v="1090"/>
          </reference>
        </references>
      </pivotArea>
    </format>
    <format dxfId="6424">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1732"/>
          </reference>
          <reference field="82" count="1" selected="0">
            <x v="146"/>
          </reference>
          <reference field="85" count="1" selected="0">
            <x v="0"/>
          </reference>
          <reference field="87" count="1">
            <x v="1091"/>
          </reference>
        </references>
      </pivotArea>
    </format>
    <format dxfId="6423">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08"/>
          </reference>
          <reference field="82" count="1" selected="0">
            <x v="222"/>
          </reference>
          <reference field="85" count="1" selected="0">
            <x v="7"/>
          </reference>
          <reference field="87" count="1">
            <x v="1167"/>
          </reference>
        </references>
      </pivotArea>
    </format>
    <format dxfId="6422">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809"/>
          </reference>
          <reference field="82" count="1" selected="0">
            <x v="223"/>
          </reference>
          <reference field="85" count="1" selected="0">
            <x v="7"/>
          </reference>
          <reference field="87" count="1">
            <x v="1168"/>
          </reference>
        </references>
      </pivotArea>
    </format>
    <format dxfId="6421">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888"/>
          </reference>
          <reference field="82" count="1" selected="0">
            <x v="302"/>
          </reference>
          <reference field="85" count="1" selected="0">
            <x v="4"/>
          </reference>
          <reference field="87" count="1">
            <x v="1247"/>
          </reference>
        </references>
      </pivotArea>
    </format>
    <format dxfId="6420">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889"/>
          </reference>
          <reference field="82" count="1" selected="0">
            <x v="303"/>
          </reference>
          <reference field="85" count="1" selected="0">
            <x v="4"/>
          </reference>
          <reference field="87" count="1">
            <x v="1248"/>
          </reference>
        </references>
      </pivotArea>
    </format>
    <format dxfId="6419">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890"/>
          </reference>
          <reference field="82" count="1" selected="0">
            <x v="304"/>
          </reference>
          <reference field="85" count="1" selected="0">
            <x v="4"/>
          </reference>
          <reference field="87" count="1">
            <x v="1249"/>
          </reference>
        </references>
      </pivotArea>
    </format>
    <format dxfId="6418">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891"/>
          </reference>
          <reference field="82" count="1" selected="0">
            <x v="305"/>
          </reference>
          <reference field="85" count="1" selected="0">
            <x v="4"/>
          </reference>
          <reference field="87" count="1">
            <x v="1250"/>
          </reference>
        </references>
      </pivotArea>
    </format>
    <format dxfId="6417">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12"/>
          </reference>
          <reference field="82" count="1" selected="0">
            <x v="226"/>
          </reference>
          <reference field="85" count="1" selected="0">
            <x v="7"/>
          </reference>
          <reference field="87" count="1">
            <x v="1171"/>
          </reference>
        </references>
      </pivotArea>
    </format>
    <format dxfId="6416">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813"/>
          </reference>
          <reference field="82" count="1" selected="0">
            <x v="227"/>
          </reference>
          <reference field="85" count="1" selected="0">
            <x v="7"/>
          </reference>
          <reference field="87" count="1">
            <x v="1172"/>
          </reference>
        </references>
      </pivotArea>
    </format>
    <format dxfId="6415">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741"/>
          </reference>
          <reference field="82" count="1" selected="0">
            <x v="155"/>
          </reference>
          <reference field="85" count="1" selected="0">
            <x v="0"/>
          </reference>
          <reference field="87" count="1">
            <x v="1100"/>
          </reference>
        </references>
      </pivotArea>
    </format>
    <format dxfId="6414">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1748"/>
          </reference>
          <reference field="82" count="1" selected="0">
            <x v="162"/>
          </reference>
          <reference field="85" count="1" selected="0">
            <x v="0"/>
          </reference>
          <reference field="87" count="1">
            <x v="1107"/>
          </reference>
        </references>
      </pivotArea>
    </format>
    <format dxfId="6413">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1749"/>
          </reference>
          <reference field="82" count="1" selected="0">
            <x v="163"/>
          </reference>
          <reference field="85" count="1" selected="0">
            <x v="0"/>
          </reference>
          <reference field="87" count="1">
            <x v="1108"/>
          </reference>
        </references>
      </pivotArea>
    </format>
    <format dxfId="6412">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1750"/>
          </reference>
          <reference field="82" count="1" selected="0">
            <x v="164"/>
          </reference>
          <reference field="85" count="1" selected="0">
            <x v="0"/>
          </reference>
          <reference field="87" count="1">
            <x v="1109"/>
          </reference>
        </references>
      </pivotArea>
    </format>
    <format dxfId="6411">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1656"/>
          </reference>
          <reference field="82" count="1" selected="0">
            <x v="68"/>
          </reference>
          <reference field="85" count="1" selected="0">
            <x v="7"/>
          </reference>
          <reference field="87" count="1">
            <x v="1014"/>
          </reference>
        </references>
      </pivotArea>
    </format>
    <format dxfId="6410">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1640"/>
          </reference>
          <reference field="82" count="1" selected="0">
            <x v="51"/>
          </reference>
          <reference field="85" count="1" selected="0">
            <x v="7"/>
          </reference>
          <reference field="87" count="1">
            <x v="998"/>
          </reference>
        </references>
      </pivotArea>
    </format>
    <format dxfId="6409">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641"/>
          </reference>
          <reference field="82" count="1" selected="0">
            <x v="52"/>
          </reference>
          <reference field="85" count="1" selected="0">
            <x v="7"/>
          </reference>
          <reference field="87" count="1">
            <x v="999"/>
          </reference>
        </references>
      </pivotArea>
    </format>
    <format dxfId="6408">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742"/>
          </reference>
          <reference field="82" count="1" selected="0">
            <x v="156"/>
          </reference>
          <reference field="85" count="1" selected="0">
            <x v="0"/>
          </reference>
          <reference field="87" count="1">
            <x v="1101"/>
          </reference>
        </references>
      </pivotArea>
    </format>
    <format dxfId="6407">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1743"/>
          </reference>
          <reference field="82" count="1" selected="0">
            <x v="157"/>
          </reference>
          <reference field="85" count="1" selected="0">
            <x v="0"/>
          </reference>
          <reference field="87" count="1">
            <x v="1102"/>
          </reference>
        </references>
      </pivotArea>
    </format>
    <format dxfId="6406">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1744"/>
          </reference>
          <reference field="82" count="1" selected="0">
            <x v="158"/>
          </reference>
          <reference field="85" count="1" selected="0">
            <x v="0"/>
          </reference>
          <reference field="87" count="1">
            <x v="1103"/>
          </reference>
        </references>
      </pivotArea>
    </format>
    <format dxfId="6405">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1814"/>
          </reference>
          <reference field="82" count="1" selected="0">
            <x v="228"/>
          </reference>
          <reference field="85" count="1" selected="0">
            <x v="7"/>
          </reference>
          <reference field="87" count="1">
            <x v="1173"/>
          </reference>
        </references>
      </pivotArea>
    </format>
    <format dxfId="6404">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1815"/>
          </reference>
          <reference field="82" count="1" selected="0">
            <x v="229"/>
          </reference>
          <reference field="85" count="1" selected="0">
            <x v="7"/>
          </reference>
          <reference field="87" count="1">
            <x v="1174"/>
          </reference>
        </references>
      </pivotArea>
    </format>
    <format dxfId="6403">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1661"/>
          </reference>
          <reference field="82" count="1" selected="0">
            <x v="73"/>
          </reference>
          <reference field="85" count="1" selected="0">
            <x v="7"/>
          </reference>
          <reference field="87" count="1">
            <x v="1019"/>
          </reference>
        </references>
      </pivotArea>
    </format>
    <format dxfId="6402">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745"/>
          </reference>
          <reference field="82" count="1" selected="0">
            <x v="159"/>
          </reference>
          <reference field="85" count="1" selected="0">
            <x v="0"/>
          </reference>
          <reference field="87" count="1">
            <x v="1104"/>
          </reference>
        </references>
      </pivotArea>
    </format>
    <format dxfId="6401">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1746"/>
          </reference>
          <reference field="82" count="1" selected="0">
            <x v="160"/>
          </reference>
          <reference field="85" count="1" selected="0">
            <x v="0"/>
          </reference>
          <reference field="87" count="1">
            <x v="1105"/>
          </reference>
        </references>
      </pivotArea>
    </format>
    <format dxfId="6400">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1747"/>
          </reference>
          <reference field="82" count="1" selected="0">
            <x v="161"/>
          </reference>
          <reference field="85" count="1" selected="0">
            <x v="0"/>
          </reference>
          <reference field="87" count="1">
            <x v="1106"/>
          </reference>
        </references>
      </pivotArea>
    </format>
    <format dxfId="6399">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1821"/>
          </reference>
          <reference field="82" count="1" selected="0">
            <x v="235"/>
          </reference>
          <reference field="85" count="1" selected="0">
            <x v="7"/>
          </reference>
          <reference field="87" count="1">
            <x v="1180"/>
          </reference>
        </references>
      </pivotArea>
    </format>
    <format dxfId="6398">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1754"/>
          </reference>
          <reference field="82" count="1" selected="0">
            <x v="168"/>
          </reference>
          <reference field="85" count="1" selected="0">
            <x v="0"/>
          </reference>
          <reference field="87" count="1">
            <x v="1113"/>
          </reference>
        </references>
      </pivotArea>
    </format>
    <format dxfId="6397">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1755"/>
          </reference>
          <reference field="82" count="1" selected="0">
            <x v="169"/>
          </reference>
          <reference field="85" count="1" selected="0">
            <x v="0"/>
          </reference>
          <reference field="87" count="1">
            <x v="1114"/>
          </reference>
        </references>
      </pivotArea>
    </format>
    <format dxfId="6396">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1756"/>
          </reference>
          <reference field="82" count="1" selected="0">
            <x v="170"/>
          </reference>
          <reference field="85" count="1" selected="0">
            <x v="0"/>
          </reference>
          <reference field="87" count="1">
            <x v="1115"/>
          </reference>
        </references>
      </pivotArea>
    </format>
    <format dxfId="6395">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1633"/>
          </reference>
          <reference field="82" count="1" selected="0">
            <x v="44"/>
          </reference>
          <reference field="85" count="1" selected="0">
            <x v="7"/>
          </reference>
          <reference field="87" count="1">
            <x v="991"/>
          </reference>
        </references>
      </pivotArea>
    </format>
    <format dxfId="6394">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634"/>
          </reference>
          <reference field="82" count="1" selected="0">
            <x v="45"/>
          </reference>
          <reference field="85" count="1" selected="0">
            <x v="7"/>
          </reference>
          <reference field="87" count="1">
            <x v="992"/>
          </reference>
        </references>
      </pivotArea>
    </format>
    <format dxfId="6393">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1694"/>
          </reference>
          <reference field="82" count="1" selected="0">
            <x v="107"/>
          </reference>
          <reference field="85" count="1" selected="0">
            <x v="4"/>
          </reference>
          <reference field="87" count="1">
            <x v="1053"/>
          </reference>
        </references>
      </pivotArea>
    </format>
    <format dxfId="6392">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1695"/>
          </reference>
          <reference field="82" count="1" selected="0">
            <x v="108"/>
          </reference>
          <reference field="85" count="1" selected="0">
            <x v="4"/>
          </reference>
          <reference field="87" count="1">
            <x v="1054"/>
          </reference>
        </references>
      </pivotArea>
    </format>
    <format dxfId="6391">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1692"/>
          </reference>
          <reference field="82" count="1" selected="0">
            <x v="105"/>
          </reference>
          <reference field="85" count="1" selected="0">
            <x v="4"/>
          </reference>
          <reference field="87" count="1">
            <x v="1051"/>
          </reference>
        </references>
      </pivotArea>
    </format>
    <format dxfId="6390">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1693"/>
          </reference>
          <reference field="82" count="1" selected="0">
            <x v="106"/>
          </reference>
          <reference field="85" count="1" selected="0">
            <x v="4"/>
          </reference>
          <reference field="87" count="1">
            <x v="1052"/>
          </reference>
        </references>
      </pivotArea>
    </format>
    <format dxfId="6389">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1751"/>
          </reference>
          <reference field="82" count="1" selected="0">
            <x v="165"/>
          </reference>
          <reference field="85" count="1" selected="0">
            <x v="0"/>
          </reference>
          <reference field="87" count="1">
            <x v="1110"/>
          </reference>
        </references>
      </pivotArea>
    </format>
    <format dxfId="6388">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1752"/>
          </reference>
          <reference field="82" count="1" selected="0">
            <x v="166"/>
          </reference>
          <reference field="85" count="1" selected="0">
            <x v="0"/>
          </reference>
          <reference field="87" count="1">
            <x v="1111"/>
          </reference>
        </references>
      </pivotArea>
    </format>
    <format dxfId="6387">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1753"/>
          </reference>
          <reference field="82" count="1" selected="0">
            <x v="167"/>
          </reference>
          <reference field="85" count="1" selected="0">
            <x v="0"/>
          </reference>
          <reference field="87" count="1">
            <x v="1112"/>
          </reference>
        </references>
      </pivotArea>
    </format>
    <format dxfId="6386">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93"/>
          </reference>
          <reference field="81" count="1" selected="0">
            <x v="1835"/>
          </reference>
          <reference field="82" count="1" selected="0">
            <x v="249"/>
          </reference>
          <reference field="85" count="1" selected="0">
            <x v="7"/>
          </reference>
          <reference field="87" count="1">
            <x v="1194"/>
          </reference>
        </references>
      </pivotArea>
    </format>
    <format dxfId="6385">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1649"/>
          </reference>
          <reference field="82" count="1" selected="0">
            <x v="60"/>
          </reference>
          <reference field="85" count="1" selected="0">
            <x v="7"/>
          </reference>
          <reference field="87" count="1">
            <x v="1007"/>
          </reference>
        </references>
      </pivotArea>
    </format>
    <format dxfId="6384">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1717"/>
          </reference>
          <reference field="82" count="1" selected="0">
            <x v="131"/>
          </reference>
          <reference field="85" count="1" selected="0">
            <x v="0"/>
          </reference>
          <reference field="87" count="1">
            <x v="1076"/>
          </reference>
        </references>
      </pivotArea>
    </format>
    <format dxfId="6383">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1716"/>
          </reference>
          <reference field="82" count="1" selected="0">
            <x v="130"/>
          </reference>
          <reference field="85" count="1" selected="0">
            <x v="0"/>
          </reference>
          <reference field="87" count="1">
            <x v="1075"/>
          </reference>
        </references>
      </pivotArea>
    </format>
    <format dxfId="6382">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1718"/>
          </reference>
          <reference field="82" count="1" selected="0">
            <x v="132"/>
          </reference>
          <reference field="85" count="1" selected="0">
            <x v="0"/>
          </reference>
          <reference field="87" count="1">
            <x v="1077"/>
          </reference>
        </references>
      </pivotArea>
    </format>
    <format dxfId="6381">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1657"/>
          </reference>
          <reference field="82" count="1" selected="0">
            <x v="69"/>
          </reference>
          <reference field="85" count="1" selected="0">
            <x v="7"/>
          </reference>
          <reference field="87" count="1">
            <x v="1015"/>
          </reference>
        </references>
      </pivotArea>
    </format>
    <format dxfId="6380">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1648"/>
          </reference>
          <reference field="82" count="1" selected="0">
            <x v="59"/>
          </reference>
          <reference field="85" count="1" selected="0">
            <x v="7"/>
          </reference>
          <reference field="87" count="1">
            <x v="1006"/>
          </reference>
        </references>
      </pivotArea>
    </format>
    <format dxfId="6379">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1698"/>
          </reference>
          <reference field="82" count="1" selected="0">
            <x v="111"/>
          </reference>
          <reference field="85" count="1" selected="0">
            <x v="4"/>
          </reference>
          <reference field="87" count="1">
            <x v="1057"/>
          </reference>
        </references>
      </pivotArea>
    </format>
    <format dxfId="6378">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1699"/>
          </reference>
          <reference field="82" count="1" selected="0">
            <x v="112"/>
          </reference>
          <reference field="85" count="1" selected="0">
            <x v="4"/>
          </reference>
          <reference field="87" count="1">
            <x v="1058"/>
          </reference>
        </references>
      </pivotArea>
    </format>
    <format dxfId="6377">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1696"/>
          </reference>
          <reference field="82" count="1" selected="0">
            <x v="109"/>
          </reference>
          <reference field="85" count="1" selected="0">
            <x v="4"/>
          </reference>
          <reference field="87" count="1">
            <x v="1055"/>
          </reference>
        </references>
      </pivotArea>
    </format>
    <format dxfId="6376">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1697"/>
          </reference>
          <reference field="82" count="1" selected="0">
            <x v="110"/>
          </reference>
          <reference field="85" count="1" selected="0">
            <x v="4"/>
          </reference>
          <reference field="87" count="1">
            <x v="1056"/>
          </reference>
        </references>
      </pivotArea>
    </format>
    <format dxfId="6375">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713"/>
          </reference>
          <reference field="82" count="1" selected="0">
            <x v="127"/>
          </reference>
          <reference field="85" count="1" selected="0">
            <x v="0"/>
          </reference>
          <reference field="87" count="1">
            <x v="1072"/>
          </reference>
        </references>
      </pivotArea>
    </format>
    <format dxfId="6374">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1714"/>
          </reference>
          <reference field="82" count="1" selected="0">
            <x v="128"/>
          </reference>
          <reference field="85" count="1" selected="0">
            <x v="0"/>
          </reference>
          <reference field="87" count="1">
            <x v="1073"/>
          </reference>
        </references>
      </pivotArea>
    </format>
    <format dxfId="6373">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1715"/>
          </reference>
          <reference field="82" count="1" selected="0">
            <x v="129"/>
          </reference>
          <reference field="85" count="1" selected="0">
            <x v="0"/>
          </reference>
          <reference field="87" count="1">
            <x v="1074"/>
          </reference>
        </references>
      </pivotArea>
    </format>
    <format dxfId="6372">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827"/>
          </reference>
          <reference field="82" count="1" selected="0">
            <x v="241"/>
          </reference>
          <reference field="85" count="1" selected="0">
            <x v="7"/>
          </reference>
          <reference field="87" count="1">
            <x v="1186"/>
          </reference>
        </references>
      </pivotArea>
    </format>
    <format dxfId="6371">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719"/>
          </reference>
          <reference field="82" count="1" selected="0">
            <x v="133"/>
          </reference>
          <reference field="85" count="1" selected="0">
            <x v="0"/>
          </reference>
          <reference field="87" count="1">
            <x v="1078"/>
          </reference>
        </references>
      </pivotArea>
    </format>
    <format dxfId="6370">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1720"/>
          </reference>
          <reference field="82" count="1" selected="0">
            <x v="134"/>
          </reference>
          <reference field="85" count="1" selected="0">
            <x v="0"/>
          </reference>
          <reference field="87" count="1">
            <x v="1079"/>
          </reference>
        </references>
      </pivotArea>
    </format>
    <format dxfId="6369">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1721"/>
          </reference>
          <reference field="82" count="1" selected="0">
            <x v="135"/>
          </reference>
          <reference field="85" count="1" selected="0">
            <x v="0"/>
          </reference>
          <reference field="87" count="1">
            <x v="1080"/>
          </reference>
        </references>
      </pivotArea>
    </format>
    <format dxfId="6368">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1642"/>
          </reference>
          <reference field="82" count="1" selected="0">
            <x v="53"/>
          </reference>
          <reference field="85" count="1" selected="0">
            <x v="7"/>
          </reference>
          <reference field="87" count="1">
            <x v="1000"/>
          </reference>
        </references>
      </pivotArea>
    </format>
    <format dxfId="6367">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643"/>
          </reference>
          <reference field="82" count="1" selected="0">
            <x v="54"/>
          </reference>
          <reference field="85" count="1" selected="0">
            <x v="7"/>
          </reference>
          <reference field="87" count="1">
            <x v="1001"/>
          </reference>
        </references>
      </pivotArea>
    </format>
    <format dxfId="6366">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722"/>
          </reference>
          <reference field="82" count="1" selected="0">
            <x v="136"/>
          </reference>
          <reference field="85" count="1" selected="0">
            <x v="0"/>
          </reference>
          <reference field="87" count="1">
            <x v="1081"/>
          </reference>
        </references>
      </pivotArea>
    </format>
    <format dxfId="6365">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1723"/>
          </reference>
          <reference field="82" count="1" selected="0">
            <x v="137"/>
          </reference>
          <reference field="85" count="1" selected="0">
            <x v="0"/>
          </reference>
          <reference field="87" count="1">
            <x v="1082"/>
          </reference>
        </references>
      </pivotArea>
    </format>
    <format dxfId="6364">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1724"/>
          </reference>
          <reference field="82" count="1" selected="0">
            <x v="138"/>
          </reference>
          <reference field="85" count="1" selected="0">
            <x v="0"/>
          </reference>
          <reference field="87" count="1">
            <x v="1083"/>
          </reference>
        </references>
      </pivotArea>
    </format>
    <format dxfId="6363">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1781"/>
          </reference>
          <reference field="82" count="1" selected="0">
            <x v="195"/>
          </reference>
          <reference field="85" count="1" selected="0">
            <x v="2"/>
          </reference>
          <reference field="87" count="1">
            <x v="1140"/>
          </reference>
        </references>
      </pivotArea>
    </format>
    <format dxfId="6362">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1780"/>
          </reference>
          <reference field="82" count="1" selected="0">
            <x v="194"/>
          </reference>
          <reference field="85" count="1" selected="0">
            <x v="2"/>
          </reference>
          <reference field="87" count="1">
            <x v="1139"/>
          </reference>
        </references>
      </pivotArea>
    </format>
    <format dxfId="6361">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1782"/>
          </reference>
          <reference field="82" count="1" selected="0">
            <x v="196"/>
          </reference>
          <reference field="85" count="1" selected="0">
            <x v="2"/>
          </reference>
          <reference field="87" count="1">
            <x v="1141"/>
          </reference>
        </references>
      </pivotArea>
    </format>
    <format dxfId="6360">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725"/>
          </reference>
          <reference field="82" count="1" selected="0">
            <x v="139"/>
          </reference>
          <reference field="85" count="1" selected="0">
            <x v="0"/>
          </reference>
          <reference field="87" count="1">
            <x v="1084"/>
          </reference>
        </references>
      </pivotArea>
    </format>
    <format dxfId="6359">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1486"/>
          </reference>
          <reference field="82" count="1" selected="0">
            <x v="31"/>
          </reference>
          <reference field="85" count="1" selected="0">
            <x v="0"/>
          </reference>
          <reference field="87" count="1">
            <x v="932"/>
          </reference>
        </references>
      </pivotArea>
    </format>
    <format dxfId="6358">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1726"/>
          </reference>
          <reference field="82" count="1" selected="0">
            <x v="140"/>
          </reference>
          <reference field="85" count="1" selected="0">
            <x v="0"/>
          </reference>
          <reference field="87" count="1">
            <x v="1085"/>
          </reference>
        </references>
      </pivotArea>
    </format>
    <format dxfId="6357">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818"/>
          </reference>
          <reference field="82" count="1" selected="0">
            <x v="232"/>
          </reference>
          <reference field="85" count="1" selected="0">
            <x v="7"/>
          </reference>
          <reference field="87" count="1">
            <x v="1177"/>
          </reference>
        </references>
      </pivotArea>
    </format>
    <format dxfId="6356">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845"/>
          </reference>
          <reference field="82" count="1" selected="0">
            <x v="259"/>
          </reference>
          <reference field="85" count="1" selected="0">
            <x v="4"/>
          </reference>
          <reference field="87" count="1">
            <x v="1204"/>
          </reference>
        </references>
      </pivotArea>
    </format>
    <format dxfId="6355">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846"/>
          </reference>
          <reference field="82" count="1" selected="0">
            <x v="260"/>
          </reference>
          <reference field="85" count="1" selected="0">
            <x v="4"/>
          </reference>
          <reference field="87" count="1">
            <x v="1205"/>
          </reference>
        </references>
      </pivotArea>
    </format>
    <format dxfId="6354">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847"/>
          </reference>
          <reference field="82" count="1" selected="0">
            <x v="261"/>
          </reference>
          <reference field="85" count="1" selected="0">
            <x v="4"/>
          </reference>
          <reference field="87" count="1">
            <x v="1206"/>
          </reference>
        </references>
      </pivotArea>
    </format>
    <format dxfId="6353">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848"/>
          </reference>
          <reference field="82" count="1" selected="0">
            <x v="262"/>
          </reference>
          <reference field="85" count="1" selected="0">
            <x v="4"/>
          </reference>
          <reference field="87" count="1">
            <x v="1207"/>
          </reference>
        </references>
      </pivotArea>
    </format>
    <format dxfId="6352">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1622"/>
          </reference>
          <reference field="82" count="1" selected="0">
            <x v="33"/>
          </reference>
          <reference field="85" count="1" selected="0">
            <x v="3"/>
          </reference>
          <reference field="87" count="1">
            <x v="980"/>
          </reference>
        </references>
      </pivotArea>
    </format>
    <format dxfId="6351">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1621"/>
          </reference>
          <reference field="82" count="1" selected="0">
            <x v="32"/>
          </reference>
          <reference field="85" count="1" selected="0">
            <x v="3"/>
          </reference>
          <reference field="87" count="1">
            <x v="979"/>
          </reference>
        </references>
      </pivotArea>
    </format>
    <format dxfId="6350">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841"/>
          </reference>
          <reference field="82" count="1" selected="0">
            <x v="255"/>
          </reference>
          <reference field="85" count="1" selected="0">
            <x v="4"/>
          </reference>
          <reference field="87" count="1">
            <x v="1200"/>
          </reference>
        </references>
      </pivotArea>
    </format>
    <format dxfId="6349">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842"/>
          </reference>
          <reference field="82" count="1" selected="0">
            <x v="256"/>
          </reference>
          <reference field="85" count="1" selected="0">
            <x v="4"/>
          </reference>
          <reference field="87" count="1">
            <x v="1201"/>
          </reference>
        </references>
      </pivotArea>
    </format>
    <format dxfId="6348">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843"/>
          </reference>
          <reference field="82" count="1" selected="0">
            <x v="257"/>
          </reference>
          <reference field="85" count="1" selected="0">
            <x v="4"/>
          </reference>
          <reference field="87" count="1">
            <x v="1202"/>
          </reference>
        </references>
      </pivotArea>
    </format>
    <format dxfId="6347">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844"/>
          </reference>
          <reference field="82" count="1" selected="0">
            <x v="258"/>
          </reference>
          <reference field="85" count="1" selected="0">
            <x v="4"/>
          </reference>
          <reference field="87" count="1">
            <x v="1203"/>
          </reference>
        </references>
      </pivotArea>
    </format>
    <format dxfId="6346">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837"/>
          </reference>
          <reference field="82" count="1" selected="0">
            <x v="251"/>
          </reference>
          <reference field="85" count="1" selected="0">
            <x v="4"/>
          </reference>
          <reference field="87" count="1">
            <x v="1196"/>
          </reference>
        </references>
      </pivotArea>
    </format>
    <format dxfId="6345">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838"/>
          </reference>
          <reference field="82" count="1" selected="0">
            <x v="252"/>
          </reference>
          <reference field="85" count="1" selected="0">
            <x v="4"/>
          </reference>
          <reference field="87" count="1">
            <x v="1197"/>
          </reference>
        </references>
      </pivotArea>
    </format>
    <format dxfId="6344">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839"/>
          </reference>
          <reference field="82" count="1" selected="0">
            <x v="253"/>
          </reference>
          <reference field="85" count="1" selected="0">
            <x v="4"/>
          </reference>
          <reference field="87" count="1">
            <x v="1198"/>
          </reference>
        </references>
      </pivotArea>
    </format>
    <format dxfId="6343">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840"/>
          </reference>
          <reference field="82" count="1" selected="0">
            <x v="254"/>
          </reference>
          <reference field="85" count="1" selected="0">
            <x v="4"/>
          </reference>
          <reference field="87" count="1">
            <x v="1199"/>
          </reference>
        </references>
      </pivotArea>
    </format>
    <format dxfId="6342">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1758"/>
          </reference>
          <reference field="82" count="1" selected="0">
            <x v="172"/>
          </reference>
          <reference field="85" count="1" selected="0">
            <x v="0"/>
          </reference>
          <reference field="87" count="1">
            <x v="1117"/>
          </reference>
        </references>
      </pivotArea>
    </format>
    <format dxfId="6341">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1759"/>
          </reference>
          <reference field="82" count="1" selected="0">
            <x v="173"/>
          </reference>
          <reference field="85" count="1" selected="0">
            <x v="0"/>
          </reference>
          <reference field="87" count="1">
            <x v="1118"/>
          </reference>
        </references>
      </pivotArea>
    </format>
    <format dxfId="6340">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1757"/>
          </reference>
          <reference field="82" count="1" selected="0">
            <x v="171"/>
          </reference>
          <reference field="85" count="1" selected="0">
            <x v="0"/>
          </reference>
          <reference field="87" count="1">
            <x v="1116"/>
          </reference>
        </references>
      </pivotArea>
    </format>
    <format dxfId="6339">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635"/>
          </reference>
          <reference field="82" count="1" selected="0">
            <x v="46"/>
          </reference>
          <reference field="85" count="1" selected="0">
            <x v="7"/>
          </reference>
          <reference field="87" count="1">
            <x v="993"/>
          </reference>
        </references>
      </pivotArea>
    </format>
    <format dxfId="6338">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1636"/>
          </reference>
          <reference field="82" count="1" selected="0">
            <x v="47"/>
          </reference>
          <reference field="85" count="1" selected="0">
            <x v="7"/>
          </reference>
          <reference field="87" count="1">
            <x v="994"/>
          </reference>
        </references>
      </pivotArea>
    </format>
    <format dxfId="6337">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637"/>
          </reference>
          <reference field="82" count="1" selected="0">
            <x v="48"/>
          </reference>
          <reference field="85" count="1" selected="0">
            <x v="7"/>
          </reference>
          <reference field="87" count="1">
            <x v="995"/>
          </reference>
        </references>
      </pivotArea>
    </format>
    <format dxfId="6336">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1688"/>
          </reference>
          <reference field="82" count="1" selected="0">
            <x v="101"/>
          </reference>
          <reference field="85" count="1" selected="0">
            <x v="4"/>
          </reference>
          <reference field="87" count="1">
            <x v="1047"/>
          </reference>
        </references>
      </pivotArea>
    </format>
    <format dxfId="6335">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1689"/>
          </reference>
          <reference field="82" count="1" selected="0">
            <x v="102"/>
          </reference>
          <reference field="85" count="1" selected="0">
            <x v="4"/>
          </reference>
          <reference field="87" count="1">
            <x v="1048"/>
          </reference>
        </references>
      </pivotArea>
    </format>
    <format dxfId="6334">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1690"/>
          </reference>
          <reference field="82" count="1" selected="0">
            <x v="103"/>
          </reference>
          <reference field="85" count="1" selected="0">
            <x v="4"/>
          </reference>
          <reference field="87" count="1">
            <x v="1049"/>
          </reference>
        </references>
      </pivotArea>
    </format>
    <format dxfId="6333">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1691"/>
          </reference>
          <reference field="82" count="1" selected="0">
            <x v="104"/>
          </reference>
          <reference field="85" count="1" selected="0">
            <x v="4"/>
          </reference>
          <reference field="87" count="1">
            <x v="1050"/>
          </reference>
        </references>
      </pivotArea>
    </format>
    <format dxfId="6332">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1769"/>
          </reference>
          <reference field="82" count="1" selected="0">
            <x v="183"/>
          </reference>
          <reference field="85" count="1" selected="0">
            <x v="0"/>
          </reference>
          <reference field="87" count="1">
            <x v="1128"/>
          </reference>
        </references>
      </pivotArea>
    </format>
    <format dxfId="6331">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1770"/>
          </reference>
          <reference field="82" count="1" selected="0">
            <x v="184"/>
          </reference>
          <reference field="85" count="1" selected="0">
            <x v="0"/>
          </reference>
          <reference field="87" count="1">
            <x v="1129"/>
          </reference>
        </references>
      </pivotArea>
    </format>
    <format dxfId="6330">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1771"/>
          </reference>
          <reference field="82" count="1" selected="0">
            <x v="185"/>
          </reference>
          <reference field="85" count="1" selected="0">
            <x v="0"/>
          </reference>
          <reference field="87" count="1">
            <x v="1130"/>
          </reference>
        </references>
      </pivotArea>
    </format>
    <format dxfId="6329">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1833"/>
          </reference>
          <reference field="82" count="1" selected="0">
            <x v="247"/>
          </reference>
          <reference field="85" count="1" selected="0">
            <x v="7"/>
          </reference>
          <reference field="87" count="1">
            <x v="1192"/>
          </reference>
        </references>
      </pivotArea>
    </format>
    <format dxfId="6328">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834"/>
          </reference>
          <reference field="82" count="1" selected="0">
            <x v="248"/>
          </reference>
          <reference field="85" count="1" selected="0">
            <x v="7"/>
          </reference>
          <reference field="87" count="1">
            <x v="1193"/>
          </reference>
        </references>
      </pivotArea>
    </format>
    <format dxfId="6327">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631"/>
          </reference>
          <reference field="82" count="1" selected="0">
            <x v="42"/>
          </reference>
          <reference field="85" count="1" selected="0">
            <x v="3"/>
          </reference>
          <reference field="87" count="1">
            <x v="989"/>
          </reference>
        </references>
      </pivotArea>
    </format>
    <format dxfId="6326">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644"/>
          </reference>
          <reference field="82" count="1" selected="0">
            <x v="55"/>
          </reference>
          <reference field="85" count="1" selected="0">
            <x v="7"/>
          </reference>
          <reference field="87" count="1">
            <x v="1002"/>
          </reference>
        </references>
      </pivotArea>
    </format>
    <format dxfId="6325">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1645"/>
          </reference>
          <reference field="82" count="1" selected="0">
            <x v="56"/>
          </reference>
          <reference field="85" count="1" selected="0">
            <x v="7"/>
          </reference>
          <reference field="87" count="1">
            <x v="1003"/>
          </reference>
        </references>
      </pivotArea>
    </format>
    <format dxfId="6324">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638"/>
          </reference>
          <reference field="82" count="1" selected="0">
            <x v="49"/>
          </reference>
          <reference field="85" count="1" selected="0">
            <x v="7"/>
          </reference>
          <reference field="87" count="1">
            <x v="996"/>
          </reference>
        </references>
      </pivotArea>
    </format>
    <format dxfId="6323">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1639"/>
          </reference>
          <reference field="82" count="1" selected="0">
            <x v="50"/>
          </reference>
          <reference field="85" count="1" selected="0">
            <x v="7"/>
          </reference>
          <reference field="87" count="1">
            <x v="997"/>
          </reference>
        </references>
      </pivotArea>
    </format>
    <format dxfId="6322">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637"/>
          </reference>
          <reference field="82" count="1" selected="0">
            <x v="48"/>
          </reference>
          <reference field="85" count="1" selected="0">
            <x v="7"/>
          </reference>
          <reference field="87" count="1">
            <x v="995"/>
          </reference>
        </references>
      </pivotArea>
    </format>
    <format dxfId="6321">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1685"/>
          </reference>
          <reference field="82" count="1" selected="0">
            <x v="97"/>
          </reference>
          <reference field="85" count="1" selected="0">
            <x v="4"/>
          </reference>
          <reference field="87" count="1">
            <x v="1044"/>
          </reference>
        </references>
      </pivotArea>
    </format>
    <format dxfId="6320">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1683"/>
          </reference>
          <reference field="82" count="1" selected="0">
            <x v="98"/>
          </reference>
          <reference field="85" count="1" selected="0">
            <x v="4"/>
          </reference>
          <reference field="87" count="1">
            <x v="1042"/>
          </reference>
        </references>
      </pivotArea>
    </format>
    <format dxfId="6319">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1686"/>
          </reference>
          <reference field="82" count="1" selected="0">
            <x v="99"/>
          </reference>
          <reference field="85" count="1" selected="0">
            <x v="4"/>
          </reference>
          <reference field="87" count="1">
            <x v="1045"/>
          </reference>
        </references>
      </pivotArea>
    </format>
    <format dxfId="631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1687"/>
          </reference>
          <reference field="82" count="1" selected="0">
            <x v="100"/>
          </reference>
          <reference field="85" count="1" selected="0">
            <x v="4"/>
          </reference>
          <reference field="87" count="1">
            <x v="1046"/>
          </reference>
        </references>
      </pivotArea>
    </format>
    <format dxfId="6317">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1766"/>
          </reference>
          <reference field="82" count="1" selected="0">
            <x v="180"/>
          </reference>
          <reference field="85" count="1" selected="0">
            <x v="0"/>
          </reference>
          <reference field="87" count="1">
            <x v="1125"/>
          </reference>
        </references>
      </pivotArea>
    </format>
    <format dxfId="6316">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1767"/>
          </reference>
          <reference field="82" count="1" selected="0">
            <x v="181"/>
          </reference>
          <reference field="85" count="1" selected="0">
            <x v="0"/>
          </reference>
          <reference field="87" count="1">
            <x v="1126"/>
          </reference>
        </references>
      </pivotArea>
    </format>
    <format dxfId="6315">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1768"/>
          </reference>
          <reference field="82" count="1" selected="0">
            <x v="182"/>
          </reference>
          <reference field="85" count="1" selected="0">
            <x v="0"/>
          </reference>
          <reference field="87" count="1">
            <x v="1127"/>
          </reference>
        </references>
      </pivotArea>
    </format>
    <format dxfId="6314">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1832"/>
          </reference>
          <reference field="82" count="1" selected="0">
            <x v="246"/>
          </reference>
          <reference field="85" count="1" selected="0">
            <x v="7"/>
          </reference>
          <reference field="87" count="1">
            <x v="1191"/>
          </reference>
        </references>
      </pivotArea>
    </format>
    <format dxfId="6313">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632"/>
          </reference>
          <reference field="82" count="1" selected="0">
            <x v="43"/>
          </reference>
          <reference field="85" count="1" selected="0">
            <x v="3"/>
          </reference>
          <reference field="87" count="1">
            <x v="990"/>
          </reference>
        </references>
      </pivotArea>
    </format>
    <format dxfId="6312">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646"/>
          </reference>
          <reference field="82" count="1" selected="0">
            <x v="57"/>
          </reference>
          <reference field="85" count="1" selected="0">
            <x v="7"/>
          </reference>
          <reference field="87" count="1">
            <x v="1004"/>
          </reference>
        </references>
      </pivotArea>
    </format>
    <format dxfId="6311">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1647"/>
          </reference>
          <reference field="82" count="1" selected="0">
            <x v="58"/>
          </reference>
          <reference field="85" count="1" selected="0">
            <x v="7"/>
          </reference>
          <reference field="87" count="1">
            <x v="1005"/>
          </reference>
        </references>
      </pivotArea>
    </format>
    <format dxfId="6310">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1626"/>
          </reference>
          <reference field="82" count="1" selected="0">
            <x v="37"/>
          </reference>
          <reference field="85" count="1" selected="0">
            <x v="3"/>
          </reference>
          <reference field="87" count="1">
            <x v="984"/>
          </reference>
        </references>
      </pivotArea>
    </format>
    <format dxfId="6309">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1625"/>
          </reference>
          <reference field="82" count="1" selected="0">
            <x v="36"/>
          </reference>
          <reference field="85" count="1" selected="0">
            <x v="3"/>
          </reference>
          <reference field="87" count="1">
            <x v="983"/>
          </reference>
        </references>
      </pivotArea>
    </format>
    <format dxfId="6308">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1623"/>
          </reference>
          <reference field="82" count="1" selected="0">
            <x v="34"/>
          </reference>
          <reference field="85" count="1" selected="0">
            <x v="3"/>
          </reference>
          <reference field="87" count="1">
            <x v="981"/>
          </reference>
        </references>
      </pivotArea>
    </format>
    <format dxfId="630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1624"/>
          </reference>
          <reference field="82" count="1" selected="0">
            <x v="35"/>
          </reference>
          <reference field="85" count="1" selected="0">
            <x v="3"/>
          </reference>
          <reference field="87" count="1">
            <x v="982"/>
          </reference>
        </references>
      </pivotArea>
    </format>
    <format dxfId="6306">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700"/>
          </reference>
          <reference field="82" count="1" selected="0">
            <x v="113"/>
          </reference>
          <reference field="85" count="1" selected="0">
            <x v="4"/>
          </reference>
          <reference field="87" count="1">
            <x v="1059"/>
          </reference>
        </references>
      </pivotArea>
    </format>
    <format dxfId="6305">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1760"/>
          </reference>
          <reference field="82" count="1" selected="0">
            <x v="174"/>
          </reference>
          <reference field="85" count="1" selected="0">
            <x v="0"/>
          </reference>
          <reference field="87" count="1">
            <x v="1119"/>
          </reference>
        </references>
      </pivotArea>
    </format>
    <format dxfId="6304">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1761"/>
          </reference>
          <reference field="82" count="1" selected="0">
            <x v="175"/>
          </reference>
          <reference field="85" count="1" selected="0">
            <x v="0"/>
          </reference>
          <reference field="87" count="1">
            <x v="1120"/>
          </reference>
        </references>
      </pivotArea>
    </format>
    <format dxfId="6303">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1762"/>
          </reference>
          <reference field="82" count="1" selected="0">
            <x v="176"/>
          </reference>
          <reference field="85" count="1" selected="0">
            <x v="0"/>
          </reference>
          <reference field="87" count="1">
            <x v="1121"/>
          </reference>
        </references>
      </pivotArea>
    </format>
    <format dxfId="6302">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773"/>
          </reference>
          <reference field="82" count="1" selected="0">
            <x v="187"/>
          </reference>
          <reference field="85" count="1" selected="0">
            <x v="2"/>
          </reference>
          <reference field="87" count="1">
            <x v="1132"/>
          </reference>
        </references>
      </pivotArea>
    </format>
    <format dxfId="6301">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774"/>
          </reference>
          <reference field="82" count="1" selected="0">
            <x v="188"/>
          </reference>
          <reference field="85" count="1" selected="0">
            <x v="2"/>
          </reference>
          <reference field="87" count="1">
            <x v="1133"/>
          </reference>
        </references>
      </pivotArea>
    </format>
    <format dxfId="6300">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772"/>
          </reference>
          <reference field="82" count="1" selected="0">
            <x v="186"/>
          </reference>
          <reference field="85" count="1" selected="0">
            <x v="2"/>
          </reference>
          <reference field="87" count="1">
            <x v="1131"/>
          </reference>
        </references>
      </pivotArea>
    </format>
    <format dxfId="6299">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701"/>
          </reference>
          <reference field="82" count="1" selected="0">
            <x v="114"/>
          </reference>
          <reference field="85" count="1" selected="0">
            <x v="4"/>
          </reference>
          <reference field="87" count="1">
            <x v="1060"/>
          </reference>
        </references>
      </pivotArea>
    </format>
    <format dxfId="6298">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1763"/>
          </reference>
          <reference field="82" count="1" selected="0">
            <x v="177"/>
          </reference>
          <reference field="85" count="1" selected="0">
            <x v="0"/>
          </reference>
          <reference field="87" count="1">
            <x v="1122"/>
          </reference>
        </references>
      </pivotArea>
    </format>
    <format dxfId="6297">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1764"/>
          </reference>
          <reference field="82" count="1" selected="0">
            <x v="178"/>
          </reference>
          <reference field="85" count="1" selected="0">
            <x v="0"/>
          </reference>
          <reference field="87" count="1">
            <x v="1123"/>
          </reference>
        </references>
      </pivotArea>
    </format>
    <format dxfId="6296">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1765"/>
          </reference>
          <reference field="82" count="1" selected="0">
            <x v="179"/>
          </reference>
          <reference field="85" count="1" selected="0">
            <x v="0"/>
          </reference>
          <reference field="87" count="1">
            <x v="1124"/>
          </reference>
        </references>
      </pivotArea>
    </format>
    <format dxfId="6295">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776"/>
          </reference>
          <reference field="82" count="1" selected="0">
            <x v="190"/>
          </reference>
          <reference field="85" count="1" selected="0">
            <x v="2"/>
          </reference>
          <reference field="87" count="1">
            <x v="1135"/>
          </reference>
        </references>
      </pivotArea>
    </format>
    <format dxfId="6294">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777"/>
          </reference>
          <reference field="82" count="1" selected="0">
            <x v="191"/>
          </reference>
          <reference field="85" count="1" selected="0">
            <x v="2"/>
          </reference>
          <reference field="87" count="1">
            <x v="1136"/>
          </reference>
        </references>
      </pivotArea>
    </format>
    <format dxfId="629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1778"/>
          </reference>
          <reference field="82" count="1" selected="0">
            <x v="192"/>
          </reference>
          <reference field="85" count="1" selected="0">
            <x v="2"/>
          </reference>
          <reference field="87" count="1">
            <x v="1137"/>
          </reference>
        </references>
      </pivotArea>
    </format>
    <format dxfId="629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775"/>
          </reference>
          <reference field="82" count="1" selected="0">
            <x v="189"/>
          </reference>
          <reference field="85" count="1" selected="0">
            <x v="2"/>
          </reference>
          <reference field="87" count="1">
            <x v="1134"/>
          </reference>
        </references>
      </pivotArea>
    </format>
    <format dxfId="629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1779"/>
          </reference>
          <reference field="82" count="1" selected="0">
            <x v="193"/>
          </reference>
          <reference field="85" count="1" selected="0">
            <x v="2"/>
          </reference>
          <reference field="87" count="1">
            <x v="1138"/>
          </reference>
        </references>
      </pivotArea>
    </format>
    <format dxfId="6290">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1830"/>
          </reference>
          <reference field="82" count="1" selected="0">
            <x v="244"/>
          </reference>
          <reference field="85" count="1" selected="0">
            <x v="7"/>
          </reference>
          <reference field="87" count="1">
            <x v="1189"/>
          </reference>
        </references>
      </pivotArea>
    </format>
    <format dxfId="6289">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1831"/>
          </reference>
          <reference field="82" count="1" selected="0">
            <x v="245"/>
          </reference>
          <reference field="85" count="1" selected="0">
            <x v="7"/>
          </reference>
          <reference field="87" count="1">
            <x v="1190"/>
          </reference>
        </references>
      </pivotArea>
    </format>
    <format dxfId="6288">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900"/>
          </reference>
          <reference field="82" count="1" selected="0">
            <x v="314"/>
          </reference>
          <reference field="85" count="1" selected="0">
            <x v="4"/>
          </reference>
          <reference field="87" count="1">
            <x v="1259"/>
          </reference>
        </references>
      </pivotArea>
    </format>
    <format dxfId="6287">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901"/>
          </reference>
          <reference field="82" count="1" selected="0">
            <x v="315"/>
          </reference>
          <reference field="85" count="1" selected="0">
            <x v="4"/>
          </reference>
          <reference field="87" count="1">
            <x v="1260"/>
          </reference>
        </references>
      </pivotArea>
    </format>
    <format dxfId="6286">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902"/>
          </reference>
          <reference field="82" count="1" selected="0">
            <x v="316"/>
          </reference>
          <reference field="85" count="1" selected="0">
            <x v="4"/>
          </reference>
          <reference field="87" count="1">
            <x v="1261"/>
          </reference>
        </references>
      </pivotArea>
    </format>
    <format dxfId="6285">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899"/>
          </reference>
          <reference field="82" count="1" selected="0">
            <x v="313"/>
          </reference>
          <reference field="85" count="1" selected="0">
            <x v="4"/>
          </reference>
          <reference field="87" count="1">
            <x v="1258"/>
          </reference>
        </references>
      </pivotArea>
    </format>
    <format dxfId="6284">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908"/>
          </reference>
          <reference field="82" count="1" selected="0">
            <x v="322"/>
          </reference>
          <reference field="85" count="1" selected="0">
            <x v="4"/>
          </reference>
          <reference field="87" count="1">
            <x v="1267"/>
          </reference>
        </references>
      </pivotArea>
    </format>
    <format dxfId="6283">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909"/>
          </reference>
          <reference field="82" count="1" selected="0">
            <x v="323"/>
          </reference>
          <reference field="85" count="1" selected="0">
            <x v="4"/>
          </reference>
          <reference field="87" count="1">
            <x v="1268"/>
          </reference>
        </references>
      </pivotArea>
    </format>
    <format dxfId="6282">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910"/>
          </reference>
          <reference field="82" count="1" selected="0">
            <x v="324"/>
          </reference>
          <reference field="85" count="1" selected="0">
            <x v="4"/>
          </reference>
          <reference field="87" count="1">
            <x v="1269"/>
          </reference>
        </references>
      </pivotArea>
    </format>
    <format dxfId="6281">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907"/>
          </reference>
          <reference field="82" count="1" selected="0">
            <x v="321"/>
          </reference>
          <reference field="85" count="1" selected="0">
            <x v="4"/>
          </reference>
          <reference field="87" count="1">
            <x v="1266"/>
          </reference>
        </references>
      </pivotArea>
    </format>
    <format dxfId="6280">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1905"/>
          </reference>
          <reference field="82" count="1" selected="0">
            <x v="319"/>
          </reference>
          <reference field="85" count="1" selected="0">
            <x v="4"/>
          </reference>
          <reference field="87" count="1">
            <x v="1264"/>
          </reference>
        </references>
      </pivotArea>
    </format>
    <format dxfId="6279">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1906"/>
          </reference>
          <reference field="82" count="1" selected="0">
            <x v="320"/>
          </reference>
          <reference field="85" count="1" selected="0">
            <x v="4"/>
          </reference>
          <reference field="87" count="1">
            <x v="1265"/>
          </reference>
        </references>
      </pivotArea>
    </format>
    <format dxfId="6278">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1904"/>
          </reference>
          <reference field="82" count="1" selected="0">
            <x v="318"/>
          </reference>
          <reference field="85" count="1" selected="0">
            <x v="4"/>
          </reference>
          <reference field="87" count="1">
            <x v="1263"/>
          </reference>
        </references>
      </pivotArea>
    </format>
    <format dxfId="627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1903"/>
          </reference>
          <reference field="82" count="1" selected="0">
            <x v="317"/>
          </reference>
          <reference field="85" count="1" selected="0">
            <x v="4"/>
          </reference>
          <reference field="87" count="1">
            <x v="1262"/>
          </reference>
        </references>
      </pivotArea>
    </format>
    <format dxfId="6276">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1652"/>
          </reference>
          <reference field="82" count="1" selected="0">
            <x v="64"/>
          </reference>
          <reference field="85" count="1" selected="0">
            <x v="7"/>
          </reference>
          <reference field="87" count="1">
            <x v="1010"/>
          </reference>
        </references>
      </pivotArea>
    </format>
    <format dxfId="6275">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1653"/>
          </reference>
          <reference field="82" count="1" selected="0">
            <x v="65"/>
          </reference>
          <reference field="85" count="1" selected="0">
            <x v="7"/>
          </reference>
          <reference field="87" count="1">
            <x v="1011"/>
          </reference>
        </references>
      </pivotArea>
    </format>
    <format dxfId="6274">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1801"/>
          </reference>
          <reference field="82" count="1" selected="0">
            <x v="215"/>
          </reference>
          <reference field="85" count="1" selected="0">
            <x v="2"/>
          </reference>
          <reference field="87" count="1">
            <x v="1160"/>
          </reference>
        </references>
      </pivotArea>
    </format>
    <format dxfId="6273">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1917"/>
          </reference>
          <reference field="82" count="1" selected="0">
            <x v="331"/>
          </reference>
          <reference field="85" count="1" selected="0">
            <x v="4"/>
          </reference>
          <reference field="87" count="1">
            <x v="1276"/>
          </reference>
        </references>
      </pivotArea>
    </format>
    <format dxfId="6272">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1918"/>
          </reference>
          <reference field="82" count="1" selected="0">
            <x v="332"/>
          </reference>
          <reference field="85" count="1" selected="0">
            <x v="4"/>
          </reference>
          <reference field="87" count="1">
            <x v="1277"/>
          </reference>
        </references>
      </pivotArea>
    </format>
    <format dxfId="6271">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1920"/>
          </reference>
          <reference field="82" count="1" selected="0">
            <x v="334"/>
          </reference>
          <reference field="85" count="1" selected="0">
            <x v="4"/>
          </reference>
          <reference field="87" count="1">
            <x v="1279"/>
          </reference>
        </references>
      </pivotArea>
    </format>
    <format dxfId="6270">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671"/>
          </reference>
          <reference field="82" count="1" selected="0">
            <x v="83"/>
          </reference>
          <reference field="85" count="1" selected="0">
            <x v="4"/>
          </reference>
          <reference field="87" count="1">
            <x v="1029"/>
          </reference>
        </references>
      </pivotArea>
    </format>
    <format dxfId="6269">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674"/>
          </reference>
          <reference field="82" count="1" selected="0">
            <x v="86"/>
          </reference>
          <reference field="85" count="1" selected="0">
            <x v="4"/>
          </reference>
          <reference field="87" count="1">
            <x v="1032"/>
          </reference>
        </references>
      </pivotArea>
    </format>
    <format dxfId="6268">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672"/>
          </reference>
          <reference field="82" count="1" selected="0">
            <x v="84"/>
          </reference>
          <reference field="85" count="1" selected="0">
            <x v="4"/>
          </reference>
          <reference field="87" count="1">
            <x v="1030"/>
          </reference>
        </references>
      </pivotArea>
    </format>
    <format dxfId="626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673"/>
          </reference>
          <reference field="82" count="1" selected="0">
            <x v="85"/>
          </reference>
          <reference field="85" count="1" selected="0">
            <x v="4"/>
          </reference>
          <reference field="87" count="1">
            <x v="1031"/>
          </reference>
        </references>
      </pivotArea>
    </format>
    <format dxfId="6266">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867"/>
          </reference>
          <reference field="82" count="1" selected="0">
            <x v="281"/>
          </reference>
          <reference field="85" count="1" selected="0">
            <x v="4"/>
          </reference>
          <reference field="87" count="1">
            <x v="1226"/>
          </reference>
        </references>
      </pivotArea>
    </format>
    <format dxfId="6265">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863"/>
          </reference>
          <reference field="82" count="1" selected="0">
            <x v="277"/>
          </reference>
          <reference field="85" count="1" selected="0">
            <x v="4"/>
          </reference>
          <reference field="87" count="1">
            <x v="1222"/>
          </reference>
        </references>
      </pivotArea>
    </format>
    <format dxfId="626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864"/>
          </reference>
          <reference field="82" count="1" selected="0">
            <x v="278"/>
          </reference>
          <reference field="85" count="1" selected="0">
            <x v="4"/>
          </reference>
          <reference field="87" count="1">
            <x v="1223"/>
          </reference>
        </references>
      </pivotArea>
    </format>
    <format dxfId="626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865"/>
          </reference>
          <reference field="82" count="1" selected="0">
            <x v="279"/>
          </reference>
          <reference field="85" count="1" selected="0">
            <x v="4"/>
          </reference>
          <reference field="87" count="1">
            <x v="1224"/>
          </reference>
        </references>
      </pivotArea>
    </format>
    <format dxfId="626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866"/>
          </reference>
          <reference field="82" count="1" selected="0">
            <x v="280"/>
          </reference>
          <reference field="85" count="1" selected="0">
            <x v="4"/>
          </reference>
          <reference field="87" count="1">
            <x v="1225"/>
          </reference>
        </references>
      </pivotArea>
    </format>
    <format dxfId="6261">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667"/>
          </reference>
          <reference field="82" count="1" selected="0">
            <x v="79"/>
          </reference>
          <reference field="85" count="1" selected="0">
            <x v="4"/>
          </reference>
          <reference field="87" count="1">
            <x v="1025"/>
          </reference>
        </references>
      </pivotArea>
    </format>
    <format dxfId="6260">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670"/>
          </reference>
          <reference field="82" count="1" selected="0">
            <x v="82"/>
          </reference>
          <reference field="85" count="1" selected="0">
            <x v="4"/>
          </reference>
          <reference field="87" count="1">
            <x v="1028"/>
          </reference>
        </references>
      </pivotArea>
    </format>
    <format dxfId="6259">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668"/>
          </reference>
          <reference field="82" count="1" selected="0">
            <x v="80"/>
          </reference>
          <reference field="85" count="1" selected="0">
            <x v="4"/>
          </reference>
          <reference field="87" count="1">
            <x v="1026"/>
          </reference>
        </references>
      </pivotArea>
    </format>
    <format dxfId="6258">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669"/>
          </reference>
          <reference field="82" count="1" selected="0">
            <x v="81"/>
          </reference>
          <reference field="85" count="1" selected="0">
            <x v="4"/>
          </reference>
          <reference field="87" count="1">
            <x v="1027"/>
          </reference>
        </references>
      </pivotArea>
    </format>
    <format dxfId="6257">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862"/>
          </reference>
          <reference field="82" count="1" selected="0">
            <x v="276"/>
          </reference>
          <reference field="85" count="1" selected="0">
            <x v="4"/>
          </reference>
          <reference field="87" count="1">
            <x v="1221"/>
          </reference>
        </references>
      </pivotArea>
    </format>
    <format dxfId="6256">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858"/>
          </reference>
          <reference field="82" count="1" selected="0">
            <x v="272"/>
          </reference>
          <reference field="85" count="1" selected="0">
            <x v="4"/>
          </reference>
          <reference field="87" count="1">
            <x v="1217"/>
          </reference>
        </references>
      </pivotArea>
    </format>
    <format dxfId="625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859"/>
          </reference>
          <reference field="82" count="1" selected="0">
            <x v="273"/>
          </reference>
          <reference field="85" count="1" selected="0">
            <x v="4"/>
          </reference>
          <reference field="87" count="1">
            <x v="1218"/>
          </reference>
        </references>
      </pivotArea>
    </format>
    <format dxfId="6254">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860"/>
          </reference>
          <reference field="82" count="1" selected="0">
            <x v="274"/>
          </reference>
          <reference field="85" count="1" selected="0">
            <x v="4"/>
          </reference>
          <reference field="87" count="1">
            <x v="1219"/>
          </reference>
        </references>
      </pivotArea>
    </format>
    <format dxfId="625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861"/>
          </reference>
          <reference field="82" count="1" selected="0">
            <x v="275"/>
          </reference>
          <reference field="85" count="1" selected="0">
            <x v="4"/>
          </reference>
          <reference field="87" count="1">
            <x v="1220"/>
          </reference>
        </references>
      </pivotArea>
    </format>
    <format dxfId="6252">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710"/>
          </reference>
          <reference field="82" count="1" selected="0">
            <x v="123"/>
          </reference>
          <reference field="85" count="1" selected="0">
            <x v="4"/>
          </reference>
          <reference field="87" count="1">
            <x v="1069"/>
          </reference>
        </references>
      </pivotArea>
    </format>
    <format dxfId="6251">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705"/>
          </reference>
          <reference field="82" count="1" selected="0">
            <x v="126"/>
          </reference>
          <reference field="85" count="1" selected="0">
            <x v="4"/>
          </reference>
          <reference field="87" count="1">
            <x v="1064"/>
          </reference>
        </references>
      </pivotArea>
    </format>
    <format dxfId="6250">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711"/>
          </reference>
          <reference field="82" count="1" selected="0">
            <x v="124"/>
          </reference>
          <reference field="85" count="1" selected="0">
            <x v="4"/>
          </reference>
          <reference field="87" count="1">
            <x v="1070"/>
          </reference>
        </references>
      </pivotArea>
    </format>
    <format dxfId="624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712"/>
          </reference>
          <reference field="82" count="1" selected="0">
            <x v="125"/>
          </reference>
          <reference field="85" count="1" selected="0">
            <x v="4"/>
          </reference>
          <reference field="87" count="1">
            <x v="1071"/>
          </reference>
        </references>
      </pivotArea>
    </format>
    <format dxfId="6248">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857"/>
          </reference>
          <reference field="82" count="1" selected="0">
            <x v="271"/>
          </reference>
          <reference field="85" count="1" selected="0">
            <x v="4"/>
          </reference>
          <reference field="87" count="1">
            <x v="1216"/>
          </reference>
        </references>
      </pivotArea>
    </format>
    <format dxfId="6247">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853"/>
          </reference>
          <reference field="82" count="1" selected="0">
            <x v="267"/>
          </reference>
          <reference field="85" count="1" selected="0">
            <x v="4"/>
          </reference>
          <reference field="87" count="1">
            <x v="1212"/>
          </reference>
        </references>
      </pivotArea>
    </format>
    <format dxfId="624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854"/>
          </reference>
          <reference field="82" count="1" selected="0">
            <x v="268"/>
          </reference>
          <reference field="85" count="1" selected="0">
            <x v="4"/>
          </reference>
          <reference field="87" count="1">
            <x v="1213"/>
          </reference>
        </references>
      </pivotArea>
    </format>
    <format dxfId="624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855"/>
          </reference>
          <reference field="82" count="1" selected="0">
            <x v="269"/>
          </reference>
          <reference field="85" count="1" selected="0">
            <x v="4"/>
          </reference>
          <reference field="87" count="1">
            <x v="1214"/>
          </reference>
        </references>
      </pivotArea>
    </format>
    <format dxfId="624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856"/>
          </reference>
          <reference field="82" count="1" selected="0">
            <x v="270"/>
          </reference>
          <reference field="85" count="1" selected="0">
            <x v="4"/>
          </reference>
          <reference field="87" count="1">
            <x v="1215"/>
          </reference>
        </references>
      </pivotArea>
    </format>
    <format dxfId="6243">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1913"/>
          </reference>
          <reference field="82" count="1" selected="0">
            <x v="327"/>
          </reference>
          <reference field="85" count="1" selected="0">
            <x v="4"/>
          </reference>
          <reference field="87" count="1">
            <x v="1272"/>
          </reference>
        </references>
      </pivotArea>
    </format>
    <format dxfId="6242">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1916"/>
          </reference>
          <reference field="82" count="1" selected="0">
            <x v="330"/>
          </reference>
          <reference field="85" count="1" selected="0">
            <x v="4"/>
          </reference>
          <reference field="87" count="1">
            <x v="1275"/>
          </reference>
        </references>
      </pivotArea>
    </format>
    <format dxfId="6241">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1914"/>
          </reference>
          <reference field="82" count="1" selected="0">
            <x v="328"/>
          </reference>
          <reference field="85" count="1" selected="0">
            <x v="4"/>
          </reference>
          <reference field="87" count="1">
            <x v="1273"/>
          </reference>
        </references>
      </pivotArea>
    </format>
    <format dxfId="6240">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1915"/>
          </reference>
          <reference field="82" count="1" selected="0">
            <x v="329"/>
          </reference>
          <reference field="85" count="1" selected="0">
            <x v="4"/>
          </reference>
          <reference field="87" count="1">
            <x v="1274"/>
          </reference>
        </references>
      </pivotArea>
    </format>
    <format dxfId="6239">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876"/>
          </reference>
          <reference field="82" count="1" selected="0">
            <x v="290"/>
          </reference>
          <reference field="85" count="1" selected="0">
            <x v="4"/>
          </reference>
          <reference field="87" count="1">
            <x v="1235"/>
          </reference>
        </references>
      </pivotArea>
    </format>
    <format dxfId="6238">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877"/>
          </reference>
          <reference field="82" count="1" selected="0">
            <x v="291"/>
          </reference>
          <reference field="85" count="1" selected="0">
            <x v="4"/>
          </reference>
          <reference field="87" count="1">
            <x v="1236"/>
          </reference>
        </references>
      </pivotArea>
    </format>
    <format dxfId="6237">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878"/>
          </reference>
          <reference field="82" count="1" selected="0">
            <x v="292"/>
          </reference>
          <reference field="85" count="1" selected="0">
            <x v="4"/>
          </reference>
          <reference field="87" count="1">
            <x v="1237"/>
          </reference>
        </references>
      </pivotArea>
    </format>
    <format dxfId="6236">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879"/>
          </reference>
          <reference field="82" count="1" selected="0">
            <x v="293"/>
          </reference>
          <reference field="85" count="1" selected="0">
            <x v="4"/>
          </reference>
          <reference field="87" count="1">
            <x v="1238"/>
          </reference>
        </references>
      </pivotArea>
    </format>
    <format dxfId="6235">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880"/>
          </reference>
          <reference field="82" count="1" selected="0">
            <x v="294"/>
          </reference>
          <reference field="85" count="1" selected="0">
            <x v="4"/>
          </reference>
          <reference field="87" count="1">
            <x v="1239"/>
          </reference>
        </references>
      </pivotArea>
    </format>
    <format dxfId="6234">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881"/>
          </reference>
          <reference field="82" count="1" selected="0">
            <x v="295"/>
          </reference>
          <reference field="85" count="1" selected="0">
            <x v="4"/>
          </reference>
          <reference field="87" count="1">
            <x v="1240"/>
          </reference>
        </references>
      </pivotArea>
    </format>
    <format dxfId="6233">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882"/>
          </reference>
          <reference field="82" count="1" selected="0">
            <x v="296"/>
          </reference>
          <reference field="85" count="1" selected="0">
            <x v="4"/>
          </reference>
          <reference field="87" count="1">
            <x v="1241"/>
          </reference>
        </references>
      </pivotArea>
    </format>
    <format dxfId="623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883"/>
          </reference>
          <reference field="82" count="1" selected="0">
            <x v="297"/>
          </reference>
          <reference field="85" count="1" selected="0">
            <x v="4"/>
          </reference>
          <reference field="87" count="1">
            <x v="1242"/>
          </reference>
        </references>
      </pivotArea>
    </format>
    <format dxfId="6231">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1849"/>
          </reference>
          <reference field="82" count="1" selected="0">
            <x v="263"/>
          </reference>
          <reference field="85" count="1" selected="0">
            <x v="4"/>
          </reference>
          <reference field="87" count="1">
            <x v="1208"/>
          </reference>
        </references>
      </pivotArea>
    </format>
    <format dxfId="6230">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1851"/>
          </reference>
          <reference field="82" count="1" selected="0">
            <x v="265"/>
          </reference>
          <reference field="85" count="1" selected="0">
            <x v="4"/>
          </reference>
          <reference field="87" count="1">
            <x v="1210"/>
          </reference>
        </references>
      </pivotArea>
    </format>
    <format dxfId="6229">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1852"/>
          </reference>
          <reference field="82" count="1" selected="0">
            <x v="266"/>
          </reference>
          <reference field="85" count="1" selected="0">
            <x v="4"/>
          </reference>
          <reference field="87" count="1">
            <x v="1211"/>
          </reference>
        </references>
      </pivotArea>
    </format>
    <format dxfId="6228">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1850"/>
          </reference>
          <reference field="82" count="1" selected="0">
            <x v="264"/>
          </reference>
          <reference field="85" count="1" selected="0">
            <x v="4"/>
          </reference>
          <reference field="87" count="1">
            <x v="1209"/>
          </reference>
        </references>
      </pivotArea>
    </format>
    <format dxfId="6227">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1799"/>
          </reference>
          <reference field="82" count="1" selected="0">
            <x v="213"/>
          </reference>
          <reference field="85" count="1" selected="0">
            <x v="2"/>
          </reference>
          <reference field="87" count="1">
            <x v="1158"/>
          </reference>
        </references>
      </pivotArea>
    </format>
    <format dxfId="6226">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1800"/>
          </reference>
          <reference field="82" count="1" selected="0">
            <x v="214"/>
          </reference>
          <reference field="85" count="1" selected="0">
            <x v="2"/>
          </reference>
          <reference field="87" count="1">
            <x v="1159"/>
          </reference>
        </references>
      </pivotArea>
    </format>
    <format dxfId="6225">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1798"/>
          </reference>
          <reference field="82" count="1" selected="0">
            <x v="212"/>
          </reference>
          <reference field="85" count="1" selected="0">
            <x v="2"/>
          </reference>
          <reference field="87" count="1">
            <x v="1157"/>
          </reference>
        </references>
      </pivotArea>
    </format>
    <format dxfId="6224">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509"/>
          </reference>
          <reference field="82" count="1" selected="0">
            <x v="29"/>
          </reference>
          <reference field="85" count="1" selected="0">
            <x v="4"/>
          </reference>
          <reference field="87" count="1">
            <x v="1033"/>
          </reference>
        </references>
      </pivotArea>
    </format>
    <format dxfId="6223">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677"/>
          </reference>
          <reference field="82" count="1" selected="0">
            <x v="89"/>
          </reference>
          <reference field="85" count="1" selected="0">
            <x v="4"/>
          </reference>
          <reference field="87" count="1">
            <x v="1036"/>
          </reference>
        </references>
      </pivotArea>
    </format>
    <format dxfId="622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675"/>
          </reference>
          <reference field="82" count="1" selected="0">
            <x v="87"/>
          </reference>
          <reference field="85" count="1" selected="0">
            <x v="4"/>
          </reference>
          <reference field="87" count="1">
            <x v="1034"/>
          </reference>
        </references>
      </pivotArea>
    </format>
    <format dxfId="6221">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676"/>
          </reference>
          <reference field="82" count="1" selected="0">
            <x v="88"/>
          </reference>
          <reference field="85" count="1" selected="0">
            <x v="4"/>
          </reference>
          <reference field="87" count="1">
            <x v="1035"/>
          </reference>
        </references>
      </pivotArea>
    </format>
    <format dxfId="6220">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868"/>
          </reference>
          <reference field="82" count="1" selected="0">
            <x v="282"/>
          </reference>
          <reference field="85" count="1" selected="0">
            <x v="4"/>
          </reference>
          <reference field="87" count="1">
            <x v="1227"/>
          </reference>
        </references>
      </pivotArea>
    </format>
    <format dxfId="6219">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869"/>
          </reference>
          <reference field="82" count="1" selected="0">
            <x v="283"/>
          </reference>
          <reference field="85" count="1" selected="0">
            <x v="4"/>
          </reference>
          <reference field="87" count="1">
            <x v="1228"/>
          </reference>
        </references>
      </pivotArea>
    </format>
    <format dxfId="6218">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870"/>
          </reference>
          <reference field="82" count="1" selected="0">
            <x v="284"/>
          </reference>
          <reference field="85" count="1" selected="0">
            <x v="4"/>
          </reference>
          <reference field="87" count="1">
            <x v="1229"/>
          </reference>
        </references>
      </pivotArea>
    </format>
    <format dxfId="621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871"/>
          </reference>
          <reference field="82" count="1" selected="0">
            <x v="285"/>
          </reference>
          <reference field="85" count="1" selected="0">
            <x v="4"/>
          </reference>
          <reference field="87" count="1">
            <x v="1230"/>
          </reference>
        </references>
      </pivotArea>
    </format>
    <format dxfId="6216">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872"/>
          </reference>
          <reference field="82" count="1" selected="0">
            <x v="286"/>
          </reference>
          <reference field="85" count="1" selected="0">
            <x v="4"/>
          </reference>
          <reference field="87" count="1">
            <x v="1231"/>
          </reference>
        </references>
      </pivotArea>
    </format>
    <format dxfId="6215">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873"/>
          </reference>
          <reference field="82" count="1" selected="0">
            <x v="287"/>
          </reference>
          <reference field="85" count="1" selected="0">
            <x v="4"/>
          </reference>
          <reference field="87" count="1">
            <x v="1232"/>
          </reference>
        </references>
      </pivotArea>
    </format>
    <format dxfId="6214">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874"/>
          </reference>
          <reference field="82" count="1" selected="0">
            <x v="288"/>
          </reference>
          <reference field="85" count="1" selected="0">
            <x v="4"/>
          </reference>
          <reference field="87" count="1">
            <x v="1233"/>
          </reference>
        </references>
      </pivotArea>
    </format>
    <format dxfId="6213">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875"/>
          </reference>
          <reference field="82" count="1" selected="0">
            <x v="289"/>
          </reference>
          <reference field="85" count="1" selected="0">
            <x v="4"/>
          </reference>
          <reference field="87" count="1">
            <x v="1234"/>
          </reference>
        </references>
      </pivotArea>
    </format>
    <format dxfId="6212">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1628"/>
          </reference>
          <reference field="82" count="1" selected="0">
            <x v="39"/>
          </reference>
          <reference field="85" count="1" selected="0">
            <x v="3"/>
          </reference>
          <reference field="87" count="1">
            <x v="986"/>
          </reference>
        </references>
      </pivotArea>
    </format>
    <format dxfId="6211">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665"/>
          </reference>
          <reference field="82" count="1" selected="0">
            <x v="77"/>
          </reference>
          <reference field="85" count="1" selected="0">
            <x v="7"/>
          </reference>
          <reference field="87" count="1">
            <x v="1023"/>
          </reference>
        </references>
      </pivotArea>
    </format>
    <format dxfId="6210">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1629"/>
          </reference>
          <reference field="82" count="1" selected="0">
            <x v="40"/>
          </reference>
          <reference field="85" count="1" selected="0">
            <x v="3"/>
          </reference>
          <reference field="87" count="1">
            <x v="987"/>
          </reference>
        </references>
      </pivotArea>
    </format>
    <format dxfId="6209">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666"/>
          </reference>
          <reference field="82" count="1" selected="0">
            <x v="78"/>
          </reference>
          <reference field="85" count="1" selected="0">
            <x v="7"/>
          </reference>
          <reference field="87" count="1">
            <x v="1024"/>
          </reference>
        </references>
      </pivotArea>
    </format>
    <format dxfId="6208">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1658"/>
          </reference>
          <reference field="82" count="1" selected="0">
            <x v="70"/>
          </reference>
          <reference field="85" count="1" selected="0">
            <x v="2"/>
          </reference>
          <reference field="87" count="1">
            <x v="1016"/>
          </reference>
        </references>
      </pivotArea>
    </format>
    <format dxfId="6207">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1627"/>
          </reference>
          <reference field="82" count="1" selected="0">
            <x v="38"/>
          </reference>
          <reference field="85" count="1" selected="0">
            <x v="3"/>
          </reference>
          <reference field="87" count="1">
            <x v="985"/>
          </reference>
        </references>
      </pivotArea>
    </format>
    <format dxfId="6206">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1919"/>
          </reference>
          <reference field="82" count="1" selected="0">
            <x v="333"/>
          </reference>
          <reference field="85" count="1" selected="0">
            <x v="4"/>
          </reference>
          <reference field="87" count="1">
            <x v="1278"/>
          </reference>
        </references>
      </pivotArea>
    </format>
    <format dxfId="620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784"/>
          </reference>
          <reference field="82" count="1" selected="0">
            <x v="198"/>
          </reference>
          <reference field="85" count="1" selected="0">
            <x v="2"/>
          </reference>
          <reference field="87" count="1">
            <x v="1143"/>
          </reference>
        </references>
      </pivotArea>
    </format>
    <format dxfId="620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787"/>
          </reference>
          <reference field="82" count="1" selected="0">
            <x v="201"/>
          </reference>
          <reference field="85" count="1" selected="0">
            <x v="2"/>
          </reference>
          <reference field="87" count="1">
            <x v="1146"/>
          </reference>
        </references>
      </pivotArea>
    </format>
    <format dxfId="620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1785"/>
          </reference>
          <reference field="82" count="1" selected="0">
            <x v="199"/>
          </reference>
          <reference field="85" count="1" selected="0">
            <x v="2"/>
          </reference>
          <reference field="87" count="1">
            <x v="1144"/>
          </reference>
        </references>
      </pivotArea>
    </format>
    <format dxfId="620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1788"/>
          </reference>
          <reference field="82" count="1" selected="0">
            <x v="202"/>
          </reference>
          <reference field="85" count="1" selected="0">
            <x v="2"/>
          </reference>
          <reference field="87" count="1">
            <x v="1147"/>
          </reference>
        </references>
      </pivotArea>
    </format>
    <format dxfId="620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1793"/>
          </reference>
          <reference field="82" count="1" selected="0">
            <x v="207"/>
          </reference>
          <reference field="85" count="1" selected="0">
            <x v="2"/>
          </reference>
          <reference field="87" count="1">
            <x v="1152"/>
          </reference>
        </references>
      </pivotArea>
    </format>
    <format dxfId="620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1791"/>
          </reference>
          <reference field="82" count="1" selected="0">
            <x v="205"/>
          </reference>
          <reference field="85" count="1" selected="0">
            <x v="2"/>
          </reference>
          <reference field="87" count="1">
            <x v="1150"/>
          </reference>
        </references>
      </pivotArea>
    </format>
    <format dxfId="619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1790"/>
          </reference>
          <reference field="82" count="1" selected="0">
            <x v="204"/>
          </reference>
          <reference field="85" count="1" selected="0">
            <x v="2"/>
          </reference>
          <reference field="87" count="1">
            <x v="1149"/>
          </reference>
        </references>
      </pivotArea>
    </format>
    <format dxfId="619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1789"/>
          </reference>
          <reference field="82" count="1" selected="0">
            <x v="203"/>
          </reference>
          <reference field="85" count="1" selected="0">
            <x v="2"/>
          </reference>
          <reference field="87" count="1">
            <x v="1148"/>
          </reference>
        </references>
      </pivotArea>
    </format>
    <format dxfId="619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783"/>
          </reference>
          <reference field="82" count="1" selected="0">
            <x v="197"/>
          </reference>
          <reference field="85" count="1" selected="0">
            <x v="2"/>
          </reference>
          <reference field="87" count="1">
            <x v="1142"/>
          </reference>
        </references>
      </pivotArea>
    </format>
    <format dxfId="619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786"/>
          </reference>
          <reference field="82" count="1" selected="0">
            <x v="200"/>
          </reference>
          <reference field="85" count="1" selected="0">
            <x v="2"/>
          </reference>
          <reference field="87" count="1">
            <x v="1145"/>
          </reference>
        </references>
      </pivotArea>
    </format>
    <format dxfId="619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1792"/>
          </reference>
          <reference field="82" count="1" selected="0">
            <x v="206"/>
          </reference>
          <reference field="85" count="1" selected="0">
            <x v="2"/>
          </reference>
          <reference field="87" count="1">
            <x v="1151"/>
          </reference>
        </references>
      </pivotArea>
    </format>
    <format dxfId="6194">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1664"/>
          </reference>
          <reference field="82" count="1" selected="0">
            <x v="76"/>
          </reference>
          <reference field="85" count="1" selected="0">
            <x v="2"/>
          </reference>
          <reference field="87" count="1">
            <x v="1022"/>
          </reference>
        </references>
      </pivotArea>
    </format>
    <format dxfId="6193">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662"/>
          </reference>
          <reference field="82" count="1" selected="0">
            <x v="74"/>
          </reference>
          <reference field="85" count="1" selected="0">
            <x v="7"/>
          </reference>
          <reference field="87" count="1">
            <x v="1020"/>
          </reference>
        </references>
      </pivotArea>
    </format>
    <format dxfId="6192">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795"/>
          </reference>
          <reference field="82" count="1" selected="0">
            <x v="209"/>
          </reference>
          <reference field="85" count="1" selected="0">
            <x v="2"/>
          </reference>
          <reference field="87" count="1">
            <x v="1154"/>
          </reference>
        </references>
      </pivotArea>
    </format>
    <format dxfId="6191">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797"/>
          </reference>
          <reference field="82" count="1" selected="0">
            <x v="211"/>
          </reference>
          <reference field="85" count="1" selected="0">
            <x v="2"/>
          </reference>
          <reference field="87" count="1">
            <x v="1156"/>
          </reference>
        </references>
      </pivotArea>
    </format>
    <format dxfId="6190">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794"/>
          </reference>
          <reference field="82" count="1" selected="0">
            <x v="208"/>
          </reference>
          <reference field="85" count="1" selected="0">
            <x v="2"/>
          </reference>
          <reference field="87" count="1">
            <x v="1153"/>
          </reference>
        </references>
      </pivotArea>
    </format>
    <format dxfId="6189">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796"/>
          </reference>
          <reference field="82" count="1" selected="0">
            <x v="210"/>
          </reference>
          <reference field="85" count="1" selected="0">
            <x v="2"/>
          </reference>
          <reference field="87" count="1">
            <x v="1155"/>
          </reference>
        </references>
      </pivotArea>
    </format>
    <format dxfId="6188">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663"/>
          </reference>
          <reference field="82" count="1" selected="0">
            <x v="75"/>
          </reference>
          <reference field="85" count="1" selected="0">
            <x v="7"/>
          </reference>
          <reference field="87" count="1">
            <x v="1021"/>
          </reference>
        </references>
      </pivotArea>
    </format>
    <format dxfId="6187">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1911"/>
          </reference>
          <reference field="82" count="1" selected="0">
            <x v="325"/>
          </reference>
          <reference field="85" count="1" selected="0">
            <x v="4"/>
          </reference>
          <reference field="87" count="1">
            <x v="1270"/>
          </reference>
        </references>
      </pivotArea>
    </format>
    <format dxfId="6186">
      <pivotArea dataOnly="0" labelOnly="1" outline="0" fieldPosition="0">
        <references count="13">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1912"/>
          </reference>
          <reference field="82" count="1" selected="0">
            <x v="326"/>
          </reference>
          <reference field="85" count="1" selected="0">
            <x v="4"/>
          </reference>
          <reference field="87" count="1">
            <x v="1271"/>
          </reference>
        </references>
      </pivotArea>
    </format>
    <format dxfId="6185">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1820"/>
          </reference>
          <reference field="82" count="1" selected="0">
            <x v="234"/>
          </reference>
          <reference field="85" count="1" selected="0">
            <x v="7"/>
          </reference>
          <reference field="87" count="1">
            <x v="1179"/>
          </reference>
        </references>
      </pivotArea>
    </format>
    <format dxfId="6184">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1826"/>
          </reference>
          <reference field="82" count="1" selected="0">
            <x v="240"/>
          </reference>
          <reference field="85" count="1" selected="0">
            <x v="7"/>
          </reference>
          <reference field="87" count="1">
            <x v="1185"/>
          </reference>
        </references>
      </pivotArea>
    </format>
    <format dxfId="6183">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1655"/>
          </reference>
          <reference field="82" count="1" selected="0">
            <x v="67"/>
          </reference>
          <reference field="85" count="1" selected="0">
            <x v="7"/>
          </reference>
          <reference field="87" count="1">
            <x v="1013"/>
          </reference>
        </references>
      </pivotArea>
    </format>
    <format dxfId="6182">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1654"/>
          </reference>
          <reference field="82" count="1" selected="0">
            <x v="66"/>
          </reference>
          <reference field="85" count="1" selected="0">
            <x v="7"/>
          </reference>
          <reference field="87" count="1">
            <x v="1012"/>
          </reference>
        </references>
      </pivotArea>
    </format>
    <format dxfId="6181">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1896"/>
          </reference>
          <reference field="82" count="1" selected="0">
            <x v="310"/>
          </reference>
          <reference field="85" count="1" selected="0">
            <x v="4"/>
          </reference>
          <reference field="87" count="1">
            <x v="1255"/>
          </reference>
        </references>
      </pivotArea>
    </format>
    <format dxfId="6180">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1897"/>
          </reference>
          <reference field="82" count="1" selected="0">
            <x v="311"/>
          </reference>
          <reference field="85" count="1" selected="0">
            <x v="4"/>
          </reference>
          <reference field="87" count="1">
            <x v="1256"/>
          </reference>
        </references>
      </pivotArea>
    </format>
    <format dxfId="6179">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1898"/>
          </reference>
          <reference field="82" count="1" selected="0">
            <x v="312"/>
          </reference>
          <reference field="85" count="1" selected="0">
            <x v="4"/>
          </reference>
          <reference field="87" count="1">
            <x v="1257"/>
          </reference>
        </references>
      </pivotArea>
    </format>
    <format dxfId="6178">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1496"/>
          </reference>
          <reference field="82" count="1" selected="0">
            <x v="28"/>
          </reference>
          <reference field="85" count="1" selected="0">
            <x v="4"/>
          </reference>
          <reference field="87" count="1">
            <x v="832"/>
          </reference>
        </references>
      </pivotArea>
    </format>
    <format dxfId="6177">
      <pivotArea dataOnly="0" labelOnly="1" outline="0" fieldPosition="0">
        <references count="13">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1821"/>
          </reference>
          <reference field="82" count="1" selected="0">
            <x v="235"/>
          </reference>
          <reference field="85" count="1" selected="0">
            <x v="7"/>
          </reference>
          <reference field="87" count="1">
            <x v="1180"/>
          </reference>
        </references>
      </pivotArea>
    </format>
    <format dxfId="6176">
      <pivotArea dataOnly="0" labelOnly="1" outline="0" fieldPosition="0">
        <references count="13">
          <reference field="1" count="1" selected="0">
            <x v="50"/>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1836"/>
          </reference>
          <reference field="82" count="1" selected="0">
            <x v="250"/>
          </reference>
          <reference field="85" count="1" selected="0">
            <x v="7"/>
          </reference>
          <reference field="87" count="1">
            <x v="1195"/>
          </reference>
        </references>
      </pivotArea>
    </format>
    <format dxfId="6175">
      <pivotArea field="88" type="button" dataOnly="0" labelOnly="1" outline="0" axis="axisRow" fieldPosition="13"/>
    </format>
    <format dxfId="6174">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1650"/>
          </reference>
          <reference field="82" count="1" selected="0">
            <x v="61"/>
          </reference>
          <reference field="85" count="1" selected="0">
            <x v="7"/>
          </reference>
          <reference field="87" count="1" selected="0">
            <x v="1008"/>
          </reference>
          <reference field="88" count="1">
            <x v="57"/>
          </reference>
        </references>
      </pivotArea>
    </format>
    <format dxfId="6173">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651"/>
          </reference>
          <reference field="82" count="1" selected="0">
            <x v="63"/>
          </reference>
          <reference field="85" count="1" selected="0">
            <x v="7"/>
          </reference>
          <reference field="87" count="1" selected="0">
            <x v="1009"/>
          </reference>
          <reference field="88" count="1">
            <x v="59"/>
          </reference>
        </references>
      </pivotArea>
    </format>
    <format dxfId="6172">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660"/>
          </reference>
          <reference field="82" count="1" selected="0">
            <x v="72"/>
          </reference>
          <reference field="85" count="1" selected="0">
            <x v="7"/>
          </reference>
          <reference field="87" count="1" selected="0">
            <x v="1018"/>
          </reference>
          <reference field="88" count="1">
            <x v="68"/>
          </reference>
        </references>
      </pivotArea>
    </format>
    <format dxfId="6171">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1650"/>
          </reference>
          <reference field="82" count="1" selected="0">
            <x v="62"/>
          </reference>
          <reference field="85" count="1" selected="0">
            <x v="7"/>
          </reference>
          <reference field="87" count="1" selected="0">
            <x v="1008"/>
          </reference>
          <reference field="88" count="1">
            <x v="58"/>
          </reference>
        </references>
      </pivotArea>
    </format>
    <format dxfId="6170">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659"/>
          </reference>
          <reference field="82" count="1" selected="0">
            <x v="71"/>
          </reference>
          <reference field="85" count="1" selected="0">
            <x v="7"/>
          </reference>
          <reference field="87" count="1" selected="0">
            <x v="1017"/>
          </reference>
          <reference field="88" count="1">
            <x v="67"/>
          </reference>
        </references>
      </pivotArea>
    </format>
    <format dxfId="6169">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1656"/>
          </reference>
          <reference field="82" count="1" selected="0">
            <x v="68"/>
          </reference>
          <reference field="85" count="1" selected="0">
            <x v="7"/>
          </reference>
          <reference field="87" count="1" selected="0">
            <x v="1014"/>
          </reference>
          <reference field="88" count="1">
            <x v="64"/>
          </reference>
        </references>
      </pivotArea>
    </format>
    <format dxfId="6168">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1640"/>
          </reference>
          <reference field="82" count="1" selected="0">
            <x v="51"/>
          </reference>
          <reference field="85" count="1" selected="0">
            <x v="7"/>
          </reference>
          <reference field="87" count="1" selected="0">
            <x v="998"/>
          </reference>
          <reference field="88" count="1">
            <x v="47"/>
          </reference>
        </references>
      </pivotArea>
    </format>
    <format dxfId="6167">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641"/>
          </reference>
          <reference field="82" count="1" selected="0">
            <x v="52"/>
          </reference>
          <reference field="85" count="1" selected="0">
            <x v="7"/>
          </reference>
          <reference field="87" count="1" selected="0">
            <x v="999"/>
          </reference>
          <reference field="88" count="1">
            <x v="48"/>
          </reference>
        </references>
      </pivotArea>
    </format>
    <format dxfId="6166">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1661"/>
          </reference>
          <reference field="82" count="1" selected="0">
            <x v="73"/>
          </reference>
          <reference field="85" count="1" selected="0">
            <x v="7"/>
          </reference>
          <reference field="87" count="1" selected="0">
            <x v="1019"/>
          </reference>
          <reference field="88" count="1">
            <x v="69"/>
          </reference>
        </references>
      </pivotArea>
    </format>
    <format dxfId="6165">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1633"/>
          </reference>
          <reference field="82" count="1" selected="0">
            <x v="44"/>
          </reference>
          <reference field="85" count="1" selected="0">
            <x v="7"/>
          </reference>
          <reference field="87" count="1" selected="0">
            <x v="991"/>
          </reference>
          <reference field="88" count="1">
            <x v="40"/>
          </reference>
        </references>
      </pivotArea>
    </format>
    <format dxfId="6164">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634"/>
          </reference>
          <reference field="82" count="1" selected="0">
            <x v="45"/>
          </reference>
          <reference field="85" count="1" selected="0">
            <x v="7"/>
          </reference>
          <reference field="87" count="1" selected="0">
            <x v="992"/>
          </reference>
          <reference field="88" count="1">
            <x v="41"/>
          </reference>
        </references>
      </pivotArea>
    </format>
    <format dxfId="6163">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1694"/>
          </reference>
          <reference field="82" count="1" selected="0">
            <x v="107"/>
          </reference>
          <reference field="85" count="1" selected="0">
            <x v="4"/>
          </reference>
          <reference field="87" count="1" selected="0">
            <x v="1053"/>
          </reference>
          <reference field="88" count="1">
            <x v="104"/>
          </reference>
        </references>
      </pivotArea>
    </format>
    <format dxfId="6162">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1695"/>
          </reference>
          <reference field="82" count="1" selected="0">
            <x v="108"/>
          </reference>
          <reference field="85" count="1" selected="0">
            <x v="4"/>
          </reference>
          <reference field="87" count="1" selected="0">
            <x v="1054"/>
          </reference>
          <reference field="88" count="1">
            <x v="105"/>
          </reference>
        </references>
      </pivotArea>
    </format>
    <format dxfId="6161">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1692"/>
          </reference>
          <reference field="82" count="1" selected="0">
            <x v="105"/>
          </reference>
          <reference field="85" count="1" selected="0">
            <x v="4"/>
          </reference>
          <reference field="87" count="1" selected="0">
            <x v="1051"/>
          </reference>
          <reference field="88" count="1">
            <x v="102"/>
          </reference>
        </references>
      </pivotArea>
    </format>
    <format dxfId="6160">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1693"/>
          </reference>
          <reference field="82" count="1" selected="0">
            <x v="106"/>
          </reference>
          <reference field="85" count="1" selected="0">
            <x v="4"/>
          </reference>
          <reference field="87" count="1" selected="0">
            <x v="1052"/>
          </reference>
          <reference field="88" count="1">
            <x v="103"/>
          </reference>
        </references>
      </pivotArea>
    </format>
    <format dxfId="6159">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1649"/>
          </reference>
          <reference field="82" count="1" selected="0">
            <x v="60"/>
          </reference>
          <reference field="85" count="1" selected="0">
            <x v="7"/>
          </reference>
          <reference field="87" count="1" selected="0">
            <x v="1007"/>
          </reference>
          <reference field="88" count="1">
            <x v="56"/>
          </reference>
        </references>
      </pivotArea>
    </format>
    <format dxfId="6158">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1657"/>
          </reference>
          <reference field="82" count="1" selected="0">
            <x v="69"/>
          </reference>
          <reference field="85" count="1" selected="0">
            <x v="7"/>
          </reference>
          <reference field="87" count="1" selected="0">
            <x v="1015"/>
          </reference>
          <reference field="88" count="1">
            <x v="65"/>
          </reference>
        </references>
      </pivotArea>
    </format>
    <format dxfId="6157">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1648"/>
          </reference>
          <reference field="82" count="1" selected="0">
            <x v="59"/>
          </reference>
          <reference field="85" count="1" selected="0">
            <x v="7"/>
          </reference>
          <reference field="87" count="1" selected="0">
            <x v="1006"/>
          </reference>
          <reference field="88" count="1">
            <x v="55"/>
          </reference>
        </references>
      </pivotArea>
    </format>
    <format dxfId="6156">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1696"/>
          </reference>
          <reference field="82" count="1" selected="0">
            <x v="109"/>
          </reference>
          <reference field="85" count="1" selected="0">
            <x v="4"/>
          </reference>
          <reference field="87" count="1" selected="0">
            <x v="1055"/>
          </reference>
          <reference field="88" count="1">
            <x v="106"/>
          </reference>
        </references>
      </pivotArea>
    </format>
    <format dxfId="6155">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1697"/>
          </reference>
          <reference field="82" count="1" selected="0">
            <x v="110"/>
          </reference>
          <reference field="85" count="1" selected="0">
            <x v="4"/>
          </reference>
          <reference field="87" count="1" selected="0">
            <x v="1056"/>
          </reference>
          <reference field="88" count="1">
            <x v="107"/>
          </reference>
        </references>
      </pivotArea>
    </format>
    <format dxfId="6154">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1642"/>
          </reference>
          <reference field="82" count="1" selected="0">
            <x v="53"/>
          </reference>
          <reference field="85" count="1" selected="0">
            <x v="7"/>
          </reference>
          <reference field="87" count="1" selected="0">
            <x v="1000"/>
          </reference>
          <reference field="88" count="1">
            <x v="49"/>
          </reference>
        </references>
      </pivotArea>
    </format>
    <format dxfId="6153">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643"/>
          </reference>
          <reference field="82" count="1" selected="0">
            <x v="54"/>
          </reference>
          <reference field="85" count="1" selected="0">
            <x v="7"/>
          </reference>
          <reference field="87" count="1" selected="0">
            <x v="1001"/>
          </reference>
          <reference field="88" count="1">
            <x v="50"/>
          </reference>
        </references>
      </pivotArea>
    </format>
    <format dxfId="6152">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1622"/>
          </reference>
          <reference field="82" count="1" selected="0">
            <x v="33"/>
          </reference>
          <reference field="85" count="1" selected="0">
            <x v="3"/>
          </reference>
          <reference field="87" count="1" selected="0">
            <x v="980"/>
          </reference>
          <reference field="88" count="1">
            <x v="29"/>
          </reference>
        </references>
      </pivotArea>
    </format>
    <format dxfId="6151">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1621"/>
          </reference>
          <reference field="82" count="1" selected="0">
            <x v="32"/>
          </reference>
          <reference field="85" count="1" selected="0">
            <x v="3"/>
          </reference>
          <reference field="87" count="1" selected="0">
            <x v="979"/>
          </reference>
          <reference field="88" count="1">
            <x v="28"/>
          </reference>
        </references>
      </pivotArea>
    </format>
    <format dxfId="6150">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635"/>
          </reference>
          <reference field="82" count="1" selected="0">
            <x v="46"/>
          </reference>
          <reference field="85" count="1" selected="0">
            <x v="7"/>
          </reference>
          <reference field="87" count="1" selected="0">
            <x v="993"/>
          </reference>
          <reference field="88" count="1">
            <x v="42"/>
          </reference>
        </references>
      </pivotArea>
    </format>
    <format dxfId="6149">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1636"/>
          </reference>
          <reference field="82" count="1" selected="0">
            <x v="47"/>
          </reference>
          <reference field="85" count="1" selected="0">
            <x v="7"/>
          </reference>
          <reference field="87" count="1" selected="0">
            <x v="994"/>
          </reference>
          <reference field="88" count="1">
            <x v="43"/>
          </reference>
        </references>
      </pivotArea>
    </format>
    <format dxfId="6148">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637"/>
          </reference>
          <reference field="82" count="1" selected="0">
            <x v="48"/>
          </reference>
          <reference field="85" count="1" selected="0">
            <x v="7"/>
          </reference>
          <reference field="87" count="1" selected="0">
            <x v="995"/>
          </reference>
          <reference field="88" count="1">
            <x v="44"/>
          </reference>
        </references>
      </pivotArea>
    </format>
    <format dxfId="6147">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1688"/>
          </reference>
          <reference field="82" count="1" selected="0">
            <x v="101"/>
          </reference>
          <reference field="85" count="1" selected="0">
            <x v="4"/>
          </reference>
          <reference field="87" count="1" selected="0">
            <x v="1047"/>
          </reference>
          <reference field="88" count="1">
            <x v="98"/>
          </reference>
        </references>
      </pivotArea>
    </format>
    <format dxfId="6146">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1689"/>
          </reference>
          <reference field="82" count="1" selected="0">
            <x v="102"/>
          </reference>
          <reference field="85" count="1" selected="0">
            <x v="4"/>
          </reference>
          <reference field="87" count="1" selected="0">
            <x v="1048"/>
          </reference>
          <reference field="88" count="1">
            <x v="99"/>
          </reference>
        </references>
      </pivotArea>
    </format>
    <format dxfId="6145">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1690"/>
          </reference>
          <reference field="82" count="1" selected="0">
            <x v="103"/>
          </reference>
          <reference field="85" count="1" selected="0">
            <x v="4"/>
          </reference>
          <reference field="87" count="1" selected="0">
            <x v="1049"/>
          </reference>
          <reference field="88" count="1">
            <x v="100"/>
          </reference>
        </references>
      </pivotArea>
    </format>
    <format dxfId="6144">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1691"/>
          </reference>
          <reference field="82" count="1" selected="0">
            <x v="104"/>
          </reference>
          <reference field="85" count="1" selected="0">
            <x v="4"/>
          </reference>
          <reference field="87" count="1" selected="0">
            <x v="1050"/>
          </reference>
          <reference field="88" count="1">
            <x v="101"/>
          </reference>
        </references>
      </pivotArea>
    </format>
    <format dxfId="6143">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631"/>
          </reference>
          <reference field="82" count="1" selected="0">
            <x v="42"/>
          </reference>
          <reference field="85" count="1" selected="0">
            <x v="3"/>
          </reference>
          <reference field="87" count="1" selected="0">
            <x v="989"/>
          </reference>
          <reference field="88" count="1">
            <x v="38"/>
          </reference>
        </references>
      </pivotArea>
    </format>
    <format dxfId="6142">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644"/>
          </reference>
          <reference field="82" count="1" selected="0">
            <x v="55"/>
          </reference>
          <reference field="85" count="1" selected="0">
            <x v="7"/>
          </reference>
          <reference field="87" count="1" selected="0">
            <x v="1002"/>
          </reference>
          <reference field="88" count="1">
            <x v="51"/>
          </reference>
        </references>
      </pivotArea>
    </format>
    <format dxfId="6141">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1645"/>
          </reference>
          <reference field="82" count="1" selected="0">
            <x v="56"/>
          </reference>
          <reference field="85" count="1" selected="0">
            <x v="7"/>
          </reference>
          <reference field="87" count="1" selected="0">
            <x v="1003"/>
          </reference>
          <reference field="88" count="1">
            <x v="52"/>
          </reference>
        </references>
      </pivotArea>
    </format>
    <format dxfId="6140">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638"/>
          </reference>
          <reference field="82" count="1" selected="0">
            <x v="49"/>
          </reference>
          <reference field="85" count="1" selected="0">
            <x v="7"/>
          </reference>
          <reference field="87" count="1" selected="0">
            <x v="996"/>
          </reference>
          <reference field="88" count="1">
            <x v="45"/>
          </reference>
        </references>
      </pivotArea>
    </format>
    <format dxfId="6139">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1639"/>
          </reference>
          <reference field="82" count="1" selected="0">
            <x v="50"/>
          </reference>
          <reference field="85" count="1" selected="0">
            <x v="7"/>
          </reference>
          <reference field="87" count="1" selected="0">
            <x v="997"/>
          </reference>
          <reference field="88" count="1">
            <x v="46"/>
          </reference>
        </references>
      </pivotArea>
    </format>
    <format dxfId="6138">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637"/>
          </reference>
          <reference field="82" count="1" selected="0">
            <x v="48"/>
          </reference>
          <reference field="85" count="1" selected="0">
            <x v="7"/>
          </reference>
          <reference field="87" count="1" selected="0">
            <x v="995"/>
          </reference>
          <reference field="88" count="1">
            <x v="44"/>
          </reference>
        </references>
      </pivotArea>
    </format>
    <format dxfId="6137">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1685"/>
          </reference>
          <reference field="82" count="1" selected="0">
            <x v="97"/>
          </reference>
          <reference field="85" count="1" selected="0">
            <x v="4"/>
          </reference>
          <reference field="87" count="1" selected="0">
            <x v="1044"/>
          </reference>
          <reference field="88" count="1">
            <x v="94"/>
          </reference>
        </references>
      </pivotArea>
    </format>
    <format dxfId="6136">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1683"/>
          </reference>
          <reference field="82" count="1" selected="0">
            <x v="98"/>
          </reference>
          <reference field="85" count="1" selected="0">
            <x v="4"/>
          </reference>
          <reference field="87" count="1" selected="0">
            <x v="1042"/>
          </reference>
          <reference field="88" count="1">
            <x v="95"/>
          </reference>
        </references>
      </pivotArea>
    </format>
    <format dxfId="6135">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1686"/>
          </reference>
          <reference field="82" count="1" selected="0">
            <x v="99"/>
          </reference>
          <reference field="85" count="1" selected="0">
            <x v="4"/>
          </reference>
          <reference field="87" count="1" selected="0">
            <x v="1045"/>
          </reference>
          <reference field="88" count="1">
            <x v="96"/>
          </reference>
        </references>
      </pivotArea>
    </format>
    <format dxfId="6134">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1687"/>
          </reference>
          <reference field="82" count="1" selected="0">
            <x v="100"/>
          </reference>
          <reference field="85" count="1" selected="0">
            <x v="4"/>
          </reference>
          <reference field="87" count="1" selected="0">
            <x v="1046"/>
          </reference>
          <reference field="88" count="1">
            <x v="97"/>
          </reference>
        </references>
      </pivotArea>
    </format>
    <format dxfId="6133">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632"/>
          </reference>
          <reference field="82" count="1" selected="0">
            <x v="43"/>
          </reference>
          <reference field="85" count="1" selected="0">
            <x v="3"/>
          </reference>
          <reference field="87" count="1" selected="0">
            <x v="990"/>
          </reference>
          <reference field="88" count="1">
            <x v="39"/>
          </reference>
        </references>
      </pivotArea>
    </format>
    <format dxfId="6132">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646"/>
          </reference>
          <reference field="82" count="1" selected="0">
            <x v="57"/>
          </reference>
          <reference field="85" count="1" selected="0">
            <x v="7"/>
          </reference>
          <reference field="87" count="1" selected="0">
            <x v="1004"/>
          </reference>
          <reference field="88" count="1">
            <x v="53"/>
          </reference>
        </references>
      </pivotArea>
    </format>
    <format dxfId="6131">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1647"/>
          </reference>
          <reference field="82" count="1" selected="0">
            <x v="58"/>
          </reference>
          <reference field="85" count="1" selected="0">
            <x v="7"/>
          </reference>
          <reference field="87" count="1" selected="0">
            <x v="1005"/>
          </reference>
          <reference field="88" count="1">
            <x v="54"/>
          </reference>
        </references>
      </pivotArea>
    </format>
    <format dxfId="6130">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1626"/>
          </reference>
          <reference field="82" count="1" selected="0">
            <x v="37"/>
          </reference>
          <reference field="85" count="1" selected="0">
            <x v="3"/>
          </reference>
          <reference field="87" count="1" selected="0">
            <x v="984"/>
          </reference>
          <reference field="88" count="1">
            <x v="33"/>
          </reference>
        </references>
      </pivotArea>
    </format>
    <format dxfId="6129">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1625"/>
          </reference>
          <reference field="82" count="1" selected="0">
            <x v="36"/>
          </reference>
          <reference field="85" count="1" selected="0">
            <x v="3"/>
          </reference>
          <reference field="87" count="1" selected="0">
            <x v="983"/>
          </reference>
          <reference field="88" count="1">
            <x v="32"/>
          </reference>
        </references>
      </pivotArea>
    </format>
    <format dxfId="6128">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1623"/>
          </reference>
          <reference field="82" count="1" selected="0">
            <x v="34"/>
          </reference>
          <reference field="85" count="1" selected="0">
            <x v="3"/>
          </reference>
          <reference field="87" count="1" selected="0">
            <x v="981"/>
          </reference>
          <reference field="88" count="1">
            <x v="30"/>
          </reference>
        </references>
      </pivotArea>
    </format>
    <format dxfId="6127">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1624"/>
          </reference>
          <reference field="82" count="1" selected="0">
            <x v="35"/>
          </reference>
          <reference field="85" count="1" selected="0">
            <x v="3"/>
          </reference>
          <reference field="87" count="1" selected="0">
            <x v="982"/>
          </reference>
          <reference field="88" count="1">
            <x v="31"/>
          </reference>
        </references>
      </pivotArea>
    </format>
    <format dxfId="6126">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1652"/>
          </reference>
          <reference field="82" count="1" selected="0">
            <x v="64"/>
          </reference>
          <reference field="85" count="1" selected="0">
            <x v="7"/>
          </reference>
          <reference field="87" count="1" selected="0">
            <x v="1010"/>
          </reference>
          <reference field="88" count="1">
            <x v="60"/>
          </reference>
        </references>
      </pivotArea>
    </format>
    <format dxfId="6125">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1653"/>
          </reference>
          <reference field="82" count="1" selected="0">
            <x v="65"/>
          </reference>
          <reference field="85" count="1" selected="0">
            <x v="7"/>
          </reference>
          <reference field="87" count="1" selected="0">
            <x v="1011"/>
          </reference>
          <reference field="88" count="1">
            <x v="61"/>
          </reference>
        </references>
      </pivotArea>
    </format>
    <format dxfId="6124">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671"/>
          </reference>
          <reference field="82" count="1" selected="0">
            <x v="83"/>
          </reference>
          <reference field="85" count="1" selected="0">
            <x v="4"/>
          </reference>
          <reference field="87" count="1" selected="0">
            <x v="1029"/>
          </reference>
          <reference field="88" count="1">
            <x v="79"/>
          </reference>
        </references>
      </pivotArea>
    </format>
    <format dxfId="6123">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674"/>
          </reference>
          <reference field="82" count="1" selected="0">
            <x v="86"/>
          </reference>
          <reference field="85" count="1" selected="0">
            <x v="4"/>
          </reference>
          <reference field="87" count="1" selected="0">
            <x v="1032"/>
          </reference>
          <reference field="88" count="1">
            <x v="82"/>
          </reference>
        </references>
      </pivotArea>
    </format>
    <format dxfId="6122">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672"/>
          </reference>
          <reference field="82" count="1" selected="0">
            <x v="84"/>
          </reference>
          <reference field="85" count="1" selected="0">
            <x v="4"/>
          </reference>
          <reference field="87" count="1" selected="0">
            <x v="1030"/>
          </reference>
          <reference field="88" count="1">
            <x v="80"/>
          </reference>
        </references>
      </pivotArea>
    </format>
    <format dxfId="6121">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673"/>
          </reference>
          <reference field="82" count="1" selected="0">
            <x v="85"/>
          </reference>
          <reference field="85" count="1" selected="0">
            <x v="4"/>
          </reference>
          <reference field="87" count="1" selected="0">
            <x v="1031"/>
          </reference>
          <reference field="88" count="1">
            <x v="81"/>
          </reference>
        </references>
      </pivotArea>
    </format>
    <format dxfId="6120">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667"/>
          </reference>
          <reference field="82" count="1" selected="0">
            <x v="79"/>
          </reference>
          <reference field="85" count="1" selected="0">
            <x v="4"/>
          </reference>
          <reference field="87" count="1" selected="0">
            <x v="1025"/>
          </reference>
          <reference field="88" count="1">
            <x v="75"/>
          </reference>
        </references>
      </pivotArea>
    </format>
    <format dxfId="6119">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670"/>
          </reference>
          <reference field="82" count="1" selected="0">
            <x v="82"/>
          </reference>
          <reference field="85" count="1" selected="0">
            <x v="4"/>
          </reference>
          <reference field="87" count="1" selected="0">
            <x v="1028"/>
          </reference>
          <reference field="88" count="1">
            <x v="78"/>
          </reference>
        </references>
      </pivotArea>
    </format>
    <format dxfId="6118">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668"/>
          </reference>
          <reference field="82" count="1" selected="0">
            <x v="80"/>
          </reference>
          <reference field="85" count="1" selected="0">
            <x v="4"/>
          </reference>
          <reference field="87" count="1" selected="0">
            <x v="1026"/>
          </reference>
          <reference field="88" count="1">
            <x v="76"/>
          </reference>
        </references>
      </pivotArea>
    </format>
    <format dxfId="6117">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669"/>
          </reference>
          <reference field="82" count="1" selected="0">
            <x v="81"/>
          </reference>
          <reference field="85" count="1" selected="0">
            <x v="4"/>
          </reference>
          <reference field="87" count="1" selected="0">
            <x v="1027"/>
          </reference>
          <reference field="88" count="1">
            <x v="77"/>
          </reference>
        </references>
      </pivotArea>
    </format>
    <format dxfId="6116">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509"/>
          </reference>
          <reference field="82" count="1" selected="0">
            <x v="29"/>
          </reference>
          <reference field="85" count="1" selected="0">
            <x v="4"/>
          </reference>
          <reference field="87" count="1" selected="0">
            <x v="1033"/>
          </reference>
          <reference field="88" count="1">
            <x v="83"/>
          </reference>
        </references>
      </pivotArea>
    </format>
    <format dxfId="6115">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677"/>
          </reference>
          <reference field="82" count="1" selected="0">
            <x v="89"/>
          </reference>
          <reference field="85" count="1" selected="0">
            <x v="4"/>
          </reference>
          <reference field="87" count="1" selected="0">
            <x v="1036"/>
          </reference>
          <reference field="88" count="1">
            <x v="86"/>
          </reference>
        </references>
      </pivotArea>
    </format>
    <format dxfId="6114">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675"/>
          </reference>
          <reference field="82" count="1" selected="0">
            <x v="87"/>
          </reference>
          <reference field="85" count="1" selected="0">
            <x v="4"/>
          </reference>
          <reference field="87" count="1" selected="0">
            <x v="1034"/>
          </reference>
          <reference field="88" count="1">
            <x v="84"/>
          </reference>
        </references>
      </pivotArea>
    </format>
    <format dxfId="6113">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676"/>
          </reference>
          <reference field="82" count="1" selected="0">
            <x v="88"/>
          </reference>
          <reference field="85" count="1" selected="0">
            <x v="4"/>
          </reference>
          <reference field="87" count="1" selected="0">
            <x v="1035"/>
          </reference>
          <reference field="88" count="1">
            <x v="85"/>
          </reference>
        </references>
      </pivotArea>
    </format>
    <format dxfId="6112">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1628"/>
          </reference>
          <reference field="82" count="1" selected="0">
            <x v="39"/>
          </reference>
          <reference field="85" count="1" selected="0">
            <x v="3"/>
          </reference>
          <reference field="87" count="1" selected="0">
            <x v="986"/>
          </reference>
          <reference field="88" count="1">
            <x v="35"/>
          </reference>
        </references>
      </pivotArea>
    </format>
    <format dxfId="6111">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665"/>
          </reference>
          <reference field="82" count="1" selected="0">
            <x v="77"/>
          </reference>
          <reference field="85" count="1" selected="0">
            <x v="7"/>
          </reference>
          <reference field="87" count="1" selected="0">
            <x v="1023"/>
          </reference>
          <reference field="88" count="1">
            <x v="73"/>
          </reference>
        </references>
      </pivotArea>
    </format>
    <format dxfId="6110">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1629"/>
          </reference>
          <reference field="82" count="1" selected="0">
            <x v="40"/>
          </reference>
          <reference field="85" count="1" selected="0">
            <x v="3"/>
          </reference>
          <reference field="87" count="1" selected="0">
            <x v="987"/>
          </reference>
          <reference field="88" count="1">
            <x v="36"/>
          </reference>
        </references>
      </pivotArea>
    </format>
    <format dxfId="6109">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666"/>
          </reference>
          <reference field="82" count="1" selected="0">
            <x v="78"/>
          </reference>
          <reference field="85" count="1" selected="0">
            <x v="7"/>
          </reference>
          <reference field="87" count="1" selected="0">
            <x v="1024"/>
          </reference>
          <reference field="88" count="1">
            <x v="74"/>
          </reference>
        </references>
      </pivotArea>
    </format>
    <format dxfId="6108">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1658"/>
          </reference>
          <reference field="82" count="1" selected="0">
            <x v="70"/>
          </reference>
          <reference field="85" count="1" selected="0">
            <x v="2"/>
          </reference>
          <reference field="87" count="1" selected="0">
            <x v="1016"/>
          </reference>
          <reference field="88" count="1">
            <x v="66"/>
          </reference>
        </references>
      </pivotArea>
    </format>
    <format dxfId="6107">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1627"/>
          </reference>
          <reference field="82" count="1" selected="0">
            <x v="38"/>
          </reference>
          <reference field="85" count="1" selected="0">
            <x v="3"/>
          </reference>
          <reference field="87" count="1" selected="0">
            <x v="985"/>
          </reference>
          <reference field="88" count="1">
            <x v="34"/>
          </reference>
        </references>
      </pivotArea>
    </format>
    <format dxfId="6106">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1664"/>
          </reference>
          <reference field="82" count="1" selected="0">
            <x v="76"/>
          </reference>
          <reference field="85" count="1" selected="0">
            <x v="2"/>
          </reference>
          <reference field="87" count="1" selected="0">
            <x v="1022"/>
          </reference>
          <reference field="88" count="1">
            <x v="72"/>
          </reference>
        </references>
      </pivotArea>
    </format>
    <format dxfId="6105">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662"/>
          </reference>
          <reference field="82" count="1" selected="0">
            <x v="74"/>
          </reference>
          <reference field="85" count="1" selected="0">
            <x v="7"/>
          </reference>
          <reference field="87" count="1" selected="0">
            <x v="1020"/>
          </reference>
          <reference field="88" count="1">
            <x v="70"/>
          </reference>
        </references>
      </pivotArea>
    </format>
    <format dxfId="6104">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663"/>
          </reference>
          <reference field="82" count="1" selected="0">
            <x v="75"/>
          </reference>
          <reference field="85" count="1" selected="0">
            <x v="7"/>
          </reference>
          <reference field="87" count="1" selected="0">
            <x v="1021"/>
          </reference>
          <reference field="88" count="1">
            <x v="71"/>
          </reference>
        </references>
      </pivotArea>
    </format>
    <format dxfId="6103">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1655"/>
          </reference>
          <reference field="82" count="1" selected="0">
            <x v="67"/>
          </reference>
          <reference field="85" count="1" selected="0">
            <x v="7"/>
          </reference>
          <reference field="87" count="1" selected="0">
            <x v="1013"/>
          </reference>
          <reference field="88" count="1">
            <x v="63"/>
          </reference>
        </references>
      </pivotArea>
    </format>
    <format dxfId="6102">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1654"/>
          </reference>
          <reference field="82" count="1" selected="0">
            <x v="66"/>
          </reference>
          <reference field="85" count="1" selected="0">
            <x v="7"/>
          </reference>
          <reference field="87" count="1" selected="0">
            <x v="1012"/>
          </reference>
          <reference field="88" count="1">
            <x v="62"/>
          </reference>
        </references>
      </pivotArea>
    </format>
    <format dxfId="6101">
      <pivotArea field="13" type="button" dataOnly="0" labelOnly="1" outline="0" axis="axisRow" fieldPosition="6"/>
    </format>
    <format dxfId="6100">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93"/>
          </reference>
        </references>
      </pivotArea>
    </format>
    <format dxfId="6099">
      <pivotArea field="72" type="button" dataOnly="0" labelOnly="1" outline="0" axis="axisRow" fieldPosition="5"/>
    </format>
    <format dxfId="6098">
      <pivotArea field="13" type="button" dataOnly="0" labelOnly="1" outline="0" axis="axisRow" fieldPosition="6"/>
    </format>
    <format dxfId="6097">
      <pivotArea field="81" type="button" dataOnly="0" labelOnly="1" outline="0" axis="axisRow" fieldPosition="8"/>
    </format>
    <format dxfId="6096">
      <pivotArea field="82" type="button" dataOnly="0" labelOnly="1" outline="0" axis="axisRow" fieldPosition="9"/>
    </format>
    <format dxfId="6095">
      <pivotArea field="87" type="button" dataOnly="0" labelOnly="1" outline="0" axis="axisRow" fieldPosition="12"/>
    </format>
    <format dxfId="6094">
      <pivotArea field="88" type="button" dataOnly="0" labelOnly="1" outline="0" axis="axisRow" fieldPosition="13"/>
    </format>
    <format dxfId="6093">
      <pivotArea field="72" type="button" dataOnly="0" labelOnly="1" outline="0" axis="axisRow" fieldPosition="5"/>
    </format>
    <format dxfId="6092">
      <pivotArea field="13" type="button" dataOnly="0" labelOnly="1" outline="0" axis="axisRow" fieldPosition="6"/>
    </format>
    <format dxfId="6091">
      <pivotArea field="81" type="button" dataOnly="0" labelOnly="1" outline="0" axis="axisRow" fieldPosition="8"/>
    </format>
    <format dxfId="6090">
      <pivotArea field="82" type="button" dataOnly="0" labelOnly="1" outline="0" axis="axisRow" fieldPosition="9"/>
    </format>
    <format dxfId="6089">
      <pivotArea field="87" type="button" dataOnly="0" labelOnly="1" outline="0" axis="axisRow" fieldPosition="12"/>
    </format>
    <format dxfId="6088">
      <pivotArea field="88" type="button" dataOnly="0" labelOnly="1" outline="0" axis="axisRow" fieldPosition="13"/>
    </format>
    <format dxfId="6087">
      <pivotArea dataOnly="0" labelOnly="1" outline="0" fieldPosition="0">
        <references count="1">
          <reference field="1" count="48">
            <x v="0"/>
            <x v="1"/>
            <x v="2"/>
            <x v="3"/>
            <x v="4"/>
            <x v="5"/>
            <x v="6"/>
            <x v="7"/>
            <x v="8"/>
            <x v="9"/>
            <x v="10"/>
            <x v="11"/>
            <x v="12"/>
            <x v="13"/>
            <x v="14"/>
            <x v="15"/>
            <x v="16"/>
            <x v="17"/>
            <x v="18"/>
            <x v="19"/>
            <x v="20"/>
            <x v="21"/>
            <x v="22"/>
            <x v="23"/>
            <x v="24"/>
            <x v="25"/>
            <x v="26"/>
            <x v="27"/>
            <x v="28"/>
            <x v="29"/>
            <x v="30"/>
            <x v="31"/>
            <x v="32"/>
            <x v="33"/>
            <x v="34"/>
            <x v="35"/>
            <x v="36"/>
            <x v="37"/>
            <x v="38"/>
            <x v="39"/>
            <x v="40"/>
            <x v="41"/>
            <x v="43"/>
            <x v="44"/>
            <x v="46"/>
            <x v="47"/>
            <x v="48"/>
            <x v="49"/>
          </reference>
        </references>
      </pivotArea>
    </format>
    <format dxfId="6086">
      <pivotArea dataOnly="0" labelOnly="1" outline="0" fieldPosition="0">
        <references count="1">
          <reference field="1" count="1">
            <x v="50"/>
          </reference>
        </references>
      </pivotArea>
    </format>
    <format dxfId="6085">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6084">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6083">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6082">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6081">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6080">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6079">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6078">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6077">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6076">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6075">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6074">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6073">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6072">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6071">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6070">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6069">
      <pivotArea dataOnly="0" labelOnly="1" outline="0" fieldPosition="0">
        <references count="8">
          <reference field="1" count="1" selected="0">
            <x v="7"/>
          </reference>
          <reference field="2" count="1" selected="0">
            <x v="4"/>
          </reference>
          <reference field="3" count="1" selected="0">
            <x v="0"/>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6068">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6067">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6066">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6065">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6064">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6063">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6062">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6061">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6060">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6059">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7"/>
          </reference>
          <reference field="23" count="1" selected="0">
            <x v="2"/>
          </reference>
          <reference field="72" count="1" selected="0">
            <x v="181"/>
          </reference>
        </references>
      </pivotArea>
    </format>
    <format dxfId="6058">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17"/>
          </reference>
          <reference field="23" count="1" selected="0">
            <x v="2"/>
          </reference>
          <reference field="72" count="1" selected="0">
            <x v="181"/>
          </reference>
        </references>
      </pivotArea>
    </format>
    <format dxfId="6057">
      <pivotArea dataOnly="0" labelOnly="1" outline="0" fieldPosition="0">
        <references count="8">
          <reference field="1" count="1" selected="0">
            <x v="12"/>
          </reference>
          <reference field="2" count="1" selected="0">
            <x v="5"/>
          </reference>
          <reference field="3" count="1" selected="0">
            <x v="14"/>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6056">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6055">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6054">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6053">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6052">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6051">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6050">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6049">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6048">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0"/>
          </reference>
        </references>
      </pivotArea>
    </format>
    <format dxfId="6047">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7"/>
          </reference>
        </references>
      </pivotArea>
    </format>
    <format dxfId="6046">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49"/>
          </reference>
        </references>
      </pivotArea>
    </format>
    <format dxfId="6045">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54"/>
          </reference>
        </references>
      </pivotArea>
    </format>
    <format dxfId="6044">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6043">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6042">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6041">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6040">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6039">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6038">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6037">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6036">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6035">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6034">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6033">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6032">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9"/>
          </reference>
        </references>
      </pivotArea>
    </format>
    <format dxfId="6031">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7"/>
          </reference>
          <reference field="23" count="1" selected="0">
            <x v="2"/>
          </reference>
          <reference field="72" count="1" selected="0">
            <x v="59"/>
          </reference>
        </references>
      </pivotArea>
    </format>
    <format dxfId="6030">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7"/>
          </reference>
          <reference field="23" count="1" selected="0">
            <x v="2"/>
          </reference>
          <reference field="72" count="1" selected="0">
            <x v="91"/>
          </reference>
        </references>
      </pivotArea>
    </format>
    <format dxfId="6029">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3"/>
          </reference>
          <reference field="23" count="1" selected="0">
            <x v="2"/>
          </reference>
          <reference field="72" count="1" selected="0">
            <x v="94"/>
          </reference>
        </references>
      </pivotArea>
    </format>
    <format dxfId="6028">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1"/>
          </reference>
          <reference field="23" count="1" selected="0">
            <x v="2"/>
          </reference>
          <reference field="72" count="1" selected="0">
            <x v="97"/>
          </reference>
        </references>
      </pivotArea>
    </format>
    <format dxfId="6027">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5"/>
          </reference>
          <reference field="23" count="1" selected="0">
            <x v="2"/>
          </reference>
          <reference field="72" count="1" selected="0">
            <x v="184"/>
          </reference>
        </references>
      </pivotArea>
    </format>
    <format dxfId="6026">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6025">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6024">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6023">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6022">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6021">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6020">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6019">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6018">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6017">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6016">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120"/>
          </reference>
          <reference field="82" count="1" selected="0">
            <x v="527"/>
          </reference>
        </references>
      </pivotArea>
    </format>
    <format dxfId="6015">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206"/>
          </reference>
          <reference field="82" count="1" selected="0">
            <x v="613"/>
          </reference>
        </references>
      </pivotArea>
    </format>
    <format dxfId="6014">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126"/>
          </reference>
          <reference field="82" count="1" selected="0">
            <x v="533"/>
          </reference>
        </references>
      </pivotArea>
    </format>
    <format dxfId="6013">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53"/>
          </reference>
          <reference field="82" count="1" selected="0">
            <x v="460"/>
          </reference>
        </references>
      </pivotArea>
    </format>
    <format dxfId="6012">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126"/>
          </reference>
          <reference field="82" count="1" selected="0">
            <x v="533"/>
          </reference>
        </references>
      </pivotArea>
    </format>
    <format dxfId="6011">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48"/>
          </reference>
          <reference field="82" count="1" selected="0">
            <x v="455"/>
          </reference>
        </references>
      </pivotArea>
    </format>
    <format dxfId="6010">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124"/>
          </reference>
          <reference field="82" count="1" selected="0">
            <x v="531"/>
          </reference>
        </references>
      </pivotArea>
    </format>
    <format dxfId="6009">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2040"/>
          </reference>
          <reference field="82" count="1" selected="0">
            <x v="447"/>
          </reference>
        </references>
      </pivotArea>
    </format>
    <format dxfId="6008">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116"/>
          </reference>
          <reference field="82" count="1" selected="0">
            <x v="523"/>
          </reference>
        </references>
      </pivotArea>
    </format>
    <format dxfId="6007">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198"/>
          </reference>
          <reference field="82" count="1" selected="0">
            <x v="605"/>
          </reference>
        </references>
      </pivotArea>
    </format>
    <format dxfId="6006">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1970"/>
          </reference>
          <reference field="82" count="1" selected="0">
            <x v="375"/>
          </reference>
        </references>
      </pivotArea>
    </format>
    <format dxfId="6005">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2015"/>
          </reference>
          <reference field="82" count="1" selected="0">
            <x v="421"/>
          </reference>
        </references>
      </pivotArea>
    </format>
    <format dxfId="6004">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48"/>
          </reference>
          <reference field="82" count="1" selected="0">
            <x v="455"/>
          </reference>
        </references>
      </pivotArea>
    </format>
    <format dxfId="6003">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1969"/>
          </reference>
          <reference field="82" count="1" selected="0">
            <x v="374"/>
          </reference>
        </references>
      </pivotArea>
    </format>
    <format dxfId="6002">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118"/>
          </reference>
          <reference field="82" count="1" selected="0">
            <x v="525"/>
          </reference>
        </references>
      </pivotArea>
    </format>
    <format dxfId="6001">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2046"/>
          </reference>
          <reference field="82" count="1" selected="0">
            <x v="453"/>
          </reference>
        </references>
      </pivotArea>
    </format>
    <format dxfId="6000">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122"/>
          </reference>
          <reference field="82" count="1" selected="0">
            <x v="529"/>
          </reference>
        </references>
      </pivotArea>
    </format>
    <format dxfId="5999">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202"/>
          </reference>
          <reference field="82" count="1" selected="0">
            <x v="609"/>
          </reference>
        </references>
      </pivotArea>
    </format>
    <format dxfId="5998">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126"/>
          </reference>
          <reference field="82" count="1" selected="0">
            <x v="533"/>
          </reference>
        </references>
      </pivotArea>
    </format>
    <format dxfId="5997">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55"/>
          </reference>
          <reference field="82" count="1" selected="0">
            <x v="462"/>
          </reference>
        </references>
      </pivotArea>
    </format>
    <format dxfId="5996">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1966"/>
          </reference>
          <reference field="82" count="1" selected="0">
            <x v="371"/>
          </reference>
        </references>
      </pivotArea>
    </format>
    <format dxfId="5995">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056"/>
          </reference>
          <reference field="82" count="1" selected="0">
            <x v="463"/>
          </reference>
        </references>
      </pivotArea>
    </format>
    <format dxfId="5994">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128"/>
          </reference>
          <reference field="82" count="1" selected="0">
            <x v="535"/>
          </reference>
        </references>
      </pivotArea>
    </format>
    <format dxfId="5993">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059"/>
          </reference>
          <reference field="82" count="1" selected="0">
            <x v="466"/>
          </reference>
        </references>
      </pivotArea>
    </format>
    <format dxfId="5992">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135"/>
          </reference>
          <reference field="82" count="1" selected="0">
            <x v="542"/>
          </reference>
        </references>
      </pivotArea>
    </format>
    <format dxfId="5991">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2068"/>
          </reference>
          <reference field="82" count="1" selected="0">
            <x v="475"/>
          </reference>
        </references>
      </pivotArea>
    </format>
    <format dxfId="5990">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1943"/>
          </reference>
          <reference field="82" count="1" selected="0">
            <x v="347"/>
          </reference>
        </references>
      </pivotArea>
    </format>
    <format dxfId="5989">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2006"/>
          </reference>
          <reference field="82" count="1" selected="0">
            <x v="412"/>
          </reference>
        </references>
      </pivotArea>
    </format>
    <format dxfId="5988">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2065"/>
          </reference>
          <reference field="82" count="1" selected="0">
            <x v="472"/>
          </reference>
        </references>
      </pivotArea>
    </format>
    <format dxfId="5987">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2149"/>
          </reference>
          <reference field="82" count="1" selected="0">
            <x v="556"/>
          </reference>
        </references>
      </pivotArea>
    </format>
    <format dxfId="5986">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2029"/>
          </reference>
          <reference field="82" count="1" selected="0">
            <x v="436"/>
          </reference>
        </references>
      </pivotArea>
    </format>
    <format dxfId="5985">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1967"/>
          </reference>
          <reference field="82" count="1" selected="0">
            <x v="372"/>
          </reference>
        </references>
      </pivotArea>
    </format>
    <format dxfId="5984">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2010"/>
          </reference>
          <reference field="82" count="1" selected="0">
            <x v="416"/>
          </reference>
        </references>
      </pivotArea>
    </format>
    <format dxfId="5983">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025"/>
          </reference>
          <reference field="82" count="1" selected="0">
            <x v="432"/>
          </reference>
        </references>
      </pivotArea>
    </format>
    <format dxfId="5982">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2141"/>
          </reference>
          <reference field="82" count="1" selected="0">
            <x v="548"/>
          </reference>
        </references>
      </pivotArea>
    </format>
    <format dxfId="5981">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031"/>
          </reference>
          <reference field="82" count="1" selected="0">
            <x v="438"/>
          </reference>
        </references>
      </pivotArea>
    </format>
    <format dxfId="5980">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1952"/>
          </reference>
          <reference field="82" count="1" selected="0">
            <x v="356"/>
          </reference>
        </references>
      </pivotArea>
    </format>
    <format dxfId="5979">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034"/>
          </reference>
          <reference field="82" count="1" selected="0">
            <x v="441"/>
          </reference>
        </references>
      </pivotArea>
    </format>
    <format dxfId="5978">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2095"/>
          </reference>
          <reference field="82" count="1" selected="0">
            <x v="502"/>
          </reference>
        </references>
      </pivotArea>
    </format>
    <format dxfId="5977">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037"/>
          </reference>
          <reference field="82" count="1" selected="0">
            <x v="444"/>
          </reference>
        </references>
      </pivotArea>
    </format>
    <format dxfId="5976">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2132"/>
          </reference>
          <reference field="82" count="1" selected="0">
            <x v="539"/>
          </reference>
        </references>
      </pivotArea>
    </format>
    <format dxfId="5975">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236"/>
          </reference>
          <reference field="82" count="1" selected="0">
            <x v="643"/>
          </reference>
        </references>
      </pivotArea>
    </format>
    <format dxfId="5974">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159"/>
          </reference>
          <reference field="82" count="1" selected="0">
            <x v="566"/>
          </reference>
        </references>
      </pivotArea>
    </format>
    <format dxfId="5973">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1932"/>
          </reference>
          <reference field="82" count="1" selected="0">
            <x v="336"/>
          </reference>
        </references>
      </pivotArea>
    </format>
    <format dxfId="5972">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155"/>
          </reference>
          <reference field="82" count="1" selected="0">
            <x v="562"/>
          </reference>
        </references>
      </pivotArea>
    </format>
    <format dxfId="5971">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151"/>
          </reference>
          <reference field="82" count="1" selected="0">
            <x v="558"/>
          </reference>
        </references>
      </pivotArea>
    </format>
    <format dxfId="5970">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2072"/>
          </reference>
          <reference field="82" count="1" selected="0">
            <x v="479"/>
          </reference>
        </references>
      </pivotArea>
    </format>
    <format dxfId="5969">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1945"/>
          </reference>
          <reference field="82" count="1" selected="0">
            <x v="349"/>
          </reference>
        </references>
      </pivotArea>
    </format>
    <format dxfId="5968">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2000"/>
          </reference>
          <reference field="82" count="1" selected="0">
            <x v="406"/>
          </reference>
        </references>
      </pivotArea>
    </format>
    <format dxfId="5967">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2083"/>
          </reference>
          <reference field="82" count="1" selected="0">
            <x v="490"/>
          </reference>
        </references>
      </pivotArea>
    </format>
    <format dxfId="5966">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147"/>
          </reference>
          <reference field="82" count="1" selected="0">
            <x v="554"/>
          </reference>
        </references>
      </pivotArea>
    </format>
    <format dxfId="5965">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1954"/>
          </reference>
          <reference field="82" count="1" selected="0">
            <x v="358"/>
          </reference>
        </references>
      </pivotArea>
    </format>
    <format dxfId="5964">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1997"/>
          </reference>
          <reference field="82" count="1" selected="0">
            <x v="402"/>
          </reference>
        </references>
      </pivotArea>
    </format>
    <format dxfId="5963">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2080"/>
          </reference>
          <reference field="82" count="1" selected="0">
            <x v="487"/>
          </reference>
        </references>
      </pivotArea>
    </format>
    <format dxfId="5962">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146"/>
          </reference>
          <reference field="82" count="1" selected="0">
            <x v="553"/>
          </reference>
        </references>
      </pivotArea>
    </format>
    <format dxfId="5961">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012"/>
          </reference>
          <reference field="82" count="1" selected="0">
            <x v="418"/>
          </reference>
        </references>
      </pivotArea>
    </format>
    <format dxfId="5960">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2074"/>
          </reference>
          <reference field="82" count="1" selected="0">
            <x v="481"/>
          </reference>
        </references>
      </pivotArea>
    </format>
    <format dxfId="5959">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087"/>
          </reference>
          <reference field="82" count="1" selected="0">
            <x v="494"/>
          </reference>
        </references>
      </pivotArea>
    </format>
    <format dxfId="5958">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013"/>
          </reference>
          <reference field="82" count="1" selected="0">
            <x v="419"/>
          </reference>
        </references>
      </pivotArea>
    </format>
    <format dxfId="5957">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2077"/>
          </reference>
          <reference field="82" count="1" selected="0">
            <x v="484"/>
          </reference>
        </references>
      </pivotArea>
    </format>
    <format dxfId="5956">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090"/>
          </reference>
          <reference field="82" count="1" selected="0">
            <x v="497"/>
          </reference>
        </references>
      </pivotArea>
    </format>
    <format dxfId="5955">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2144"/>
          </reference>
          <reference field="82" count="1" selected="0">
            <x v="551"/>
          </reference>
        </references>
      </pivotArea>
    </format>
    <format dxfId="5954">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70"/>
          </reference>
          <reference field="81" count="1" selected="0">
            <x v="2215"/>
          </reference>
          <reference field="82" count="1" selected="0">
            <x v="622"/>
          </reference>
        </references>
      </pivotArea>
    </format>
    <format dxfId="5953">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1962"/>
          </reference>
          <reference field="82" count="1" selected="0">
            <x v="367"/>
          </reference>
        </references>
      </pivotArea>
    </format>
    <format dxfId="5952">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2115"/>
          </reference>
          <reference field="82" count="1" selected="0">
            <x v="522"/>
          </reference>
        </references>
      </pivotArea>
    </format>
    <format dxfId="5951">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2232"/>
          </reference>
          <reference field="82" count="1" selected="0">
            <x v="639"/>
          </reference>
        </references>
      </pivotArea>
    </format>
    <format dxfId="5950">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2235"/>
          </reference>
          <reference field="82" count="1" selected="0">
            <x v="642"/>
          </reference>
        </references>
      </pivotArea>
    </format>
    <format dxfId="5949">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181"/>
          </reference>
          <reference field="82" count="1" selected="0">
            <x v="588"/>
          </reference>
        </references>
      </pivotArea>
    </format>
    <format dxfId="5948">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176"/>
          </reference>
          <reference field="82" count="1" selected="0">
            <x v="583"/>
          </reference>
        </references>
      </pivotArea>
    </format>
    <format dxfId="5947">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171"/>
          </reference>
          <reference field="82" count="1" selected="0">
            <x v="578"/>
          </reference>
        </references>
      </pivotArea>
    </format>
    <format dxfId="5946">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2228"/>
          </reference>
          <reference field="82" count="1" selected="0">
            <x v="635"/>
          </reference>
        </references>
      </pivotArea>
    </format>
    <format dxfId="5945">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2113"/>
          </reference>
          <reference field="82" count="1" selected="0">
            <x v="520"/>
          </reference>
        </references>
      </pivotArea>
    </format>
    <format dxfId="5944">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1985"/>
          </reference>
          <reference field="82" count="1" selected="0">
            <x v="390"/>
          </reference>
        </references>
      </pivotArea>
    </format>
    <format dxfId="5943">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1938"/>
          </reference>
          <reference field="82" count="1" selected="0">
            <x v="342"/>
          </reference>
        </references>
      </pivotArea>
    </format>
    <format dxfId="5942">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2240"/>
          </reference>
          <reference field="82" count="1" selected="0">
            <x v="647"/>
          </reference>
        </references>
      </pivotArea>
    </format>
    <format dxfId="5941">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1975"/>
          </reference>
          <reference field="82" count="1" selected="0">
            <x v="380"/>
          </reference>
        </references>
      </pivotArea>
    </format>
    <format dxfId="5940">
      <pivotArea dataOnly="0" labelOnly="1" outline="0" fieldPosition="0">
        <references count="11">
          <reference field="1" count="1" selected="0">
            <x v="30"/>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s>
      </pivotArea>
    </format>
    <format dxfId="5939">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2242"/>
          </reference>
          <reference field="82" count="1" selected="0">
            <x v="649"/>
          </reference>
        </references>
      </pivotArea>
    </format>
    <format dxfId="5938">
      <pivotArea dataOnly="0" labelOnly="1" outline="0" fieldPosition="0">
        <references count="11">
          <reference field="1" count="1" selected="0">
            <x v="31"/>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s>
      </pivotArea>
    </format>
    <format dxfId="5937">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2243"/>
          </reference>
          <reference field="82" count="1" selected="0">
            <x v="650"/>
          </reference>
        </references>
      </pivotArea>
    </format>
    <format dxfId="5936">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1968"/>
          </reference>
          <reference field="82" count="1" selected="0">
            <x v="373"/>
          </reference>
        </references>
      </pivotArea>
    </format>
    <format dxfId="5935">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2245"/>
          </reference>
          <reference field="82" count="1" selected="0">
            <x v="652"/>
          </reference>
        </references>
      </pivotArea>
    </format>
    <format dxfId="5934">
      <pivotArea dataOnly="0" labelOnly="1" outline="0" fieldPosition="0">
        <references count="11">
          <reference field="1" count="1" selected="0">
            <x v="32"/>
          </reference>
          <reference field="2" count="1" selected="0">
            <x v="0"/>
          </reference>
          <reference field="3" count="1" selected="0">
            <x v="23"/>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s>
      </pivotArea>
    </format>
    <format dxfId="5933">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1937"/>
          </reference>
          <reference field="82" count="1" selected="0">
            <x v="341"/>
          </reference>
        </references>
      </pivotArea>
    </format>
    <format dxfId="5932">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2234"/>
          </reference>
          <reference field="82" count="1" selected="0">
            <x v="641"/>
          </reference>
        </references>
      </pivotArea>
    </format>
    <format dxfId="5931">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098"/>
          </reference>
          <reference field="82" count="1" selected="0">
            <x v="505"/>
          </reference>
        </references>
      </pivotArea>
    </format>
    <format dxfId="5930">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2241"/>
          </reference>
          <reference field="82" count="1" selected="0">
            <x v="648"/>
          </reference>
        </references>
      </pivotArea>
    </format>
    <format dxfId="5929">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1974"/>
          </reference>
          <reference field="82" count="1" selected="0">
            <x v="379"/>
          </reference>
        </references>
      </pivotArea>
    </format>
    <format dxfId="5928">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1972"/>
          </reference>
          <reference field="82" count="1" selected="0">
            <x v="377"/>
          </reference>
        </references>
      </pivotArea>
    </format>
    <format dxfId="5927">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109"/>
          </reference>
          <reference field="82" count="1" selected="0">
            <x v="516"/>
          </reference>
        </references>
      </pivotArea>
    </format>
    <format dxfId="5926">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1973"/>
          </reference>
          <reference field="82" count="1" selected="0">
            <x v="378"/>
          </reference>
        </references>
      </pivotArea>
    </format>
    <format dxfId="5925">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2226"/>
          </reference>
          <reference field="82" count="1" selected="0">
            <x v="633"/>
          </reference>
        </references>
      </pivotArea>
    </format>
    <format dxfId="5924">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2134"/>
          </reference>
          <reference field="82" count="1" selected="0">
            <x v="541"/>
          </reference>
        </references>
      </pivotArea>
    </format>
    <format dxfId="5923">
      <pivotArea dataOnly="0" labelOnly="1" outline="0" fieldPosition="0">
        <references count="11">
          <reference field="1" count="1" selected="0">
            <x v="49"/>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7"/>
          </reference>
          <reference field="81" count="1" selected="0">
            <x v="2210"/>
          </reference>
          <reference field="82" count="1" selected="0">
            <x v="617"/>
          </reference>
        </references>
      </pivotArea>
    </format>
    <format dxfId="5922">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20"/>
          </reference>
          <reference field="82" count="1" selected="0">
            <x v="527"/>
          </reference>
          <reference field="85" count="1">
            <x v="7"/>
          </reference>
        </references>
      </pivotArea>
    </format>
    <format dxfId="5921">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206"/>
          </reference>
          <reference field="82" count="1" selected="0">
            <x v="613"/>
          </reference>
          <reference field="85" count="1">
            <x v="4"/>
          </reference>
        </references>
      </pivotArea>
    </format>
    <format dxfId="5920">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26"/>
          </reference>
          <reference field="82" count="1" selected="0">
            <x v="533"/>
          </reference>
          <reference field="85" count="1">
            <x v="7"/>
          </reference>
        </references>
      </pivotArea>
    </format>
    <format dxfId="5919">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53"/>
          </reference>
          <reference field="82" count="1" selected="0">
            <x v="460"/>
          </reference>
          <reference field="85" count="1">
            <x v="0"/>
          </reference>
        </references>
      </pivotArea>
    </format>
    <format dxfId="5918">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26"/>
          </reference>
          <reference field="82" count="1" selected="0">
            <x v="533"/>
          </reference>
          <reference field="85" count="1">
            <x v="7"/>
          </reference>
        </references>
      </pivotArea>
    </format>
    <format dxfId="5917">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48"/>
          </reference>
          <reference field="82" count="1" selected="0">
            <x v="455"/>
          </reference>
          <reference field="85" count="1">
            <x v="0"/>
          </reference>
        </references>
      </pivotArea>
    </format>
    <format dxfId="5916">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24"/>
          </reference>
          <reference field="82" count="1" selected="0">
            <x v="531"/>
          </reference>
          <reference field="85" count="1">
            <x v="7"/>
          </reference>
        </references>
      </pivotArea>
    </format>
    <format dxfId="5915">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040"/>
          </reference>
          <reference field="82" count="1" selected="0">
            <x v="447"/>
          </reference>
          <reference field="85" count="1">
            <x v="0"/>
          </reference>
        </references>
      </pivotArea>
    </format>
    <format dxfId="5914">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16"/>
          </reference>
          <reference field="82" count="1" selected="0">
            <x v="523"/>
          </reference>
          <reference field="85" count="1">
            <x v="7"/>
          </reference>
        </references>
      </pivotArea>
    </format>
    <format dxfId="5913">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198"/>
          </reference>
          <reference field="82" count="1" selected="0">
            <x v="605"/>
          </reference>
          <reference field="85" count="1">
            <x v="4"/>
          </reference>
        </references>
      </pivotArea>
    </format>
    <format dxfId="5912">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970"/>
          </reference>
          <reference field="82" count="1" selected="0">
            <x v="375"/>
          </reference>
          <reference field="85" count="1">
            <x v="7"/>
          </reference>
        </references>
      </pivotArea>
    </format>
    <format dxfId="5911">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015"/>
          </reference>
          <reference field="82" count="1" selected="0">
            <x v="421"/>
          </reference>
          <reference field="85" count="1">
            <x v="4"/>
          </reference>
        </references>
      </pivotArea>
    </format>
    <format dxfId="5910">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48"/>
          </reference>
          <reference field="82" count="1" selected="0">
            <x v="455"/>
          </reference>
          <reference field="85" count="1">
            <x v="0"/>
          </reference>
        </references>
      </pivotArea>
    </format>
    <format dxfId="5909">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969"/>
          </reference>
          <reference field="82" count="1" selected="0">
            <x v="374"/>
          </reference>
          <reference field="85" count="1">
            <x v="7"/>
          </reference>
        </references>
      </pivotArea>
    </format>
    <format dxfId="5908">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18"/>
          </reference>
          <reference field="82" count="1" selected="0">
            <x v="525"/>
          </reference>
          <reference field="85" count="1">
            <x v="7"/>
          </reference>
        </references>
      </pivotArea>
    </format>
    <format dxfId="5907">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046"/>
          </reference>
          <reference field="82" count="1" selected="0">
            <x v="453"/>
          </reference>
          <reference field="85" count="1">
            <x v="0"/>
          </reference>
        </references>
      </pivotArea>
    </format>
    <format dxfId="5906">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22"/>
          </reference>
          <reference field="82" count="1" selected="0">
            <x v="529"/>
          </reference>
          <reference field="85" count="1">
            <x v="7"/>
          </reference>
        </references>
      </pivotArea>
    </format>
    <format dxfId="5905">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202"/>
          </reference>
          <reference field="82" count="1" selected="0">
            <x v="609"/>
          </reference>
          <reference field="85" count="1">
            <x v="4"/>
          </reference>
        </references>
      </pivotArea>
    </format>
    <format dxfId="5904">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26"/>
          </reference>
          <reference field="82" count="1" selected="0">
            <x v="533"/>
          </reference>
          <reference field="85" count="1">
            <x v="7"/>
          </reference>
        </references>
      </pivotArea>
    </format>
    <format dxfId="5903">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55"/>
          </reference>
          <reference field="82" count="1" selected="0">
            <x v="462"/>
          </reference>
          <reference field="85" count="1">
            <x v="0"/>
          </reference>
        </references>
      </pivotArea>
    </format>
    <format dxfId="5902">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1966"/>
          </reference>
          <reference field="82" count="1" selected="0">
            <x v="371"/>
          </reference>
          <reference field="85" count="1">
            <x v="7"/>
          </reference>
        </references>
      </pivotArea>
    </format>
    <format dxfId="5901">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056"/>
          </reference>
          <reference field="82" count="1" selected="0">
            <x v="463"/>
          </reference>
          <reference field="85" count="1">
            <x v="0"/>
          </reference>
        </references>
      </pivotArea>
    </format>
    <format dxfId="5900">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128"/>
          </reference>
          <reference field="82" count="1" selected="0">
            <x v="535"/>
          </reference>
          <reference field="85" count="1">
            <x v="7"/>
          </reference>
        </references>
      </pivotArea>
    </format>
    <format dxfId="5899">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059"/>
          </reference>
          <reference field="82" count="1" selected="0">
            <x v="466"/>
          </reference>
          <reference field="85" count="1">
            <x v="0"/>
          </reference>
        </references>
      </pivotArea>
    </format>
    <format dxfId="5898">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135"/>
          </reference>
          <reference field="82" count="1" selected="0">
            <x v="542"/>
          </reference>
          <reference field="85" count="1">
            <x v="7"/>
          </reference>
        </references>
      </pivotArea>
    </format>
    <format dxfId="5897">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068"/>
          </reference>
          <reference field="82" count="1" selected="0">
            <x v="475"/>
          </reference>
          <reference field="85" count="1">
            <x v="0"/>
          </reference>
        </references>
      </pivotArea>
    </format>
    <format dxfId="5896">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1943"/>
          </reference>
          <reference field="82" count="1" selected="0">
            <x v="347"/>
          </reference>
          <reference field="85" count="1">
            <x v="7"/>
          </reference>
        </references>
      </pivotArea>
    </format>
    <format dxfId="5895">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006"/>
          </reference>
          <reference field="82" count="1" selected="0">
            <x v="412"/>
          </reference>
          <reference field="85" count="1">
            <x v="4"/>
          </reference>
        </references>
      </pivotArea>
    </format>
    <format dxfId="5894">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065"/>
          </reference>
          <reference field="82" count="1" selected="0">
            <x v="472"/>
          </reference>
          <reference field="85" count="1">
            <x v="0"/>
          </reference>
        </references>
      </pivotArea>
    </format>
    <format dxfId="5893">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149"/>
          </reference>
          <reference field="82" count="1" selected="0">
            <x v="556"/>
          </reference>
          <reference field="85" count="1">
            <x v="7"/>
          </reference>
        </references>
      </pivotArea>
    </format>
    <format dxfId="5892">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029"/>
          </reference>
          <reference field="82" count="1" selected="0">
            <x v="436"/>
          </reference>
          <reference field="85" count="1">
            <x v="0"/>
          </reference>
        </references>
      </pivotArea>
    </format>
    <format dxfId="5891">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1967"/>
          </reference>
          <reference field="82" count="1" selected="0">
            <x v="372"/>
          </reference>
          <reference field="85" count="1">
            <x v="7"/>
          </reference>
        </references>
      </pivotArea>
    </format>
    <format dxfId="5890">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010"/>
          </reference>
          <reference field="82" count="1" selected="0">
            <x v="416"/>
          </reference>
          <reference field="85" count="1">
            <x v="4"/>
          </reference>
        </references>
      </pivotArea>
    </format>
    <format dxfId="5889">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025"/>
          </reference>
          <reference field="82" count="1" selected="0">
            <x v="432"/>
          </reference>
          <reference field="85" count="1">
            <x v="0"/>
          </reference>
        </references>
      </pivotArea>
    </format>
    <format dxfId="5888">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41"/>
          </reference>
          <reference field="82" count="1" selected="0">
            <x v="548"/>
          </reference>
          <reference field="85" count="1">
            <x v="7"/>
          </reference>
        </references>
      </pivotArea>
    </format>
    <format dxfId="5887">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031"/>
          </reference>
          <reference field="82" count="1" selected="0">
            <x v="438"/>
          </reference>
          <reference field="85" count="1">
            <x v="0"/>
          </reference>
        </references>
      </pivotArea>
    </format>
    <format dxfId="5886">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1952"/>
          </reference>
          <reference field="82" count="1" selected="0">
            <x v="356"/>
          </reference>
          <reference field="85" count="1">
            <x v="7"/>
          </reference>
        </references>
      </pivotArea>
    </format>
    <format dxfId="5885">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034"/>
          </reference>
          <reference field="82" count="1" selected="0">
            <x v="441"/>
          </reference>
          <reference field="85" count="1">
            <x v="0"/>
          </reference>
        </references>
      </pivotArea>
    </format>
    <format dxfId="5884">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095"/>
          </reference>
          <reference field="82" count="1" selected="0">
            <x v="502"/>
          </reference>
          <reference field="85" count="1">
            <x v="2"/>
          </reference>
        </references>
      </pivotArea>
    </format>
    <format dxfId="5883">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037"/>
          </reference>
          <reference field="82" count="1" selected="0">
            <x v="444"/>
          </reference>
          <reference field="85" count="1">
            <x v="0"/>
          </reference>
        </references>
      </pivotArea>
    </format>
    <format dxfId="5882">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132"/>
          </reference>
          <reference field="82" count="1" selected="0">
            <x v="539"/>
          </reference>
          <reference field="85" count="1">
            <x v="7"/>
          </reference>
        </references>
      </pivotArea>
    </format>
    <format dxfId="5881">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236"/>
          </reference>
          <reference field="82" count="1" selected="0">
            <x v="643"/>
          </reference>
          <reference field="85" count="1">
            <x v="4"/>
          </reference>
        </references>
      </pivotArea>
    </format>
    <format dxfId="5880">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159"/>
          </reference>
          <reference field="82" count="1" selected="0">
            <x v="566"/>
          </reference>
          <reference field="85" count="1">
            <x v="4"/>
          </reference>
        </references>
      </pivotArea>
    </format>
    <format dxfId="5879">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1932"/>
          </reference>
          <reference field="82" count="1" selected="0">
            <x v="336"/>
          </reference>
          <reference field="85" count="1">
            <x v="3"/>
          </reference>
        </references>
      </pivotArea>
    </format>
    <format dxfId="5878">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155"/>
          </reference>
          <reference field="82" count="1" selected="0">
            <x v="562"/>
          </reference>
          <reference field="85" count="1">
            <x v="4"/>
          </reference>
        </references>
      </pivotArea>
    </format>
    <format dxfId="5877">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151"/>
          </reference>
          <reference field="82" count="1" selected="0">
            <x v="558"/>
          </reference>
          <reference field="85" count="1">
            <x v="4"/>
          </reference>
        </references>
      </pivotArea>
    </format>
    <format dxfId="5876">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072"/>
          </reference>
          <reference field="82" count="1" selected="0">
            <x v="479"/>
          </reference>
          <reference field="85" count="1">
            <x v="0"/>
          </reference>
        </references>
      </pivotArea>
    </format>
    <format dxfId="5875">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945"/>
          </reference>
          <reference field="82" count="1" selected="0">
            <x v="349"/>
          </reference>
          <reference field="85" count="1">
            <x v="7"/>
          </reference>
        </references>
      </pivotArea>
    </format>
    <format dxfId="5874">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000"/>
          </reference>
          <reference field="82" count="1" selected="0">
            <x v="406"/>
          </reference>
          <reference field="85" count="1">
            <x v="4"/>
          </reference>
        </references>
      </pivotArea>
    </format>
    <format dxfId="5873">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083"/>
          </reference>
          <reference field="82" count="1" selected="0">
            <x v="490"/>
          </reference>
          <reference field="85" count="1">
            <x v="0"/>
          </reference>
        </references>
      </pivotArea>
    </format>
    <format dxfId="5872">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147"/>
          </reference>
          <reference field="82" count="1" selected="0">
            <x v="554"/>
          </reference>
          <reference field="85" count="1">
            <x v="7"/>
          </reference>
        </references>
      </pivotArea>
    </format>
    <format dxfId="5871">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941"/>
          </reference>
          <reference field="82" count="1" selected="0">
            <x v="345"/>
          </reference>
          <reference field="85" count="1">
            <x v="3"/>
          </reference>
        </references>
      </pivotArea>
    </format>
    <format dxfId="5870">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954"/>
          </reference>
          <reference field="82" count="1" selected="0">
            <x v="358"/>
          </reference>
          <reference field="85" count="1">
            <x v="7"/>
          </reference>
        </references>
      </pivotArea>
    </format>
    <format dxfId="5869">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1997"/>
          </reference>
          <reference field="82" count="1" selected="0">
            <x v="402"/>
          </reference>
          <reference field="85" count="1">
            <x v="4"/>
          </reference>
        </references>
      </pivotArea>
    </format>
    <format dxfId="5868">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080"/>
          </reference>
          <reference field="82" count="1" selected="0">
            <x v="487"/>
          </reference>
          <reference field="85" count="1">
            <x v="0"/>
          </reference>
        </references>
      </pivotArea>
    </format>
    <format dxfId="5867">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146"/>
          </reference>
          <reference field="82" count="1" selected="0">
            <x v="553"/>
          </reference>
          <reference field="85" count="1">
            <x v="7"/>
          </reference>
        </references>
      </pivotArea>
    </format>
    <format dxfId="5866">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942"/>
          </reference>
          <reference field="82" count="1" selected="0">
            <x v="346"/>
          </reference>
          <reference field="85" count="1">
            <x v="3"/>
          </reference>
        </references>
      </pivotArea>
    </format>
    <format dxfId="5865">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956"/>
          </reference>
          <reference field="82" count="1" selected="0">
            <x v="360"/>
          </reference>
          <reference field="85" count="1">
            <x v="7"/>
          </reference>
        </references>
      </pivotArea>
    </format>
    <format dxfId="5864">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1936"/>
          </reference>
          <reference field="82" count="1" selected="0">
            <x v="340"/>
          </reference>
          <reference field="85" count="1">
            <x v="3"/>
          </reference>
        </references>
      </pivotArea>
    </format>
    <format dxfId="5863">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12"/>
          </reference>
          <reference field="82" count="1" selected="0">
            <x v="418"/>
          </reference>
          <reference field="85" count="1">
            <x v="4"/>
          </reference>
        </references>
      </pivotArea>
    </format>
    <format dxfId="5862">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074"/>
          </reference>
          <reference field="82" count="1" selected="0">
            <x v="481"/>
          </reference>
          <reference field="85" count="1">
            <x v="0"/>
          </reference>
        </references>
      </pivotArea>
    </format>
    <format dxfId="5861">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087"/>
          </reference>
          <reference field="82" count="1" selected="0">
            <x v="494"/>
          </reference>
          <reference field="85" count="1">
            <x v="2"/>
          </reference>
        </references>
      </pivotArea>
    </format>
    <format dxfId="5860">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13"/>
          </reference>
          <reference field="82" count="1" selected="0">
            <x v="419"/>
          </reference>
          <reference field="85" count="1">
            <x v="4"/>
          </reference>
        </references>
      </pivotArea>
    </format>
    <format dxfId="5859">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077"/>
          </reference>
          <reference field="82" count="1" selected="0">
            <x v="484"/>
          </reference>
          <reference field="85" count="1">
            <x v="0"/>
          </reference>
        </references>
      </pivotArea>
    </format>
    <format dxfId="5858">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090"/>
          </reference>
          <reference field="82" count="1" selected="0">
            <x v="497"/>
          </reference>
          <reference field="85" count="1">
            <x v="2"/>
          </reference>
        </references>
      </pivotArea>
    </format>
    <format dxfId="5857">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144"/>
          </reference>
          <reference field="82" count="1" selected="0">
            <x v="551"/>
          </reference>
          <reference field="85" count="1">
            <x v="7"/>
          </reference>
        </references>
      </pivotArea>
    </format>
    <format dxfId="5856">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215"/>
          </reference>
          <reference field="82" count="1" selected="0">
            <x v="622"/>
          </reference>
          <reference field="85" count="1">
            <x v="4"/>
          </reference>
        </references>
      </pivotArea>
    </format>
    <format dxfId="5855">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1962"/>
          </reference>
          <reference field="82" count="1" selected="0">
            <x v="367"/>
          </reference>
          <reference field="85" count="1">
            <x v="7"/>
          </reference>
        </references>
      </pivotArea>
    </format>
    <format dxfId="5854">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115"/>
          </reference>
          <reference field="82" count="1" selected="0">
            <x v="522"/>
          </reference>
          <reference field="85" count="1">
            <x v="2"/>
          </reference>
        </references>
      </pivotArea>
    </format>
    <format dxfId="5853">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232"/>
          </reference>
          <reference field="82" count="1" selected="0">
            <x v="639"/>
          </reference>
          <reference field="85" count="1">
            <x v="4"/>
          </reference>
        </references>
      </pivotArea>
    </format>
    <format dxfId="5852">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235"/>
          </reference>
          <reference field="82" count="1" selected="0">
            <x v="642"/>
          </reference>
          <reference field="85" count="1">
            <x v="4"/>
          </reference>
        </references>
      </pivotArea>
    </format>
    <format dxfId="5851">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181"/>
          </reference>
          <reference field="82" count="1" selected="0">
            <x v="588"/>
          </reference>
          <reference field="85" count="1">
            <x v="4"/>
          </reference>
        </references>
      </pivotArea>
    </format>
    <format dxfId="5850">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176"/>
          </reference>
          <reference field="82" count="1" selected="0">
            <x v="583"/>
          </reference>
          <reference field="85" count="1">
            <x v="4"/>
          </reference>
        </references>
      </pivotArea>
    </format>
    <format dxfId="5849">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171"/>
          </reference>
          <reference field="82" count="1" selected="0">
            <x v="578"/>
          </reference>
          <reference field="85" count="1">
            <x v="4"/>
          </reference>
        </references>
      </pivotArea>
    </format>
    <format dxfId="5848">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228"/>
          </reference>
          <reference field="82" count="1" selected="0">
            <x v="635"/>
          </reference>
          <reference field="85" count="1">
            <x v="4"/>
          </reference>
        </references>
      </pivotArea>
    </format>
    <format dxfId="5847">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85"/>
          </reference>
          <reference field="82" count="1" selected="0">
            <x v="390"/>
          </reference>
          <reference field="85" count="1">
            <x v="4"/>
          </reference>
        </references>
      </pivotArea>
    </format>
    <format dxfId="5846">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1938"/>
          </reference>
          <reference field="82" count="1" selected="0">
            <x v="342"/>
          </reference>
          <reference field="85" count="1">
            <x v="3"/>
          </reference>
        </references>
      </pivotArea>
    </format>
    <format dxfId="5845">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240"/>
          </reference>
          <reference field="82" count="1" selected="0">
            <x v="647"/>
          </reference>
          <reference field="85" count="1">
            <x v="4"/>
          </reference>
        </references>
      </pivotArea>
    </format>
    <format dxfId="5844">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975"/>
          </reference>
          <reference field="82" count="1" selected="0">
            <x v="380"/>
          </reference>
          <reference field="85" count="1">
            <x v="7"/>
          </reference>
        </references>
      </pivotArea>
    </format>
    <format dxfId="5843">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1939"/>
          </reference>
          <reference field="82" count="1" selected="0">
            <x v="343"/>
          </reference>
          <reference field="85" count="1">
            <x v="3"/>
          </reference>
        </references>
      </pivotArea>
    </format>
    <format dxfId="5842">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976"/>
          </reference>
          <reference field="82" count="1" selected="0">
            <x v="381"/>
          </reference>
          <reference field="85" count="1">
            <x v="7"/>
          </reference>
        </references>
      </pivotArea>
    </format>
    <format dxfId="5841">
      <pivotArea dataOnly="0" labelOnly="1" outline="0" fieldPosition="0">
        <references count="12">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x v="2"/>
          </reference>
        </references>
      </pivotArea>
    </format>
    <format dxfId="5840">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242"/>
          </reference>
          <reference field="82" count="1" selected="0">
            <x v="649"/>
          </reference>
          <reference field="85" count="1">
            <x v="7"/>
          </reference>
        </references>
      </pivotArea>
    </format>
    <format dxfId="5839">
      <pivotArea dataOnly="0" labelOnly="1" outline="0" fieldPosition="0">
        <references count="12">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x v="2"/>
          </reference>
        </references>
      </pivotArea>
    </format>
    <format dxfId="5838">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243"/>
          </reference>
          <reference field="82" count="1" selected="0">
            <x v="650"/>
          </reference>
          <reference field="85" count="1">
            <x v="7"/>
          </reference>
        </references>
      </pivotArea>
    </format>
    <format dxfId="5837">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1968"/>
          </reference>
          <reference field="82" count="1" selected="0">
            <x v="373"/>
          </reference>
          <reference field="85" count="1">
            <x v="2"/>
          </reference>
        </references>
      </pivotArea>
    </format>
    <format dxfId="5836">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245"/>
          </reference>
          <reference field="82" count="1" selected="0">
            <x v="652"/>
          </reference>
          <reference field="85" count="1">
            <x v="7"/>
          </reference>
        </references>
      </pivotArea>
    </format>
    <format dxfId="5835">
      <pivotArea dataOnly="0" labelOnly="1" outline="0" fieldPosition="0">
        <references count="12">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x v="2"/>
          </reference>
        </references>
      </pivotArea>
    </format>
    <format dxfId="5834">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234"/>
          </reference>
          <reference field="82" count="1" selected="0">
            <x v="641"/>
          </reference>
          <reference field="85" count="1">
            <x v="4"/>
          </reference>
        </references>
      </pivotArea>
    </format>
    <format dxfId="5833">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098"/>
          </reference>
          <reference field="82" count="1" selected="0">
            <x v="505"/>
          </reference>
          <reference field="85" count="1">
            <x v="2"/>
          </reference>
        </references>
      </pivotArea>
    </format>
    <format dxfId="5832">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241"/>
          </reference>
          <reference field="82" count="1" selected="0">
            <x v="648"/>
          </reference>
          <reference field="85" count="1">
            <x v="4"/>
          </reference>
        </references>
      </pivotArea>
    </format>
    <format dxfId="5831">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1974"/>
          </reference>
          <reference field="82" count="1" selected="0">
            <x v="379"/>
          </reference>
          <reference field="85" count="1">
            <x v="2"/>
          </reference>
        </references>
      </pivotArea>
    </format>
    <format dxfId="5830">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972"/>
          </reference>
          <reference field="82" count="1" selected="0">
            <x v="377"/>
          </reference>
          <reference field="85" count="1">
            <x v="7"/>
          </reference>
        </references>
      </pivotArea>
    </format>
    <format dxfId="5829">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109"/>
          </reference>
          <reference field="82" count="1" selected="0">
            <x v="516"/>
          </reference>
          <reference field="85" count="1">
            <x v="2"/>
          </reference>
        </references>
      </pivotArea>
    </format>
    <format dxfId="5828">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973"/>
          </reference>
          <reference field="82" count="1" selected="0">
            <x v="378"/>
          </reference>
          <reference field="85" count="1">
            <x v="7"/>
          </reference>
        </references>
      </pivotArea>
    </format>
    <format dxfId="5827">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226"/>
          </reference>
          <reference field="82" count="1" selected="0">
            <x v="633"/>
          </reference>
          <reference field="85" count="1">
            <x v="4"/>
          </reference>
        </references>
      </pivotArea>
    </format>
    <format dxfId="5826">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134"/>
          </reference>
          <reference field="82" count="1" selected="0">
            <x v="541"/>
          </reference>
          <reference field="85" count="1">
            <x v="7"/>
          </reference>
        </references>
      </pivotArea>
    </format>
    <format dxfId="5825">
      <pivotArea dataOnly="0" labelOnly="1" outline="0" fieldPosition="0">
        <references count="12">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210"/>
          </reference>
          <reference field="82" count="1" selected="0">
            <x v="617"/>
          </reference>
          <reference field="85" count="1">
            <x v="4"/>
          </reference>
        </references>
      </pivotArea>
    </format>
    <format dxfId="5824">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120"/>
          </reference>
          <reference field="82" count="1" selected="0">
            <x v="527"/>
          </reference>
          <reference field="85" count="1" selected="0">
            <x v="7"/>
          </reference>
          <reference field="87" count="1" selected="0">
            <x v="1479"/>
          </reference>
          <reference field="88" count="1" selected="0">
            <x v="300"/>
          </reference>
        </references>
      </pivotArea>
    </format>
    <format dxfId="5823">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121"/>
          </reference>
          <reference field="82" count="1" selected="0">
            <x v="528"/>
          </reference>
          <reference field="85" count="1" selected="0">
            <x v="7"/>
          </reference>
          <reference field="87" count="1" selected="0">
            <x v="1480"/>
          </reference>
          <reference field="88" count="1" selected="0">
            <x v="301"/>
          </reference>
        </references>
      </pivotArea>
    </format>
    <format dxfId="5822">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206"/>
          </reference>
          <reference field="82" count="1" selected="0">
            <x v="613"/>
          </reference>
          <reference field="85" count="1" selected="0">
            <x v="4"/>
          </reference>
          <reference field="87" count="1" selected="0">
            <x v="1565"/>
          </reference>
          <reference field="88" count="1" selected="0">
            <x v="386"/>
          </reference>
        </references>
      </pivotArea>
    </format>
    <format dxfId="5821">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207"/>
          </reference>
          <reference field="82" count="1" selected="0">
            <x v="614"/>
          </reference>
          <reference field="85" count="1" selected="0">
            <x v="4"/>
          </reference>
          <reference field="87" count="1" selected="0">
            <x v="1566"/>
          </reference>
          <reference field="88" count="1" selected="0">
            <x v="387"/>
          </reference>
        </references>
      </pivotArea>
    </format>
    <format dxfId="5820">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208"/>
          </reference>
          <reference field="82" count="1" selected="0">
            <x v="615"/>
          </reference>
          <reference field="85" count="1" selected="0">
            <x v="4"/>
          </reference>
          <reference field="87" count="1" selected="0">
            <x v="1567"/>
          </reference>
          <reference field="88" count="1" selected="0">
            <x v="388"/>
          </reference>
        </references>
      </pivotArea>
    </format>
    <format dxfId="5819">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209"/>
          </reference>
          <reference field="82" count="1" selected="0">
            <x v="616"/>
          </reference>
          <reference field="85" count="1" selected="0">
            <x v="4"/>
          </reference>
          <reference field="87" count="1" selected="0">
            <x v="1568"/>
          </reference>
          <reference field="88" count="1" selected="0">
            <x v="389"/>
          </reference>
        </references>
      </pivotArea>
    </format>
    <format dxfId="5818">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126"/>
          </reference>
          <reference field="82" count="1" selected="0">
            <x v="533"/>
          </reference>
          <reference field="85" count="1" selected="0">
            <x v="7"/>
          </reference>
          <reference field="87" count="1" selected="0">
            <x v="1485"/>
          </reference>
          <reference field="88" count="1" selected="0">
            <x v="306"/>
          </reference>
        </references>
      </pivotArea>
    </format>
    <format dxfId="5817">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125"/>
          </reference>
          <reference field="82" count="1" selected="0">
            <x v="532"/>
          </reference>
          <reference field="85" count="1" selected="0">
            <x v="7"/>
          </reference>
          <reference field="87" count="1" selected="0">
            <x v="1484"/>
          </reference>
          <reference field="88" count="1" selected="0">
            <x v="305"/>
          </reference>
        </references>
      </pivotArea>
    </format>
    <format dxfId="5816">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50"/>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5815">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053"/>
          </reference>
          <reference field="82" count="1" selected="0">
            <x v="460"/>
          </reference>
          <reference field="85" count="1" selected="0">
            <x v="0"/>
          </reference>
          <reference field="87" count="1" selected="0">
            <x v="1412"/>
          </reference>
          <reference field="88" count="1" selected="0">
            <x v="233"/>
          </reference>
        </references>
      </pivotArea>
    </format>
    <format dxfId="5814">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054"/>
          </reference>
          <reference field="82" count="1" selected="0">
            <x v="461"/>
          </reference>
          <reference field="85" count="1" selected="0">
            <x v="0"/>
          </reference>
          <reference field="87" count="1" selected="0">
            <x v="1413"/>
          </reference>
          <reference field="88" count="1" selected="0">
            <x v="234"/>
          </reference>
        </references>
      </pivotArea>
    </format>
    <format dxfId="5813">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051"/>
          </reference>
          <reference field="82" count="1" selected="0">
            <x v="458"/>
          </reference>
          <reference field="85" count="1" selected="0">
            <x v="0"/>
          </reference>
          <reference field="87" count="1" selected="0">
            <x v="1410"/>
          </reference>
          <reference field="88" count="1" selected="0">
            <x v="231"/>
          </reference>
        </references>
      </pivotArea>
    </format>
    <format dxfId="5812">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052"/>
          </reference>
          <reference field="82" count="1" selected="0">
            <x v="459"/>
          </reference>
          <reference field="85" count="1" selected="0">
            <x v="0"/>
          </reference>
          <reference field="87" count="1" selected="0">
            <x v="1411"/>
          </reference>
          <reference field="88" count="1" selected="0">
            <x v="232"/>
          </reference>
        </references>
      </pivotArea>
    </format>
    <format dxfId="5811">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126"/>
          </reference>
          <reference field="82" count="1" selected="0">
            <x v="533"/>
          </reference>
          <reference field="85" count="1" selected="0">
            <x v="7"/>
          </reference>
          <reference field="87" count="1" selected="0">
            <x v="1485"/>
          </reference>
          <reference field="88" count="1" selected="0">
            <x v="306"/>
          </reference>
        </references>
      </pivotArea>
    </format>
    <format dxfId="5810">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125"/>
          </reference>
          <reference field="82" count="1" selected="0">
            <x v="532"/>
          </reference>
          <reference field="85" count="1" selected="0">
            <x v="7"/>
          </reference>
          <reference field="87" count="1" selected="0">
            <x v="1484"/>
          </reference>
          <reference field="88" count="1" selected="0">
            <x v="305"/>
          </reference>
        </references>
      </pivotArea>
    </format>
    <format dxfId="5809">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048"/>
          </reference>
          <reference field="82" count="1" selected="0">
            <x v="455"/>
          </reference>
          <reference field="85" count="1" selected="0">
            <x v="0"/>
          </reference>
          <reference field="87" count="1" selected="0">
            <x v="1407"/>
          </reference>
          <reference field="88" count="1" selected="0">
            <x v="228"/>
          </reference>
        </references>
      </pivotArea>
    </format>
    <format dxfId="5808">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049"/>
          </reference>
          <reference field="82" count="1" selected="0">
            <x v="456"/>
          </reference>
          <reference field="85" count="1" selected="0">
            <x v="0"/>
          </reference>
          <reference field="87" count="1" selected="0">
            <x v="1408"/>
          </reference>
          <reference field="88" count="1" selected="0">
            <x v="229"/>
          </reference>
        </references>
      </pivotArea>
    </format>
    <format dxfId="5807">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051"/>
          </reference>
          <reference field="82" count="1" selected="0">
            <x v="458"/>
          </reference>
          <reference field="85" count="1" selected="0">
            <x v="0"/>
          </reference>
          <reference field="87" count="1" selected="0">
            <x v="1410"/>
          </reference>
          <reference field="88" count="1" selected="0">
            <x v="231"/>
          </reference>
        </references>
      </pivotArea>
    </format>
    <format dxfId="5806">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047"/>
          </reference>
          <reference field="82" count="1" selected="0">
            <x v="454"/>
          </reference>
          <reference field="85" count="1" selected="0">
            <x v="0"/>
          </reference>
          <reference field="87" count="1" selected="0">
            <x v="1406"/>
          </reference>
          <reference field="88" count="1" selected="0">
            <x v="227"/>
          </reference>
        </references>
      </pivotArea>
    </format>
    <format dxfId="5805">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50"/>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5804">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124"/>
          </reference>
          <reference field="82" count="1" selected="0">
            <x v="531"/>
          </reference>
          <reference field="85" count="1" selected="0">
            <x v="7"/>
          </reference>
          <reference field="87" count="1" selected="0">
            <x v="1483"/>
          </reference>
          <reference field="88" count="1" selected="0">
            <x v="304"/>
          </reference>
        </references>
      </pivotArea>
    </format>
    <format dxfId="5803">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125"/>
          </reference>
          <reference field="82" count="1" selected="0">
            <x v="532"/>
          </reference>
          <reference field="85" count="1" selected="0">
            <x v="7"/>
          </reference>
          <reference field="87" count="1" selected="0">
            <x v="1484"/>
          </reference>
          <reference field="88" count="1" selected="0">
            <x v="305"/>
          </reference>
        </references>
      </pivotArea>
    </format>
    <format dxfId="5802">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1960"/>
          </reference>
          <reference field="82" count="1" selected="0">
            <x v="364"/>
          </reference>
          <reference field="85" count="1" selected="0">
            <x v="7"/>
          </reference>
          <reference field="87" count="1" selected="0">
            <x v="1319"/>
          </reference>
          <reference field="88" count="1" selected="0">
            <x v="137"/>
          </reference>
        </references>
      </pivotArea>
    </format>
    <format dxfId="5801">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4"/>
          </reference>
          <reference field="81" count="1" selected="0">
            <x v="1961"/>
          </reference>
          <reference field="82" count="1" selected="0">
            <x v="366"/>
          </reference>
          <reference field="85" count="1" selected="0">
            <x v="7"/>
          </reference>
          <reference field="87" count="1" selected="0">
            <x v="1320"/>
          </reference>
          <reference field="88" count="1" selected="0">
            <x v="139"/>
          </reference>
        </references>
      </pivotArea>
    </format>
    <format dxfId="5800">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73" count="1">
            <x v="8"/>
          </reference>
          <reference field="81" count="1" selected="0">
            <x v="2040"/>
          </reference>
          <reference field="82" count="1" selected="0">
            <x v="447"/>
          </reference>
          <reference field="85" count="1" selected="0">
            <x v="0"/>
          </reference>
          <reference field="87" count="1" selected="0">
            <x v="1399"/>
          </reference>
          <reference field="88" count="1" selected="0">
            <x v="220"/>
          </reference>
        </references>
      </pivotArea>
    </format>
    <format dxfId="5799">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043"/>
          </reference>
          <reference field="82" count="1" selected="0">
            <x v="450"/>
          </reference>
          <reference field="85" count="1" selected="0">
            <x v="0"/>
          </reference>
          <reference field="87" count="1" selected="0">
            <x v="1402"/>
          </reference>
          <reference field="88" count="1" selected="0">
            <x v="223"/>
          </reference>
        </references>
      </pivotArea>
    </format>
    <format dxfId="5798">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041"/>
          </reference>
          <reference field="82" count="1" selected="0">
            <x v="448"/>
          </reference>
          <reference field="85" count="1" selected="0">
            <x v="0"/>
          </reference>
          <reference field="87" count="1" selected="0">
            <x v="1400"/>
          </reference>
          <reference field="88" count="1" selected="0">
            <x v="221"/>
          </reference>
        </references>
      </pivotArea>
    </format>
    <format dxfId="5797">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042"/>
          </reference>
          <reference field="82" count="1" selected="0">
            <x v="449"/>
          </reference>
          <reference field="85" count="1" selected="0">
            <x v="0"/>
          </reference>
          <reference field="87" count="1" selected="0">
            <x v="1401"/>
          </reference>
          <reference field="88" count="1" selected="0">
            <x v="222"/>
          </reference>
        </references>
      </pivotArea>
    </format>
    <format dxfId="5796">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5795">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116"/>
          </reference>
          <reference field="82" count="1" selected="0">
            <x v="523"/>
          </reference>
          <reference field="85" count="1" selected="0">
            <x v="7"/>
          </reference>
          <reference field="87" count="1" selected="0">
            <x v="1475"/>
          </reference>
          <reference field="88" count="1" selected="0">
            <x v="296"/>
          </reference>
        </references>
      </pivotArea>
    </format>
    <format dxfId="5794">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117"/>
          </reference>
          <reference field="82" count="1" selected="0">
            <x v="524"/>
          </reference>
          <reference field="85" count="1" selected="0">
            <x v="7"/>
          </reference>
          <reference field="87" count="1" selected="0">
            <x v="1476"/>
          </reference>
          <reference field="88" count="1" selected="0">
            <x v="297"/>
          </reference>
        </references>
      </pivotArea>
    </format>
    <format dxfId="5793">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198"/>
          </reference>
          <reference field="82" count="1" selected="0">
            <x v="605"/>
          </reference>
          <reference field="85" count="1" selected="0">
            <x v="4"/>
          </reference>
          <reference field="87" count="1" selected="0">
            <x v="1557"/>
          </reference>
          <reference field="88" count="1" selected="0">
            <x v="378"/>
          </reference>
        </references>
      </pivotArea>
    </format>
    <format dxfId="5792">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199"/>
          </reference>
          <reference field="82" count="1" selected="0">
            <x v="606"/>
          </reference>
          <reference field="85" count="1" selected="0">
            <x v="4"/>
          </reference>
          <reference field="87" count="1" selected="0">
            <x v="1558"/>
          </reference>
          <reference field="88" count="1" selected="0">
            <x v="379"/>
          </reference>
        </references>
      </pivotArea>
    </format>
    <format dxfId="5791">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200"/>
          </reference>
          <reference field="82" count="1" selected="0">
            <x v="607"/>
          </reference>
          <reference field="85" count="1" selected="0">
            <x v="4"/>
          </reference>
          <reference field="87" count="1" selected="0">
            <x v="1559"/>
          </reference>
          <reference field="88" count="1" selected="0">
            <x v="380"/>
          </reference>
        </references>
      </pivotArea>
    </format>
    <format dxfId="5790">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201"/>
          </reference>
          <reference field="82" count="1" selected="0">
            <x v="608"/>
          </reference>
          <reference field="85" count="1" selected="0">
            <x v="4"/>
          </reference>
          <reference field="87" count="1" selected="0">
            <x v="1560"/>
          </reference>
          <reference field="88" count="1" selected="0">
            <x v="381"/>
          </reference>
        </references>
      </pivotArea>
    </format>
    <format dxfId="5789">
      <pivotArea dataOnly="0" labelOnly="1" outline="0" fieldPosition="0">
        <references count="15">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1970"/>
          </reference>
          <reference field="82" count="1" selected="0">
            <x v="375"/>
          </reference>
          <reference field="85" count="1" selected="0">
            <x v="7"/>
          </reference>
          <reference field="87" count="1" selected="0">
            <x v="1329"/>
          </reference>
          <reference field="88" count="1" selected="0">
            <x v="148"/>
          </reference>
        </references>
      </pivotArea>
    </format>
    <format dxfId="5788">
      <pivotArea dataOnly="0" labelOnly="1" outline="0" fieldPosition="0">
        <references count="15">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1960"/>
          </reference>
          <reference field="82" count="1" selected="0">
            <x v="365"/>
          </reference>
          <reference field="85" count="1" selected="0">
            <x v="7"/>
          </reference>
          <reference field="87" count="1" selected="0">
            <x v="1319"/>
          </reference>
          <reference field="88" count="1" selected="0">
            <x v="138"/>
          </reference>
        </references>
      </pivotArea>
    </format>
    <format dxfId="5787">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73" count="1">
            <x v="50"/>
          </reference>
          <reference field="81" count="1" selected="0">
            <x v="2015"/>
          </reference>
          <reference field="82" count="1" selected="0">
            <x v="421"/>
          </reference>
          <reference field="85" count="1" selected="0">
            <x v="4"/>
          </reference>
          <reference field="87" count="1" selected="0">
            <x v="1374"/>
          </reference>
          <reference field="88" count="1" selected="0">
            <x v="194"/>
          </reference>
        </references>
      </pivotArea>
    </format>
    <format dxfId="5786">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73" count="1">
            <x v="50"/>
          </reference>
          <reference field="81" count="1" selected="0">
            <x v="2017"/>
          </reference>
          <reference field="82" count="1" selected="0">
            <x v="423"/>
          </reference>
          <reference field="85" count="1" selected="0">
            <x v="4"/>
          </reference>
          <reference field="87" count="1" selected="0">
            <x v="1376"/>
          </reference>
          <reference field="88" count="1" selected="0">
            <x v="196"/>
          </reference>
        </references>
      </pivotArea>
    </format>
    <format dxfId="5785">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73" count="1">
            <x v="50"/>
          </reference>
          <reference field="81" count="1" selected="0">
            <x v="2018"/>
          </reference>
          <reference field="82" count="1" selected="0">
            <x v="424"/>
          </reference>
          <reference field="85" count="1" selected="0">
            <x v="4"/>
          </reference>
          <reference field="87" count="1" selected="0">
            <x v="1377"/>
          </reference>
          <reference field="88" count="1" selected="0">
            <x v="197"/>
          </reference>
        </references>
      </pivotArea>
    </format>
    <format dxfId="5784">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73" count="1">
            <x v="50"/>
          </reference>
          <reference field="81" count="1" selected="0">
            <x v="2014"/>
          </reference>
          <reference field="82" count="1" selected="0">
            <x v="420"/>
          </reference>
          <reference field="85" count="1" selected="0">
            <x v="4"/>
          </reference>
          <reference field="87" count="1" selected="0">
            <x v="1373"/>
          </reference>
          <reference field="88" count="1" selected="0">
            <x v="193"/>
          </reference>
        </references>
      </pivotArea>
    </format>
    <format dxfId="5783">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73" count="1">
            <x v="50"/>
          </reference>
          <reference field="81" count="1" selected="0">
            <x v="2019"/>
          </reference>
          <reference field="82" count="1" selected="0">
            <x v="425"/>
          </reference>
          <reference field="85" count="1" selected="0">
            <x v="4"/>
          </reference>
          <reference field="87" count="1" selected="0">
            <x v="1378"/>
          </reference>
          <reference field="88" count="1" selected="0">
            <x v="198"/>
          </reference>
        </references>
      </pivotArea>
    </format>
    <format dxfId="5782">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73" count="1">
            <x v="50"/>
          </reference>
          <reference field="81" count="1" selected="0">
            <x v="2020"/>
          </reference>
          <reference field="82" count="1" selected="0">
            <x v="426"/>
          </reference>
          <reference field="85" count="1" selected="0">
            <x v="4"/>
          </reference>
          <reference field="87" count="1" selected="0">
            <x v="1379"/>
          </reference>
          <reference field="88" count="1" selected="0">
            <x v="199"/>
          </reference>
        </references>
      </pivotArea>
    </format>
    <format dxfId="5781">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73" count="1">
            <x v="50"/>
          </reference>
          <reference field="81" count="1" selected="0">
            <x v="2021"/>
          </reference>
          <reference field="82" count="1" selected="0">
            <x v="427"/>
          </reference>
          <reference field="85" count="1" selected="0">
            <x v="4"/>
          </reference>
          <reference field="87" count="1" selected="0">
            <x v="1380"/>
          </reference>
          <reference field="88" count="1" selected="0">
            <x v="200"/>
          </reference>
        </references>
      </pivotArea>
    </format>
    <format dxfId="5780">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73" count="1">
            <x v="50"/>
          </reference>
          <reference field="81" count="1" selected="0">
            <x v="2016"/>
          </reference>
          <reference field="82" count="1" selected="0">
            <x v="422"/>
          </reference>
          <reference field="85" count="1" selected="0">
            <x v="4"/>
          </reference>
          <reference field="87" count="1" selected="0">
            <x v="1375"/>
          </reference>
          <reference field="88" count="1" selected="0">
            <x v="195"/>
          </reference>
        </references>
      </pivotArea>
    </format>
    <format dxfId="5779">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048"/>
          </reference>
          <reference field="82" count="1" selected="0">
            <x v="455"/>
          </reference>
          <reference field="85" count="1" selected="0">
            <x v="0"/>
          </reference>
          <reference field="87" count="1" selected="0">
            <x v="1407"/>
          </reference>
          <reference field="88" count="1" selected="0">
            <x v="228"/>
          </reference>
        </references>
      </pivotArea>
    </format>
    <format dxfId="5778">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049"/>
          </reference>
          <reference field="82" count="1" selected="0">
            <x v="456"/>
          </reference>
          <reference field="85" count="1" selected="0">
            <x v="0"/>
          </reference>
          <reference field="87" count="1" selected="0">
            <x v="1408"/>
          </reference>
          <reference field="88" count="1" selected="0">
            <x v="229"/>
          </reference>
        </references>
      </pivotArea>
    </format>
    <format dxfId="5777">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050"/>
          </reference>
          <reference field="82" count="1" selected="0">
            <x v="457"/>
          </reference>
          <reference field="85" count="1" selected="0">
            <x v="0"/>
          </reference>
          <reference field="87" count="1" selected="0">
            <x v="1409"/>
          </reference>
          <reference field="88" count="1" selected="0">
            <x v="230"/>
          </reference>
        </references>
      </pivotArea>
    </format>
    <format dxfId="5776">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047"/>
          </reference>
          <reference field="82" count="1" selected="0">
            <x v="454"/>
          </reference>
          <reference field="85" count="1" selected="0">
            <x v="0"/>
          </reference>
          <reference field="87" count="1" selected="0">
            <x v="1406"/>
          </reference>
          <reference field="88" count="1" selected="0">
            <x v="227"/>
          </reference>
        </references>
      </pivotArea>
    </format>
    <format dxfId="5775">
      <pivotArea dataOnly="0" labelOnly="1" outline="0" fieldPosition="0">
        <references count="15">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1969"/>
          </reference>
          <reference field="82" count="1" selected="0">
            <x v="374"/>
          </reference>
          <reference field="85" count="1" selected="0">
            <x v="7"/>
          </reference>
          <reference field="87" count="1" selected="0">
            <x v="1328"/>
          </reference>
          <reference field="88" count="1" selected="0">
            <x v="147"/>
          </reference>
        </references>
      </pivotArea>
    </format>
    <format dxfId="5774">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5773">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118"/>
          </reference>
          <reference field="82" count="1" selected="0">
            <x v="525"/>
          </reference>
          <reference field="85" count="1" selected="0">
            <x v="7"/>
          </reference>
          <reference field="87" count="1" selected="0">
            <x v="1477"/>
          </reference>
          <reference field="88" count="1" selected="0">
            <x v="298"/>
          </reference>
        </references>
      </pivotArea>
    </format>
    <format dxfId="5772">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119"/>
          </reference>
          <reference field="82" count="1" selected="0">
            <x v="526"/>
          </reference>
          <reference field="85" count="1" selected="0">
            <x v="7"/>
          </reference>
          <reference field="87" count="1" selected="0">
            <x v="1478"/>
          </reference>
          <reference field="88" count="1" selected="0">
            <x v="299"/>
          </reference>
        </references>
      </pivotArea>
    </format>
    <format dxfId="5771">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046"/>
          </reference>
          <reference field="82" count="1" selected="0">
            <x v="453"/>
          </reference>
          <reference field="85" count="1" selected="0">
            <x v="0"/>
          </reference>
          <reference field="87" count="1" selected="0">
            <x v="1405"/>
          </reference>
          <reference field="88" count="1" selected="0">
            <x v="226"/>
          </reference>
        </references>
      </pivotArea>
    </format>
    <format dxfId="5770">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044"/>
          </reference>
          <reference field="82" count="1" selected="0">
            <x v="451"/>
          </reference>
          <reference field="85" count="1" selected="0">
            <x v="0"/>
          </reference>
          <reference field="87" count="1" selected="0">
            <x v="1403"/>
          </reference>
          <reference field="88" count="1" selected="0">
            <x v="224"/>
          </reference>
        </references>
      </pivotArea>
    </format>
    <format dxfId="5769">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045"/>
          </reference>
          <reference field="82" count="1" selected="0">
            <x v="452"/>
          </reference>
          <reference field="85" count="1" selected="0">
            <x v="0"/>
          </reference>
          <reference field="87" count="1" selected="0">
            <x v="1404"/>
          </reference>
          <reference field="88" count="1" selected="0">
            <x v="225"/>
          </reference>
        </references>
      </pivotArea>
    </format>
    <format dxfId="5768">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5767">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122"/>
          </reference>
          <reference field="82" count="1" selected="0">
            <x v="529"/>
          </reference>
          <reference field="85" count="1" selected="0">
            <x v="7"/>
          </reference>
          <reference field="87" count="1" selected="0">
            <x v="1481"/>
          </reference>
          <reference field="88" count="1" selected="0">
            <x v="302"/>
          </reference>
        </references>
      </pivotArea>
    </format>
    <format dxfId="5766">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123"/>
          </reference>
          <reference field="82" count="1" selected="0">
            <x v="530"/>
          </reference>
          <reference field="85" count="1" selected="0">
            <x v="7"/>
          </reference>
          <reference field="87" count="1" selected="0">
            <x v="1482"/>
          </reference>
          <reference field="88" count="1" selected="0">
            <x v="303"/>
          </reference>
        </references>
      </pivotArea>
    </format>
    <format dxfId="5765">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202"/>
          </reference>
          <reference field="82" count="1" selected="0">
            <x v="609"/>
          </reference>
          <reference field="85" count="1" selected="0">
            <x v="4"/>
          </reference>
          <reference field="87" count="1" selected="0">
            <x v="1561"/>
          </reference>
          <reference field="88" count="1" selected="0">
            <x v="382"/>
          </reference>
        </references>
      </pivotArea>
    </format>
    <format dxfId="5764">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203"/>
          </reference>
          <reference field="82" count="1" selected="0">
            <x v="610"/>
          </reference>
          <reference field="85" count="1" selected="0">
            <x v="4"/>
          </reference>
          <reference field="87" count="1" selected="0">
            <x v="1562"/>
          </reference>
          <reference field="88" count="1" selected="0">
            <x v="383"/>
          </reference>
        </references>
      </pivotArea>
    </format>
    <format dxfId="5763">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204"/>
          </reference>
          <reference field="82" count="1" selected="0">
            <x v="611"/>
          </reference>
          <reference field="85" count="1" selected="0">
            <x v="4"/>
          </reference>
          <reference field="87" count="1" selected="0">
            <x v="1563"/>
          </reference>
          <reference field="88" count="1" selected="0">
            <x v="384"/>
          </reference>
        </references>
      </pivotArea>
    </format>
    <format dxfId="5762">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205"/>
          </reference>
          <reference field="82" count="1" selected="0">
            <x v="612"/>
          </reference>
          <reference field="85" count="1" selected="0">
            <x v="4"/>
          </reference>
          <reference field="87" count="1" selected="0">
            <x v="1564"/>
          </reference>
          <reference field="88" count="1" selected="0">
            <x v="385"/>
          </reference>
        </references>
      </pivotArea>
    </format>
    <format dxfId="5761">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126"/>
          </reference>
          <reference field="82" count="1" selected="0">
            <x v="533"/>
          </reference>
          <reference field="85" count="1" selected="0">
            <x v="7"/>
          </reference>
          <reference field="87" count="1" selected="0">
            <x v="1485"/>
          </reference>
          <reference field="88" count="1" selected="0">
            <x v="306"/>
          </reference>
        </references>
      </pivotArea>
    </format>
    <format dxfId="5760">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127"/>
          </reference>
          <reference field="82" count="1" selected="0">
            <x v="534"/>
          </reference>
          <reference field="85" count="1" selected="0">
            <x v="7"/>
          </reference>
          <reference field="87" count="1" selected="0">
            <x v="1486"/>
          </reference>
          <reference field="88" count="1" selected="0">
            <x v="307"/>
          </reference>
        </references>
      </pivotArea>
    </format>
    <format dxfId="5759">
      <pivotArea dataOnly="0" labelOnly="1" outline="0" fieldPosition="0">
        <references count="15">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055"/>
          </reference>
          <reference field="82" count="1" selected="0">
            <x v="462"/>
          </reference>
          <reference field="85" count="1" selected="0">
            <x v="0"/>
          </reference>
          <reference field="87" count="1" selected="0">
            <x v="1414"/>
          </reference>
          <reference field="88" count="1" selected="0">
            <x v="235"/>
          </reference>
        </references>
      </pivotArea>
    </format>
    <format dxfId="5758">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73" count="1">
            <x v="50"/>
          </reference>
          <reference field="81" count="1" selected="0">
            <x v="2062"/>
          </reference>
          <reference field="82" count="1" selected="0">
            <x v="469"/>
          </reference>
          <reference field="85" count="1" selected="0">
            <x v="0"/>
          </reference>
          <reference field="87" count="1" selected="0">
            <x v="1421"/>
          </reference>
          <reference field="88" count="1" selected="0">
            <x v="242"/>
          </reference>
        </references>
      </pivotArea>
    </format>
    <format dxfId="5757">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73" count="1">
            <x v="50"/>
          </reference>
          <reference field="81" count="1" selected="0">
            <x v="2063"/>
          </reference>
          <reference field="82" count="1" selected="0">
            <x v="470"/>
          </reference>
          <reference field="85" count="1" selected="0">
            <x v="0"/>
          </reference>
          <reference field="87" count="1" selected="0">
            <x v="1422"/>
          </reference>
          <reference field="88" count="1" selected="0">
            <x v="243"/>
          </reference>
        </references>
      </pivotArea>
    </format>
    <format dxfId="5756">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73" count="1">
            <x v="50"/>
          </reference>
          <reference field="81" count="1" selected="0">
            <x v="2064"/>
          </reference>
          <reference field="82" count="1" selected="0">
            <x v="471"/>
          </reference>
          <reference field="85" count="1" selected="0">
            <x v="0"/>
          </reference>
          <reference field="87" count="1" selected="0">
            <x v="1423"/>
          </reference>
          <reference field="88" count="1" selected="0">
            <x v="244"/>
          </reference>
        </references>
      </pivotArea>
    </format>
    <format dxfId="5755">
      <pivotArea dataOnly="0" labelOnly="1" outline="0" fieldPosition="0">
        <references count="15">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73" count="1">
            <x v="9"/>
          </reference>
          <reference field="81" count="1" selected="0">
            <x v="1966"/>
          </reference>
          <reference field="82" count="1" selected="0">
            <x v="371"/>
          </reference>
          <reference field="85" count="1" selected="0">
            <x v="7"/>
          </reference>
          <reference field="87" count="1" selected="0">
            <x v="1325"/>
          </reference>
          <reference field="88" count="1" selected="0">
            <x v="144"/>
          </reference>
        </references>
      </pivotArea>
    </format>
    <format dxfId="5754">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73" count="1">
            <x v="9"/>
          </reference>
          <reference field="81" count="1" selected="0">
            <x v="1950"/>
          </reference>
          <reference field="82" count="1" selected="0">
            <x v="354"/>
          </reference>
          <reference field="85" count="1" selected="0">
            <x v="7"/>
          </reference>
          <reference field="87" count="1" selected="0">
            <x v="1309"/>
          </reference>
          <reference field="88" count="1" selected="0">
            <x v="127"/>
          </reference>
        </references>
      </pivotArea>
    </format>
    <format dxfId="5753">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4"/>
          </reference>
          <reference field="81" count="1" selected="0">
            <x v="1951"/>
          </reference>
          <reference field="82" count="1" selected="0">
            <x v="355"/>
          </reference>
          <reference field="85" count="1" selected="0">
            <x v="7"/>
          </reference>
          <reference field="87" count="1" selected="0">
            <x v="1310"/>
          </reference>
          <reference field="88" count="1" selected="0">
            <x v="128"/>
          </reference>
        </references>
      </pivotArea>
    </format>
    <format dxfId="5752">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056"/>
          </reference>
          <reference field="82" count="1" selected="0">
            <x v="463"/>
          </reference>
          <reference field="85" count="1" selected="0">
            <x v="0"/>
          </reference>
          <reference field="87" count="1" selected="0">
            <x v="1415"/>
          </reference>
          <reference field="88" count="1" selected="0">
            <x v="236"/>
          </reference>
        </references>
      </pivotArea>
    </format>
    <format dxfId="5751">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057"/>
          </reference>
          <reference field="82" count="1" selected="0">
            <x v="464"/>
          </reference>
          <reference field="85" count="1" selected="0">
            <x v="0"/>
          </reference>
          <reference field="87" count="1" selected="0">
            <x v="1416"/>
          </reference>
          <reference field="88" count="1" selected="0">
            <x v="237"/>
          </reference>
        </references>
      </pivotArea>
    </format>
    <format dxfId="5750">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058"/>
          </reference>
          <reference field="82" count="1" selected="0">
            <x v="465"/>
          </reference>
          <reference field="85" count="1" selected="0">
            <x v="0"/>
          </reference>
          <reference field="87" count="1" selected="0">
            <x v="1417"/>
          </reference>
          <reference field="88" count="1" selected="0">
            <x v="238"/>
          </reference>
        </references>
      </pivotArea>
    </format>
    <format dxfId="5749">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128"/>
          </reference>
          <reference field="82" count="1" selected="0">
            <x v="535"/>
          </reference>
          <reference field="85" count="1" selected="0">
            <x v="7"/>
          </reference>
          <reference field="87" count="1" selected="0">
            <x v="1487"/>
          </reference>
          <reference field="88" count="1" selected="0">
            <x v="308"/>
          </reference>
        </references>
      </pivotArea>
    </format>
    <format dxfId="5748">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73" count="1">
            <x v="7"/>
          </reference>
          <reference field="81" count="1" selected="0">
            <x v="2129"/>
          </reference>
          <reference field="82" count="1" selected="0">
            <x v="536"/>
          </reference>
          <reference field="85" count="1" selected="0">
            <x v="7"/>
          </reference>
          <reference field="87" count="1" selected="0">
            <x v="1488"/>
          </reference>
          <reference field="88" count="1" selected="0">
            <x v="309"/>
          </reference>
        </references>
      </pivotArea>
    </format>
    <format dxfId="5747">
      <pivotArea dataOnly="0" labelOnly="1" outline="0" fieldPosition="0">
        <references count="15">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73" count="1">
            <x v="51"/>
          </reference>
          <reference field="81" count="1" selected="0">
            <x v="1971"/>
          </reference>
          <reference field="82" count="1" selected="0">
            <x v="376"/>
          </reference>
          <reference field="85" count="1" selected="0">
            <x v="7"/>
          </reference>
          <reference field="87" count="1" selected="0">
            <x v="1330"/>
          </reference>
          <reference field="88" count="1" selected="0">
            <x v="149"/>
          </reference>
        </references>
      </pivotArea>
    </format>
    <format dxfId="5746">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059"/>
          </reference>
          <reference field="82" count="1" selected="0">
            <x v="466"/>
          </reference>
          <reference field="85" count="1" selected="0">
            <x v="0"/>
          </reference>
          <reference field="87" count="1" selected="0">
            <x v="1418"/>
          </reference>
          <reference field="88" count="1" selected="0">
            <x v="239"/>
          </reference>
        </references>
      </pivotArea>
    </format>
    <format dxfId="5745">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060"/>
          </reference>
          <reference field="82" count="1" selected="0">
            <x v="467"/>
          </reference>
          <reference field="85" count="1" selected="0">
            <x v="0"/>
          </reference>
          <reference field="87" count="1" selected="0">
            <x v="1419"/>
          </reference>
          <reference field="88" count="1" selected="0">
            <x v="240"/>
          </reference>
        </references>
      </pivotArea>
    </format>
    <format dxfId="5744">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061"/>
          </reference>
          <reference field="82" count="1" selected="0">
            <x v="468"/>
          </reference>
          <reference field="85" count="1" selected="0">
            <x v="0"/>
          </reference>
          <reference field="87" count="1" selected="0">
            <x v="1420"/>
          </reference>
          <reference field="88" count="1" selected="0">
            <x v="241"/>
          </reference>
        </references>
      </pivotArea>
    </format>
    <format dxfId="5743">
      <pivotArea dataOnly="0" labelOnly="1" outline="0" fieldPosition="0">
        <references count="15">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135"/>
          </reference>
          <reference field="82" count="1" selected="0">
            <x v="542"/>
          </reference>
          <reference field="85" count="1" selected="0">
            <x v="7"/>
          </reference>
          <reference field="87" count="1" selected="0">
            <x v="1494"/>
          </reference>
          <reference field="88" count="1" selected="0">
            <x v="315"/>
          </reference>
        </references>
      </pivotArea>
    </format>
    <format dxfId="5742">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73" count="1">
            <x v="50"/>
          </reference>
          <reference field="81" count="1" selected="0">
            <x v="2068"/>
          </reference>
          <reference field="82" count="1" selected="0">
            <x v="475"/>
          </reference>
          <reference field="85" count="1" selected="0">
            <x v="0"/>
          </reference>
          <reference field="87" count="1" selected="0">
            <x v="1427"/>
          </reference>
          <reference field="88" count="1" selected="0">
            <x v="248"/>
          </reference>
        </references>
      </pivotArea>
    </format>
    <format dxfId="5741">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73" count="1">
            <x v="50"/>
          </reference>
          <reference field="81" count="1" selected="0">
            <x v="2069"/>
          </reference>
          <reference field="82" count="1" selected="0">
            <x v="476"/>
          </reference>
          <reference field="85" count="1" selected="0">
            <x v="0"/>
          </reference>
          <reference field="87" count="1" selected="0">
            <x v="1428"/>
          </reference>
          <reference field="88" count="1" selected="0">
            <x v="249"/>
          </reference>
        </references>
      </pivotArea>
    </format>
    <format dxfId="5740">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73" count="1">
            <x v="50"/>
          </reference>
          <reference field="81" count="1" selected="0">
            <x v="2070"/>
          </reference>
          <reference field="82" count="1" selected="0">
            <x v="477"/>
          </reference>
          <reference field="85" count="1" selected="0">
            <x v="0"/>
          </reference>
          <reference field="87" count="1" selected="0">
            <x v="1429"/>
          </reference>
          <reference field="88" count="1" selected="0">
            <x v="250"/>
          </reference>
        </references>
      </pivotArea>
    </format>
    <format dxfId="5739">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73" count="1">
            <x v="9"/>
          </reference>
          <reference field="81" count="1" selected="0">
            <x v="1943"/>
          </reference>
          <reference field="82" count="1" selected="0">
            <x v="347"/>
          </reference>
          <reference field="85" count="1" selected="0">
            <x v="7"/>
          </reference>
          <reference field="87" count="1" selected="0">
            <x v="1302"/>
          </reference>
          <reference field="88" count="1" selected="0">
            <x v="120"/>
          </reference>
        </references>
      </pivotArea>
    </format>
    <format dxfId="5738">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1944"/>
          </reference>
          <reference field="82" count="1" selected="0">
            <x v="348"/>
          </reference>
          <reference field="85" count="1" selected="0">
            <x v="7"/>
          </reference>
          <reference field="87" count="1" selected="0">
            <x v="1303"/>
          </reference>
          <reference field="88" count="1" selected="0">
            <x v="121"/>
          </reference>
        </references>
      </pivotArea>
    </format>
    <format dxfId="5737">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73" count="1">
            <x v="50"/>
          </reference>
          <reference field="81" count="1" selected="0">
            <x v="2006"/>
          </reference>
          <reference field="82" count="1" selected="0">
            <x v="412"/>
          </reference>
          <reference field="85" count="1" selected="0">
            <x v="4"/>
          </reference>
          <reference field="87" count="1" selected="0">
            <x v="1365"/>
          </reference>
          <reference field="88" count="1" selected="0">
            <x v="185"/>
          </reference>
        </references>
      </pivotArea>
    </format>
    <format dxfId="5736">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73" count="1">
            <x v="50"/>
          </reference>
          <reference field="81" count="1" selected="0">
            <x v="2007"/>
          </reference>
          <reference field="82" count="1" selected="0">
            <x v="413"/>
          </reference>
          <reference field="85" count="1" selected="0">
            <x v="4"/>
          </reference>
          <reference field="87" count="1" selected="0">
            <x v="1366"/>
          </reference>
          <reference field="88" count="1" selected="0">
            <x v="186"/>
          </reference>
        </references>
      </pivotArea>
    </format>
    <format dxfId="5735">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73" count="1">
            <x v="50"/>
          </reference>
          <reference field="81" count="1" selected="0">
            <x v="2004"/>
          </reference>
          <reference field="82" count="1" selected="0">
            <x v="410"/>
          </reference>
          <reference field="85" count="1" selected="0">
            <x v="4"/>
          </reference>
          <reference field="87" count="1" selected="0">
            <x v="1363"/>
          </reference>
          <reference field="88" count="1" selected="0">
            <x v="183"/>
          </reference>
        </references>
      </pivotArea>
    </format>
    <format dxfId="5734">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73" count="1">
            <x v="50"/>
          </reference>
          <reference field="81" count="1" selected="0">
            <x v="2005"/>
          </reference>
          <reference field="82" count="1" selected="0">
            <x v="411"/>
          </reference>
          <reference field="85" count="1" selected="0">
            <x v="4"/>
          </reference>
          <reference field="87" count="1" selected="0">
            <x v="1364"/>
          </reference>
          <reference field="88" count="1" selected="0">
            <x v="184"/>
          </reference>
        </references>
      </pivotArea>
    </format>
    <format dxfId="5733">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73" count="1">
            <x v="50"/>
          </reference>
          <reference field="81" count="1" selected="0">
            <x v="2065"/>
          </reference>
          <reference field="82" count="1" selected="0">
            <x v="472"/>
          </reference>
          <reference field="85" count="1" selected="0">
            <x v="0"/>
          </reference>
          <reference field="87" count="1" selected="0">
            <x v="1424"/>
          </reference>
          <reference field="88" count="1" selected="0">
            <x v="245"/>
          </reference>
        </references>
      </pivotArea>
    </format>
    <format dxfId="5732">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73" count="1">
            <x v="50"/>
          </reference>
          <reference field="81" count="1" selected="0">
            <x v="2066"/>
          </reference>
          <reference field="82" count="1" selected="0">
            <x v="473"/>
          </reference>
          <reference field="85" count="1" selected="0">
            <x v="0"/>
          </reference>
          <reference field="87" count="1" selected="0">
            <x v="1425"/>
          </reference>
          <reference field="88" count="1" selected="0">
            <x v="246"/>
          </reference>
        </references>
      </pivotArea>
    </format>
    <format dxfId="5731">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73" count="1">
            <x v="50"/>
          </reference>
          <reference field="81" count="1" selected="0">
            <x v="2067"/>
          </reference>
          <reference field="82" count="1" selected="0">
            <x v="474"/>
          </reference>
          <reference field="85" count="1" selected="0">
            <x v="0"/>
          </reference>
          <reference field="87" count="1" selected="0">
            <x v="1426"/>
          </reference>
          <reference field="88" count="1" selected="0">
            <x v="247"/>
          </reference>
        </references>
      </pivotArea>
    </format>
    <format dxfId="5730">
      <pivotArea dataOnly="0" labelOnly="1" outline="0" fieldPosition="0">
        <references count="15">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73" count="1">
            <x v="50"/>
          </reference>
          <reference field="81" count="1" selected="0">
            <x v="2149"/>
          </reference>
          <reference field="82" count="1" selected="0">
            <x v="556"/>
          </reference>
          <reference field="85" count="1" selected="0">
            <x v="7"/>
          </reference>
          <reference field="87" count="1" selected="0">
            <x v="1508"/>
          </reference>
          <reference field="88" count="1" selected="0">
            <x v="329"/>
          </reference>
        </references>
      </pivotArea>
    </format>
    <format dxfId="5729">
      <pivotArea dataOnly="0" labelOnly="1" outline="0" fieldPosition="0">
        <references count="15">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1959"/>
          </reference>
          <reference field="82" count="1" selected="0">
            <x v="363"/>
          </reference>
          <reference field="85" count="1" selected="0">
            <x v="7"/>
          </reference>
          <reference field="87" count="1" selected="0">
            <x v="1318"/>
          </reference>
          <reference field="88" count="1" selected="0">
            <x v="136"/>
          </reference>
        </references>
      </pivotArea>
    </format>
    <format dxfId="5728">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73" count="1">
            <x v="50"/>
          </reference>
          <reference field="81" count="1" selected="0">
            <x v="2029"/>
          </reference>
          <reference field="82" count="1" selected="0">
            <x v="436"/>
          </reference>
          <reference field="85" count="1" selected="0">
            <x v="0"/>
          </reference>
          <reference field="87" count="1" selected="0">
            <x v="1388"/>
          </reference>
          <reference field="88" count="1" selected="0">
            <x v="209"/>
          </reference>
        </references>
      </pivotArea>
    </format>
    <format dxfId="5727">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73" count="1">
            <x v="50"/>
          </reference>
          <reference field="81" count="1" selected="0">
            <x v="2028"/>
          </reference>
          <reference field="82" count="1" selected="0">
            <x v="435"/>
          </reference>
          <reference field="85" count="1" selected="0">
            <x v="0"/>
          </reference>
          <reference field="87" count="1" selected="0">
            <x v="1387"/>
          </reference>
          <reference field="88" count="1" selected="0">
            <x v="208"/>
          </reference>
        </references>
      </pivotArea>
    </format>
    <format dxfId="5726">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73" count="1">
            <x v="50"/>
          </reference>
          <reference field="81" count="1" selected="0">
            <x v="2030"/>
          </reference>
          <reference field="82" count="1" selected="0">
            <x v="437"/>
          </reference>
          <reference field="85" count="1" selected="0">
            <x v="0"/>
          </reference>
          <reference field="87" count="1" selected="0">
            <x v="1389"/>
          </reference>
          <reference field="88" count="1" selected="0">
            <x v="210"/>
          </reference>
        </references>
      </pivotArea>
    </format>
    <format dxfId="5725">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73" count="1">
            <x v="51"/>
          </reference>
          <reference field="81" count="1" selected="0">
            <x v="1967"/>
          </reference>
          <reference field="82" count="1" selected="0">
            <x v="372"/>
          </reference>
          <reference field="85" count="1" selected="0">
            <x v="7"/>
          </reference>
          <reference field="87" count="1" selected="0">
            <x v="1326"/>
          </reference>
          <reference field="88" count="1" selected="0">
            <x v="145"/>
          </reference>
        </references>
      </pivotArea>
    </format>
    <format dxfId="5724">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1958"/>
          </reference>
          <reference field="82" count="1" selected="0">
            <x v="362"/>
          </reference>
          <reference field="85" count="1" selected="0">
            <x v="7"/>
          </reference>
          <reference field="87" count="1" selected="0">
            <x v="1317"/>
          </reference>
          <reference field="88" count="1" selected="0">
            <x v="135"/>
          </reference>
        </references>
      </pivotArea>
    </format>
    <format dxfId="5723">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73" count="1">
            <x v="50"/>
          </reference>
          <reference field="81" count="1" selected="0">
            <x v="2010"/>
          </reference>
          <reference field="82" count="1" selected="0">
            <x v="416"/>
          </reference>
          <reference field="85" count="1" selected="0">
            <x v="4"/>
          </reference>
          <reference field="87" count="1" selected="0">
            <x v="1369"/>
          </reference>
          <reference field="88" count="1" selected="0">
            <x v="189"/>
          </reference>
        </references>
      </pivotArea>
    </format>
    <format dxfId="5722">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73" count="1">
            <x v="50"/>
          </reference>
          <reference field="81" count="1" selected="0">
            <x v="2011"/>
          </reference>
          <reference field="82" count="1" selected="0">
            <x v="417"/>
          </reference>
          <reference field="85" count="1" selected="0">
            <x v="4"/>
          </reference>
          <reference field="87" count="1" selected="0">
            <x v="1370"/>
          </reference>
          <reference field="88" count="1" selected="0">
            <x v="190"/>
          </reference>
        </references>
      </pivotArea>
    </format>
    <format dxfId="5721">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73" count="1">
            <x v="50"/>
          </reference>
          <reference field="81" count="1" selected="0">
            <x v="2008"/>
          </reference>
          <reference field="82" count="1" selected="0">
            <x v="414"/>
          </reference>
          <reference field="85" count="1" selected="0">
            <x v="4"/>
          </reference>
          <reference field="87" count="1" selected="0">
            <x v="1367"/>
          </reference>
          <reference field="88" count="1" selected="0">
            <x v="187"/>
          </reference>
        </references>
      </pivotArea>
    </format>
    <format dxfId="5720">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73" count="1">
            <x v="50"/>
          </reference>
          <reference field="81" count="1" selected="0">
            <x v="2009"/>
          </reference>
          <reference field="82" count="1" selected="0">
            <x v="415"/>
          </reference>
          <reference field="85" count="1" selected="0">
            <x v="4"/>
          </reference>
          <reference field="87" count="1" selected="0">
            <x v="1368"/>
          </reference>
          <reference field="88" count="1" selected="0">
            <x v="188"/>
          </reference>
        </references>
      </pivotArea>
    </format>
    <format dxfId="5719">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025"/>
          </reference>
          <reference field="82" count="1" selected="0">
            <x v="432"/>
          </reference>
          <reference field="85" count="1" selected="0">
            <x v="0"/>
          </reference>
          <reference field="87" count="1" selected="0">
            <x v="1384"/>
          </reference>
          <reference field="88" count="1" selected="0">
            <x v="205"/>
          </reference>
        </references>
      </pivotArea>
    </format>
    <format dxfId="5718">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026"/>
          </reference>
          <reference field="82" count="1" selected="0">
            <x v="433"/>
          </reference>
          <reference field="85" count="1" selected="0">
            <x v="0"/>
          </reference>
          <reference field="87" count="1" selected="0">
            <x v="1385"/>
          </reference>
          <reference field="88" count="1" selected="0">
            <x v="206"/>
          </reference>
        </references>
      </pivotArea>
    </format>
    <format dxfId="5717">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027"/>
          </reference>
          <reference field="82" count="1" selected="0">
            <x v="434"/>
          </reference>
          <reference field="85" count="1" selected="0">
            <x v="0"/>
          </reference>
          <reference field="87" count="1" selected="0">
            <x v="1386"/>
          </reference>
          <reference field="88" count="1" selected="0">
            <x v="207"/>
          </reference>
        </references>
      </pivotArea>
    </format>
    <format dxfId="5716">
      <pivotArea dataOnly="0" labelOnly="1" outline="0" fieldPosition="0">
        <references count="15">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12"/>
          </reference>
          <reference field="81" count="1" selected="0">
            <x v="2141"/>
          </reference>
          <reference field="82" count="1" selected="0">
            <x v="548"/>
          </reference>
          <reference field="85" count="1" selected="0">
            <x v="7"/>
          </reference>
          <reference field="87" count="1" selected="0">
            <x v="1500"/>
          </reference>
          <reference field="88" count="1" selected="0">
            <x v="321"/>
          </reference>
        </references>
      </pivotArea>
    </format>
    <format dxfId="5715">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031"/>
          </reference>
          <reference field="82" count="1" selected="0">
            <x v="438"/>
          </reference>
          <reference field="85" count="1" selected="0">
            <x v="0"/>
          </reference>
          <reference field="87" count="1" selected="0">
            <x v="1390"/>
          </reference>
          <reference field="88" count="1" selected="0">
            <x v="211"/>
          </reference>
        </references>
      </pivotArea>
    </format>
    <format dxfId="5714">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032"/>
          </reference>
          <reference field="82" count="1" selected="0">
            <x v="439"/>
          </reference>
          <reference field="85" count="1" selected="0">
            <x v="0"/>
          </reference>
          <reference field="87" count="1" selected="0">
            <x v="1391"/>
          </reference>
          <reference field="88" count="1" selected="0">
            <x v="212"/>
          </reference>
        </references>
      </pivotArea>
    </format>
    <format dxfId="5713">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033"/>
          </reference>
          <reference field="82" count="1" selected="0">
            <x v="440"/>
          </reference>
          <reference field="85" count="1" selected="0">
            <x v="0"/>
          </reference>
          <reference field="87" count="1" selected="0">
            <x v="1392"/>
          </reference>
          <reference field="88" count="1" selected="0">
            <x v="213"/>
          </reference>
        </references>
      </pivotArea>
    </format>
    <format dxfId="5712">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73" count="1">
            <x v="9"/>
          </reference>
          <reference field="81" count="1" selected="0">
            <x v="1952"/>
          </reference>
          <reference field="82" count="1" selected="0">
            <x v="356"/>
          </reference>
          <reference field="85" count="1" selected="0">
            <x v="7"/>
          </reference>
          <reference field="87" count="1" selected="0">
            <x v="1311"/>
          </reference>
          <reference field="88" count="1" selected="0">
            <x v="129"/>
          </reference>
        </references>
      </pivotArea>
    </format>
    <format dxfId="5711">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1953"/>
          </reference>
          <reference field="82" count="1" selected="0">
            <x v="357"/>
          </reference>
          <reference field="85" count="1" selected="0">
            <x v="7"/>
          </reference>
          <reference field="87" count="1" selected="0">
            <x v="1312"/>
          </reference>
          <reference field="88" count="1" selected="0">
            <x v="130"/>
          </reference>
        </references>
      </pivotArea>
    </format>
    <format dxfId="5710">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034"/>
          </reference>
          <reference field="82" count="1" selected="0">
            <x v="441"/>
          </reference>
          <reference field="85" count="1" selected="0">
            <x v="0"/>
          </reference>
          <reference field="87" count="1" selected="0">
            <x v="1393"/>
          </reference>
          <reference field="88" count="1" selected="0">
            <x v="214"/>
          </reference>
        </references>
      </pivotArea>
    </format>
    <format dxfId="5709">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035"/>
          </reference>
          <reference field="82" count="1" selected="0">
            <x v="442"/>
          </reference>
          <reference field="85" count="1" selected="0">
            <x v="0"/>
          </reference>
          <reference field="87" count="1" selected="0">
            <x v="1394"/>
          </reference>
          <reference field="88" count="1" selected="0">
            <x v="215"/>
          </reference>
        </references>
      </pivotArea>
    </format>
    <format dxfId="5708">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036"/>
          </reference>
          <reference field="82" count="1" selected="0">
            <x v="443"/>
          </reference>
          <reference field="85" count="1" selected="0">
            <x v="0"/>
          </reference>
          <reference field="87" count="1" selected="0">
            <x v="1395"/>
          </reference>
          <reference field="88" count="1" selected="0">
            <x v="216"/>
          </reference>
        </references>
      </pivotArea>
    </format>
    <format dxfId="5707">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73" count="1">
            <x v="50"/>
          </reference>
          <reference field="81" count="1" selected="0">
            <x v="2095"/>
          </reference>
          <reference field="82" count="1" selected="0">
            <x v="502"/>
          </reference>
          <reference field="85" count="1" selected="0">
            <x v="2"/>
          </reference>
          <reference field="87" count="1" selected="0">
            <x v="1454"/>
          </reference>
          <reference field="88" count="1" selected="0">
            <x v="275"/>
          </reference>
        </references>
      </pivotArea>
    </format>
    <format dxfId="5706">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73" count="1">
            <x v="50"/>
          </reference>
          <reference field="81" count="1" selected="0">
            <x v="2094"/>
          </reference>
          <reference field="82" count="1" selected="0">
            <x v="501"/>
          </reference>
          <reference field="85" count="1" selected="0">
            <x v="2"/>
          </reference>
          <reference field="87" count="1" selected="0">
            <x v="1453"/>
          </reference>
          <reference field="88" count="1" selected="0">
            <x v="274"/>
          </reference>
        </references>
      </pivotArea>
    </format>
    <format dxfId="5705">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73" count="1">
            <x v="50"/>
          </reference>
          <reference field="81" count="1" selected="0">
            <x v="2096"/>
          </reference>
          <reference field="82" count="1" selected="0">
            <x v="503"/>
          </reference>
          <reference field="85" count="1" selected="0">
            <x v="2"/>
          </reference>
          <reference field="87" count="1" selected="0">
            <x v="1455"/>
          </reference>
          <reference field="88" count="1" selected="0">
            <x v="276"/>
          </reference>
        </references>
      </pivotArea>
    </format>
    <format dxfId="5704">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037"/>
          </reference>
          <reference field="82" count="1" selected="0">
            <x v="444"/>
          </reference>
          <reference field="85" count="1" selected="0">
            <x v="0"/>
          </reference>
          <reference field="87" count="1" selected="0">
            <x v="1396"/>
          </reference>
          <reference field="88" count="1" selected="0">
            <x v="217"/>
          </reference>
        </references>
      </pivotArea>
    </format>
    <format dxfId="5703">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038"/>
          </reference>
          <reference field="82" count="1" selected="0">
            <x v="445"/>
          </reference>
          <reference field="85" count="1" selected="0">
            <x v="0"/>
          </reference>
          <reference field="87" count="1" selected="0">
            <x v="1397"/>
          </reference>
          <reference field="88" count="1" selected="0">
            <x v="218"/>
          </reference>
        </references>
      </pivotArea>
    </format>
    <format dxfId="5702">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039"/>
          </reference>
          <reference field="82" count="1" selected="0">
            <x v="446"/>
          </reference>
          <reference field="85" count="1" selected="0">
            <x v="0"/>
          </reference>
          <reference field="87" count="1" selected="0">
            <x v="1398"/>
          </reference>
          <reference field="88" count="1" selected="0">
            <x v="219"/>
          </reference>
        </references>
      </pivotArea>
    </format>
    <format dxfId="5701">
      <pivotArea dataOnly="0" labelOnly="1" outline="0" fieldPosition="0">
        <references count="15">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2"/>
          </reference>
          <reference field="81" count="1" selected="0">
            <x v="2132"/>
          </reference>
          <reference field="82" count="1" selected="0">
            <x v="539"/>
          </reference>
          <reference field="85" count="1" selected="0">
            <x v="7"/>
          </reference>
          <reference field="87" count="1" selected="0">
            <x v="1491"/>
          </reference>
          <reference field="88" count="1" selected="0">
            <x v="312"/>
          </reference>
        </references>
      </pivotArea>
    </format>
    <format dxfId="5700">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236"/>
          </reference>
          <reference field="82" count="1" selected="0">
            <x v="643"/>
          </reference>
          <reference field="85" count="1" selected="0">
            <x v="4"/>
          </reference>
          <reference field="87" count="1" selected="0">
            <x v="1595"/>
          </reference>
          <reference field="88" count="1" selected="0">
            <x v="416"/>
          </reference>
        </references>
      </pivotArea>
    </format>
    <format dxfId="5699">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237"/>
          </reference>
          <reference field="82" count="1" selected="0">
            <x v="644"/>
          </reference>
          <reference field="85" count="1" selected="0">
            <x v="4"/>
          </reference>
          <reference field="87" count="1" selected="0">
            <x v="1596"/>
          </reference>
          <reference field="88" count="1" selected="0">
            <x v="417"/>
          </reference>
        </references>
      </pivotArea>
    </format>
    <format dxfId="5698">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238"/>
          </reference>
          <reference field="82" count="1" selected="0">
            <x v="645"/>
          </reference>
          <reference field="85" count="1" selected="0">
            <x v="4"/>
          </reference>
          <reference field="87" count="1" selected="0">
            <x v="1597"/>
          </reference>
          <reference field="88" count="1" selected="0">
            <x v="418"/>
          </reference>
        </references>
      </pivotArea>
    </format>
    <format dxfId="5697">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239"/>
          </reference>
          <reference field="82" count="1" selected="0">
            <x v="646"/>
          </reference>
          <reference field="85" count="1" selected="0">
            <x v="4"/>
          </reference>
          <reference field="87" count="1" selected="0">
            <x v="1598"/>
          </reference>
          <reference field="88" count="1" selected="0">
            <x v="419"/>
          </reference>
        </references>
      </pivotArea>
    </format>
    <format dxfId="5696">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695">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159"/>
          </reference>
          <reference field="82" count="1" selected="0">
            <x v="566"/>
          </reference>
          <reference field="85" count="1" selected="0">
            <x v="4"/>
          </reference>
          <reference field="87" count="1" selected="0">
            <x v="1518"/>
          </reference>
          <reference field="88" count="1" selected="0">
            <x v="339"/>
          </reference>
        </references>
      </pivotArea>
    </format>
    <format dxfId="5694">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160"/>
          </reference>
          <reference field="82" count="1" selected="0">
            <x v="567"/>
          </reference>
          <reference field="85" count="1" selected="0">
            <x v="4"/>
          </reference>
          <reference field="87" count="1" selected="0">
            <x v="1519"/>
          </reference>
          <reference field="88" count="1" selected="0">
            <x v="340"/>
          </reference>
        </references>
      </pivotArea>
    </format>
    <format dxfId="5693">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161"/>
          </reference>
          <reference field="82" count="1" selected="0">
            <x v="568"/>
          </reference>
          <reference field="85" count="1" selected="0">
            <x v="4"/>
          </reference>
          <reference field="87" count="1" selected="0">
            <x v="1520"/>
          </reference>
          <reference field="88" count="1" selected="0">
            <x v="341"/>
          </reference>
        </references>
      </pivotArea>
    </format>
    <format dxfId="5692">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162"/>
          </reference>
          <reference field="82" count="1" selected="0">
            <x v="569"/>
          </reference>
          <reference field="85" count="1" selected="0">
            <x v="4"/>
          </reference>
          <reference field="87" count="1" selected="0">
            <x v="1521"/>
          </reference>
          <reference field="88" count="1" selected="0">
            <x v="342"/>
          </reference>
        </references>
      </pivotArea>
    </format>
    <format dxfId="5691">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690">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73" count="1">
            <x v="5"/>
          </reference>
          <reference field="81" count="1" selected="0">
            <x v="1932"/>
          </reference>
          <reference field="82" count="1" selected="0">
            <x v="336"/>
          </reference>
          <reference field="85" count="1" selected="0">
            <x v="3"/>
          </reference>
          <reference field="87" count="1" selected="0">
            <x v="1291"/>
          </reference>
          <reference field="88" count="1" selected="0">
            <x v="109"/>
          </reference>
        </references>
      </pivotArea>
    </format>
    <format dxfId="5689">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73" count="1">
            <x v="5"/>
          </reference>
          <reference field="81" count="1" selected="0">
            <x v="1931"/>
          </reference>
          <reference field="82" count="1" selected="0">
            <x v="335"/>
          </reference>
          <reference field="85" count="1" selected="0">
            <x v="3"/>
          </reference>
          <reference field="87" count="1" selected="0">
            <x v="1290"/>
          </reference>
          <reference field="88" count="1" selected="0">
            <x v="108"/>
          </reference>
        </references>
      </pivotArea>
    </format>
    <format dxfId="5688">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155"/>
          </reference>
          <reference field="82" count="1" selected="0">
            <x v="562"/>
          </reference>
          <reference field="85" count="1" selected="0">
            <x v="4"/>
          </reference>
          <reference field="87" count="1" selected="0">
            <x v="1514"/>
          </reference>
          <reference field="88" count="1" selected="0">
            <x v="335"/>
          </reference>
        </references>
      </pivotArea>
    </format>
    <format dxfId="5687">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156"/>
          </reference>
          <reference field="82" count="1" selected="0">
            <x v="563"/>
          </reference>
          <reference field="85" count="1" selected="0">
            <x v="4"/>
          </reference>
          <reference field="87" count="1" selected="0">
            <x v="1515"/>
          </reference>
          <reference field="88" count="1" selected="0">
            <x v="336"/>
          </reference>
        </references>
      </pivotArea>
    </format>
    <format dxfId="5686">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157"/>
          </reference>
          <reference field="82" count="1" selected="0">
            <x v="564"/>
          </reference>
          <reference field="85" count="1" selected="0">
            <x v="4"/>
          </reference>
          <reference field="87" count="1" selected="0">
            <x v="1516"/>
          </reference>
          <reference field="88" count="1" selected="0">
            <x v="337"/>
          </reference>
        </references>
      </pivotArea>
    </format>
    <format dxfId="5685">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158"/>
          </reference>
          <reference field="82" count="1" selected="0">
            <x v="565"/>
          </reference>
          <reference field="85" count="1" selected="0">
            <x v="4"/>
          </reference>
          <reference field="87" count="1" selected="0">
            <x v="1517"/>
          </reference>
          <reference field="88" count="1" selected="0">
            <x v="338"/>
          </reference>
        </references>
      </pivotArea>
    </format>
    <format dxfId="5684">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683">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151"/>
          </reference>
          <reference field="82" count="1" selected="0">
            <x v="558"/>
          </reference>
          <reference field="85" count="1" selected="0">
            <x v="4"/>
          </reference>
          <reference field="87" count="1" selected="0">
            <x v="1510"/>
          </reference>
          <reference field="88" count="1" selected="0">
            <x v="331"/>
          </reference>
        </references>
      </pivotArea>
    </format>
    <format dxfId="5682">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152"/>
          </reference>
          <reference field="82" count="1" selected="0">
            <x v="559"/>
          </reference>
          <reference field="85" count="1" selected="0">
            <x v="4"/>
          </reference>
          <reference field="87" count="1" selected="0">
            <x v="1511"/>
          </reference>
          <reference field="88" count="1" selected="0">
            <x v="332"/>
          </reference>
        </references>
      </pivotArea>
    </format>
    <format dxfId="5681">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153"/>
          </reference>
          <reference field="82" count="1" selected="0">
            <x v="560"/>
          </reference>
          <reference field="85" count="1" selected="0">
            <x v="4"/>
          </reference>
          <reference field="87" count="1" selected="0">
            <x v="1512"/>
          </reference>
          <reference field="88" count="1" selected="0">
            <x v="333"/>
          </reference>
        </references>
      </pivotArea>
    </format>
    <format dxfId="5680">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154"/>
          </reference>
          <reference field="82" count="1" selected="0">
            <x v="561"/>
          </reference>
          <reference field="85" count="1" selected="0">
            <x v="4"/>
          </reference>
          <reference field="87" count="1" selected="0">
            <x v="1513"/>
          </reference>
          <reference field="88" count="1" selected="0">
            <x v="334"/>
          </reference>
        </references>
      </pivotArea>
    </format>
    <format dxfId="5679">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678">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677">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73" count="1">
            <x v="50"/>
          </reference>
          <reference field="81" count="1" selected="0">
            <x v="2072"/>
          </reference>
          <reference field="82" count="1" selected="0">
            <x v="479"/>
          </reference>
          <reference field="85" count="1" selected="0">
            <x v="0"/>
          </reference>
          <reference field="87" count="1" selected="0">
            <x v="1431"/>
          </reference>
          <reference field="88" count="1" selected="0">
            <x v="252"/>
          </reference>
        </references>
      </pivotArea>
    </format>
    <format dxfId="5676">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73" count="1">
            <x v="50"/>
          </reference>
          <reference field="81" count="1" selected="0">
            <x v="2073"/>
          </reference>
          <reference field="82" count="1" selected="0">
            <x v="480"/>
          </reference>
          <reference field="85" count="1" selected="0">
            <x v="0"/>
          </reference>
          <reference field="87" count="1" selected="0">
            <x v="1432"/>
          </reference>
          <reference field="88" count="1" selected="0">
            <x v="253"/>
          </reference>
        </references>
      </pivotArea>
    </format>
    <format dxfId="5675">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73" count="1">
            <x v="50"/>
          </reference>
          <reference field="81" count="1" selected="0">
            <x v="2071"/>
          </reference>
          <reference field="82" count="1" selected="0">
            <x v="478"/>
          </reference>
          <reference field="85" count="1" selected="0">
            <x v="0"/>
          </reference>
          <reference field="87" count="1" selected="0">
            <x v="1430"/>
          </reference>
          <reference field="88" count="1" selected="0">
            <x v="251"/>
          </reference>
        </references>
      </pivotArea>
    </format>
    <format dxfId="5674">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1945"/>
          </reference>
          <reference field="82" count="1" selected="0">
            <x v="349"/>
          </reference>
          <reference field="85" count="1" selected="0">
            <x v="7"/>
          </reference>
          <reference field="87" count="1" selected="0">
            <x v="1304"/>
          </reference>
          <reference field="88" count="1" selected="0">
            <x v="122"/>
          </reference>
        </references>
      </pivotArea>
    </format>
    <format dxfId="5673">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1946"/>
          </reference>
          <reference field="82" count="1" selected="0">
            <x v="350"/>
          </reference>
          <reference field="85" count="1" selected="0">
            <x v="7"/>
          </reference>
          <reference field="87" count="1" selected="0">
            <x v="1305"/>
          </reference>
          <reference field="88" count="1" selected="0">
            <x v="123"/>
          </reference>
        </references>
      </pivotArea>
    </format>
    <format dxfId="5672">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1947"/>
          </reference>
          <reference field="82" count="1" selected="0">
            <x v="351"/>
          </reference>
          <reference field="85" count="1" selected="0">
            <x v="7"/>
          </reference>
          <reference field="87" count="1" selected="0">
            <x v="1306"/>
          </reference>
          <reference field="88" count="1" selected="0">
            <x v="124"/>
          </reference>
        </references>
      </pivotArea>
    </format>
    <format dxfId="5671">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73" count="1">
            <x v="50"/>
          </reference>
          <reference field="81" count="1" selected="0">
            <x v="2000"/>
          </reference>
          <reference field="82" count="1" selected="0">
            <x v="406"/>
          </reference>
          <reference field="85" count="1" selected="0">
            <x v="4"/>
          </reference>
          <reference field="87" count="1" selected="0">
            <x v="1359"/>
          </reference>
          <reference field="88" count="1" selected="0">
            <x v="179"/>
          </reference>
        </references>
      </pivotArea>
    </format>
    <format dxfId="5670">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73" count="1">
            <x v="50"/>
          </reference>
          <reference field="81" count="1" selected="0">
            <x v="2001"/>
          </reference>
          <reference field="82" count="1" selected="0">
            <x v="407"/>
          </reference>
          <reference field="85" count="1" selected="0">
            <x v="4"/>
          </reference>
          <reference field="87" count="1" selected="0">
            <x v="1360"/>
          </reference>
          <reference field="88" count="1" selected="0">
            <x v="180"/>
          </reference>
        </references>
      </pivotArea>
    </format>
    <format dxfId="5669">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73" count="1">
            <x v="50"/>
          </reference>
          <reference field="81" count="1" selected="0">
            <x v="2002"/>
          </reference>
          <reference field="82" count="1" selected="0">
            <x v="408"/>
          </reference>
          <reference field="85" count="1" selected="0">
            <x v="4"/>
          </reference>
          <reference field="87" count="1" selected="0">
            <x v="1361"/>
          </reference>
          <reference field="88" count="1" selected="0">
            <x v="181"/>
          </reference>
        </references>
      </pivotArea>
    </format>
    <format dxfId="5668">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73" count="1">
            <x v="50"/>
          </reference>
          <reference field="81" count="1" selected="0">
            <x v="2003"/>
          </reference>
          <reference field="82" count="1" selected="0">
            <x v="409"/>
          </reference>
          <reference field="85" count="1" selected="0">
            <x v="4"/>
          </reference>
          <reference field="87" count="1" selected="0">
            <x v="1362"/>
          </reference>
          <reference field="88" count="1" selected="0">
            <x v="182"/>
          </reference>
        </references>
      </pivotArea>
    </format>
    <format dxfId="5667">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73" count="1">
            <x v="50"/>
          </reference>
          <reference field="81" count="1" selected="0">
            <x v="2083"/>
          </reference>
          <reference field="82" count="1" selected="0">
            <x v="490"/>
          </reference>
          <reference field="85" count="1" selected="0">
            <x v="0"/>
          </reference>
          <reference field="87" count="1" selected="0">
            <x v="1442"/>
          </reference>
          <reference field="88" count="1" selected="0">
            <x v="263"/>
          </reference>
        </references>
      </pivotArea>
    </format>
    <format dxfId="5666">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73" count="1">
            <x v="50"/>
          </reference>
          <reference field="81" count="1" selected="0">
            <x v="2084"/>
          </reference>
          <reference field="82" count="1" selected="0">
            <x v="491"/>
          </reference>
          <reference field="85" count="1" selected="0">
            <x v="0"/>
          </reference>
          <reference field="87" count="1" selected="0">
            <x v="1443"/>
          </reference>
          <reference field="88" count="1" selected="0">
            <x v="264"/>
          </reference>
        </references>
      </pivotArea>
    </format>
    <format dxfId="5665">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73" count="1">
            <x v="50"/>
          </reference>
          <reference field="81" count="1" selected="0">
            <x v="2085"/>
          </reference>
          <reference field="82" count="1" selected="0">
            <x v="492"/>
          </reference>
          <reference field="85" count="1" selected="0">
            <x v="0"/>
          </reference>
          <reference field="87" count="1" selected="0">
            <x v="1444"/>
          </reference>
          <reference field="88" count="1" selected="0">
            <x v="265"/>
          </reference>
        </references>
      </pivotArea>
    </format>
    <format dxfId="5664">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147"/>
          </reference>
          <reference field="82" count="1" selected="0">
            <x v="554"/>
          </reference>
          <reference field="85" count="1" selected="0">
            <x v="7"/>
          </reference>
          <reference field="87" count="1" selected="0">
            <x v="1506"/>
          </reference>
          <reference field="88" count="1" selected="0">
            <x v="327"/>
          </reference>
        </references>
      </pivotArea>
    </format>
    <format dxfId="5663">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7"/>
          </reference>
          <reference field="81" count="1" selected="0">
            <x v="2148"/>
          </reference>
          <reference field="82" count="1" selected="0">
            <x v="555"/>
          </reference>
          <reference field="85" count="1" selected="0">
            <x v="7"/>
          </reference>
          <reference field="87" count="1" selected="0">
            <x v="1507"/>
          </reference>
          <reference field="88" count="1" selected="0">
            <x v="328"/>
          </reference>
        </references>
      </pivotArea>
    </format>
    <format dxfId="5662">
      <pivotArea dataOnly="0" labelOnly="1" outline="0" fieldPosition="0">
        <references count="15">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1941"/>
          </reference>
          <reference field="82" count="1" selected="0">
            <x v="345"/>
          </reference>
          <reference field="85" count="1" selected="0">
            <x v="3"/>
          </reference>
          <reference field="87" count="1" selected="0">
            <x v="1300"/>
          </reference>
          <reference field="88" count="1" selected="0">
            <x v="118"/>
          </reference>
        </references>
      </pivotArea>
    </format>
    <format dxfId="5661">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50"/>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5660">
      <pivotArea dataOnly="0" labelOnly="1" outline="0" fieldPosition="0">
        <references count="15">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73" count="1">
            <x v="0"/>
          </reference>
          <reference field="81" count="1" selected="0">
            <x v="11"/>
          </reference>
          <reference field="82" count="1" selected="0">
            <x v="11"/>
          </reference>
          <reference field="85" count="1" selected="0">
            <x v="2"/>
          </reference>
          <reference field="87" count="1" selected="0">
            <x v="11"/>
          </reference>
          <reference field="88" count="1" selected="0">
            <x v="11"/>
          </reference>
        </references>
      </pivotArea>
    </format>
    <format dxfId="5659">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1954"/>
          </reference>
          <reference field="82" count="1" selected="0">
            <x v="358"/>
          </reference>
          <reference field="85" count="1" selected="0">
            <x v="7"/>
          </reference>
          <reference field="87" count="1" selected="0">
            <x v="1313"/>
          </reference>
          <reference field="88" count="1" selected="0">
            <x v="131"/>
          </reference>
        </references>
      </pivotArea>
    </format>
    <format dxfId="5658">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1955"/>
          </reference>
          <reference field="82" count="1" selected="0">
            <x v="359"/>
          </reference>
          <reference field="85" count="1" selected="0">
            <x v="7"/>
          </reference>
          <reference field="87" count="1" selected="0">
            <x v="1314"/>
          </reference>
          <reference field="88" count="1" selected="0">
            <x v="132"/>
          </reference>
        </references>
      </pivotArea>
    </format>
    <format dxfId="5657">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1948"/>
          </reference>
          <reference field="82" count="1" selected="0">
            <x v="352"/>
          </reference>
          <reference field="85" count="1" selected="0">
            <x v="7"/>
          </reference>
          <reference field="87" count="1" selected="0">
            <x v="1307"/>
          </reference>
          <reference field="88" count="1" selected="0">
            <x v="125"/>
          </reference>
        </references>
      </pivotArea>
    </format>
    <format dxfId="5656">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1949"/>
          </reference>
          <reference field="82" count="1" selected="0">
            <x v="353"/>
          </reference>
          <reference field="85" count="1" selected="0">
            <x v="7"/>
          </reference>
          <reference field="87" count="1" selected="0">
            <x v="1308"/>
          </reference>
          <reference field="88" count="1" selected="0">
            <x v="126"/>
          </reference>
        </references>
      </pivotArea>
    </format>
    <format dxfId="5655">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1947"/>
          </reference>
          <reference field="82" count="1" selected="0">
            <x v="351"/>
          </reference>
          <reference field="85" count="1" selected="0">
            <x v="7"/>
          </reference>
          <reference field="87" count="1" selected="0">
            <x v="1306"/>
          </reference>
          <reference field="88" count="1" selected="0">
            <x v="124"/>
          </reference>
        </references>
      </pivotArea>
    </format>
    <format dxfId="5654">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73" count="1">
            <x v="50"/>
          </reference>
          <reference field="81" count="1" selected="0">
            <x v="1997"/>
          </reference>
          <reference field="82" count="1" selected="0">
            <x v="402"/>
          </reference>
          <reference field="85" count="1" selected="0">
            <x v="4"/>
          </reference>
          <reference field="87" count="1" selected="0">
            <x v="1356"/>
          </reference>
          <reference field="88" count="1" selected="0">
            <x v="175"/>
          </reference>
        </references>
      </pivotArea>
    </format>
    <format dxfId="5653">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73" count="1">
            <x v="50"/>
          </reference>
          <reference field="81" count="1" selected="0">
            <x v="1995"/>
          </reference>
          <reference field="82" count="1" selected="0">
            <x v="403"/>
          </reference>
          <reference field="85" count="1" selected="0">
            <x v="4"/>
          </reference>
          <reference field="87" count="1" selected="0">
            <x v="1354"/>
          </reference>
          <reference field="88" count="1" selected="0">
            <x v="176"/>
          </reference>
        </references>
      </pivotArea>
    </format>
    <format dxfId="5652">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73" count="1">
            <x v="50"/>
          </reference>
          <reference field="81" count="1" selected="0">
            <x v="1998"/>
          </reference>
          <reference field="82" count="1" selected="0">
            <x v="404"/>
          </reference>
          <reference field="85" count="1" selected="0">
            <x v="4"/>
          </reference>
          <reference field="87" count="1" selected="0">
            <x v="1357"/>
          </reference>
          <reference field="88" count="1" selected="0">
            <x v="177"/>
          </reference>
        </references>
      </pivotArea>
    </format>
    <format dxfId="5651">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73" count="1">
            <x v="50"/>
          </reference>
          <reference field="81" count="1" selected="0">
            <x v="1999"/>
          </reference>
          <reference field="82" count="1" selected="0">
            <x v="405"/>
          </reference>
          <reference field="85" count="1" selected="0">
            <x v="4"/>
          </reference>
          <reference field="87" count="1" selected="0">
            <x v="1358"/>
          </reference>
          <reference field="88" count="1" selected="0">
            <x v="178"/>
          </reference>
        </references>
      </pivotArea>
    </format>
    <format dxfId="5650">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73" count="1">
            <x v="50"/>
          </reference>
          <reference field="81" count="1" selected="0">
            <x v="2080"/>
          </reference>
          <reference field="82" count="1" selected="0">
            <x v="487"/>
          </reference>
          <reference field="85" count="1" selected="0">
            <x v="0"/>
          </reference>
          <reference field="87" count="1" selected="0">
            <x v="1439"/>
          </reference>
          <reference field="88" count="1" selected="0">
            <x v="260"/>
          </reference>
        </references>
      </pivotArea>
    </format>
    <format dxfId="5649">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73" count="1">
            <x v="50"/>
          </reference>
          <reference field="81" count="1" selected="0">
            <x v="2081"/>
          </reference>
          <reference field="82" count="1" selected="0">
            <x v="488"/>
          </reference>
          <reference field="85" count="1" selected="0">
            <x v="0"/>
          </reference>
          <reference field="87" count="1" selected="0">
            <x v="1440"/>
          </reference>
          <reference field="88" count="1" selected="0">
            <x v="261"/>
          </reference>
        </references>
      </pivotArea>
    </format>
    <format dxfId="5648">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73" count="1">
            <x v="50"/>
          </reference>
          <reference field="81" count="1" selected="0">
            <x v="2082"/>
          </reference>
          <reference field="82" count="1" selected="0">
            <x v="489"/>
          </reference>
          <reference field="85" count="1" selected="0">
            <x v="0"/>
          </reference>
          <reference field="87" count="1" selected="0">
            <x v="1441"/>
          </reference>
          <reference field="88" count="1" selected="0">
            <x v="262"/>
          </reference>
        </references>
      </pivotArea>
    </format>
    <format dxfId="5647">
      <pivotArea dataOnly="0" labelOnly="1" outline="0" fieldPosition="0">
        <references count="15">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146"/>
          </reference>
          <reference field="82" count="1" selected="0">
            <x v="553"/>
          </reference>
          <reference field="85" count="1" selected="0">
            <x v="7"/>
          </reference>
          <reference field="87" count="1" selected="0">
            <x v="1505"/>
          </reference>
          <reference field="88" count="1" selected="0">
            <x v="326"/>
          </reference>
        </references>
      </pivotArea>
    </format>
    <format dxfId="5646">
      <pivotArea dataOnly="0" labelOnly="1" outline="0" fieldPosition="0">
        <references count="15">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1942"/>
          </reference>
          <reference field="82" count="1" selected="0">
            <x v="346"/>
          </reference>
          <reference field="85" count="1" selected="0">
            <x v="3"/>
          </reference>
          <reference field="87" count="1" selected="0">
            <x v="1301"/>
          </reference>
          <reference field="88" count="1" selected="0">
            <x v="119"/>
          </reference>
        </references>
      </pivotArea>
    </format>
    <format dxfId="5645">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1956"/>
          </reference>
          <reference field="82" count="1" selected="0">
            <x v="360"/>
          </reference>
          <reference field="85" count="1" selected="0">
            <x v="7"/>
          </reference>
          <reference field="87" count="1" selected="0">
            <x v="1315"/>
          </reference>
          <reference field="88" count="1" selected="0">
            <x v="133"/>
          </reference>
        </references>
      </pivotArea>
    </format>
    <format dxfId="5644">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1957"/>
          </reference>
          <reference field="82" count="1" selected="0">
            <x v="361"/>
          </reference>
          <reference field="85" count="1" selected="0">
            <x v="7"/>
          </reference>
          <reference field="87" count="1" selected="0">
            <x v="1316"/>
          </reference>
          <reference field="88" count="1" selected="0">
            <x v="134"/>
          </reference>
        </references>
      </pivotArea>
    </format>
    <format dxfId="5643">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73" count="1">
            <x v="5"/>
          </reference>
          <reference field="81" count="1" selected="0">
            <x v="1936"/>
          </reference>
          <reference field="82" count="1" selected="0">
            <x v="340"/>
          </reference>
          <reference field="85" count="1" selected="0">
            <x v="3"/>
          </reference>
          <reference field="87" count="1" selected="0">
            <x v="1295"/>
          </reference>
          <reference field="88" count="1" selected="0">
            <x v="113"/>
          </reference>
        </references>
      </pivotArea>
    </format>
    <format dxfId="5642">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73" count="1">
            <x v="5"/>
          </reference>
          <reference field="81" count="1" selected="0">
            <x v="1935"/>
          </reference>
          <reference field="82" count="1" selected="0">
            <x v="339"/>
          </reference>
          <reference field="85" count="1" selected="0">
            <x v="3"/>
          </reference>
          <reference field="87" count="1" selected="0">
            <x v="1294"/>
          </reference>
          <reference field="88" count="1" selected="0">
            <x v="112"/>
          </reference>
        </references>
      </pivotArea>
    </format>
    <format dxfId="5641">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73" count="1">
            <x v="5"/>
          </reference>
          <reference field="81" count="1" selected="0">
            <x v="1933"/>
          </reference>
          <reference field="82" count="1" selected="0">
            <x v="337"/>
          </reference>
          <reference field="85" count="1" selected="0">
            <x v="3"/>
          </reference>
          <reference field="87" count="1" selected="0">
            <x v="1292"/>
          </reference>
          <reference field="88" count="1" selected="0">
            <x v="110"/>
          </reference>
        </references>
      </pivotArea>
    </format>
    <format dxfId="5640">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73" count="1">
            <x v="5"/>
          </reference>
          <reference field="81" count="1" selected="0">
            <x v="1934"/>
          </reference>
          <reference field="82" count="1" selected="0">
            <x v="338"/>
          </reference>
          <reference field="85" count="1" selected="0">
            <x v="3"/>
          </reference>
          <reference field="87" count="1" selected="0">
            <x v="1293"/>
          </reference>
          <reference field="88" count="1" selected="0">
            <x v="111"/>
          </reference>
        </references>
      </pivotArea>
    </format>
    <format dxfId="5639">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50"/>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5638">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50"/>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5637">
      <pivotArea dataOnly="0" labelOnly="1" outline="0" fieldPosition="0">
        <references count="15">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012"/>
          </reference>
          <reference field="82" count="1" selected="0">
            <x v="418"/>
          </reference>
          <reference field="85" count="1" selected="0">
            <x v="4"/>
          </reference>
          <reference field="87" count="1" selected="0">
            <x v="1371"/>
          </reference>
          <reference field="88" count="1" selected="0">
            <x v="191"/>
          </reference>
        </references>
      </pivotArea>
    </format>
    <format dxfId="5636">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73" count="1">
            <x v="50"/>
          </reference>
          <reference field="81" count="1" selected="0">
            <x v="2074"/>
          </reference>
          <reference field="82" count="1" selected="0">
            <x v="481"/>
          </reference>
          <reference field="85" count="1" selected="0">
            <x v="0"/>
          </reference>
          <reference field="87" count="1" selected="0">
            <x v="1433"/>
          </reference>
          <reference field="88" count="1" selected="0">
            <x v="254"/>
          </reference>
        </references>
      </pivotArea>
    </format>
    <format dxfId="5635">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73" count="1">
            <x v="50"/>
          </reference>
          <reference field="81" count="1" selected="0">
            <x v="2075"/>
          </reference>
          <reference field="82" count="1" selected="0">
            <x v="482"/>
          </reference>
          <reference field="85" count="1" selected="0">
            <x v="0"/>
          </reference>
          <reference field="87" count="1" selected="0">
            <x v="1434"/>
          </reference>
          <reference field="88" count="1" selected="0">
            <x v="255"/>
          </reference>
        </references>
      </pivotArea>
    </format>
    <format dxfId="5634">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73" count="1">
            <x v="50"/>
          </reference>
          <reference field="81" count="1" selected="0">
            <x v="2076"/>
          </reference>
          <reference field="82" count="1" selected="0">
            <x v="483"/>
          </reference>
          <reference field="85" count="1" selected="0">
            <x v="0"/>
          </reference>
          <reference field="87" count="1" selected="0">
            <x v="1435"/>
          </reference>
          <reference field="88" count="1" selected="0">
            <x v="256"/>
          </reference>
        </references>
      </pivotArea>
    </format>
    <format dxfId="5633">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087"/>
          </reference>
          <reference field="82" count="1" selected="0">
            <x v="494"/>
          </reference>
          <reference field="85" count="1" selected="0">
            <x v="2"/>
          </reference>
          <reference field="87" count="1" selected="0">
            <x v="1446"/>
          </reference>
          <reference field="88" count="1" selected="0">
            <x v="267"/>
          </reference>
        </references>
      </pivotArea>
    </format>
    <format dxfId="5632">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088"/>
          </reference>
          <reference field="82" count="1" selected="0">
            <x v="495"/>
          </reference>
          <reference field="85" count="1" selected="0">
            <x v="2"/>
          </reference>
          <reference field="87" count="1" selected="0">
            <x v="1447"/>
          </reference>
          <reference field="88" count="1" selected="0">
            <x v="268"/>
          </reference>
        </references>
      </pivotArea>
    </format>
    <format dxfId="5631">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086"/>
          </reference>
          <reference field="82" count="1" selected="0">
            <x v="493"/>
          </reference>
          <reference field="85" count="1" selected="0">
            <x v="2"/>
          </reference>
          <reference field="87" count="1" selected="0">
            <x v="1445"/>
          </reference>
          <reference field="88" count="1" selected="0">
            <x v="266"/>
          </reference>
        </references>
      </pivotArea>
    </format>
    <format dxfId="5630">
      <pivotArea dataOnly="0" labelOnly="1" outline="0" fieldPosition="0">
        <references count="15">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013"/>
          </reference>
          <reference field="82" count="1" selected="0">
            <x v="419"/>
          </reference>
          <reference field="85" count="1" selected="0">
            <x v="4"/>
          </reference>
          <reference field="87" count="1" selected="0">
            <x v="1372"/>
          </reference>
          <reference field="88" count="1" selected="0">
            <x v="192"/>
          </reference>
        </references>
      </pivotArea>
    </format>
    <format dxfId="5629">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73" count="1">
            <x v="50"/>
          </reference>
          <reference field="81" count="1" selected="0">
            <x v="2077"/>
          </reference>
          <reference field="82" count="1" selected="0">
            <x v="484"/>
          </reference>
          <reference field="85" count="1" selected="0">
            <x v="0"/>
          </reference>
          <reference field="87" count="1" selected="0">
            <x v="1436"/>
          </reference>
          <reference field="88" count="1" selected="0">
            <x v="257"/>
          </reference>
        </references>
      </pivotArea>
    </format>
    <format dxfId="5628">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73" count="1">
            <x v="50"/>
          </reference>
          <reference field="81" count="1" selected="0">
            <x v="2078"/>
          </reference>
          <reference field="82" count="1" selected="0">
            <x v="485"/>
          </reference>
          <reference field="85" count="1" selected="0">
            <x v="0"/>
          </reference>
          <reference field="87" count="1" selected="0">
            <x v="1437"/>
          </reference>
          <reference field="88" count="1" selected="0">
            <x v="258"/>
          </reference>
        </references>
      </pivotArea>
    </format>
    <format dxfId="5627">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73" count="1">
            <x v="50"/>
          </reference>
          <reference field="81" count="1" selected="0">
            <x v="2079"/>
          </reference>
          <reference field="82" count="1" selected="0">
            <x v="486"/>
          </reference>
          <reference field="85" count="1" selected="0">
            <x v="0"/>
          </reference>
          <reference field="87" count="1" selected="0">
            <x v="1438"/>
          </reference>
          <reference field="88" count="1" selected="0">
            <x v="259"/>
          </reference>
        </references>
      </pivotArea>
    </format>
    <format dxfId="5626">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090"/>
          </reference>
          <reference field="82" count="1" selected="0">
            <x v="497"/>
          </reference>
          <reference field="85" count="1" selected="0">
            <x v="2"/>
          </reference>
          <reference field="87" count="1" selected="0">
            <x v="1449"/>
          </reference>
          <reference field="88" count="1" selected="0">
            <x v="270"/>
          </reference>
        </references>
      </pivotArea>
    </format>
    <format dxfId="5625">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091"/>
          </reference>
          <reference field="82" count="1" selected="0">
            <x v="498"/>
          </reference>
          <reference field="85" count="1" selected="0">
            <x v="2"/>
          </reference>
          <reference field="87" count="1" selected="0">
            <x v="1450"/>
          </reference>
          <reference field="88" count="1" selected="0">
            <x v="271"/>
          </reference>
        </references>
      </pivotArea>
    </format>
    <format dxfId="5624">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73" count="1">
            <x v="50"/>
          </reference>
          <reference field="81" count="1" selected="0">
            <x v="2092"/>
          </reference>
          <reference field="82" count="1" selected="0">
            <x v="499"/>
          </reference>
          <reference field="85" count="1" selected="0">
            <x v="2"/>
          </reference>
          <reference field="87" count="1" selected="0">
            <x v="1451"/>
          </reference>
          <reference field="88" count="1" selected="0">
            <x v="272"/>
          </reference>
        </references>
      </pivotArea>
    </format>
    <format dxfId="5623">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089"/>
          </reference>
          <reference field="82" count="1" selected="0">
            <x v="496"/>
          </reference>
          <reference field="85" count="1" selected="0">
            <x v="2"/>
          </reference>
          <reference field="87" count="1" selected="0">
            <x v="1448"/>
          </reference>
          <reference field="88" count="1" selected="0">
            <x v="269"/>
          </reference>
        </references>
      </pivotArea>
    </format>
    <format dxfId="5622">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73" count="1">
            <x v="50"/>
          </reference>
          <reference field="81" count="1" selected="0">
            <x v="2093"/>
          </reference>
          <reference field="82" count="1" selected="0">
            <x v="500"/>
          </reference>
          <reference field="85" count="1" selected="0">
            <x v="2"/>
          </reference>
          <reference field="87" count="1" selected="0">
            <x v="1452"/>
          </reference>
          <reference field="88" count="1" selected="0">
            <x v="273"/>
          </reference>
        </references>
      </pivotArea>
    </format>
    <format dxfId="5621">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50"/>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5620">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50"/>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5619">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73" count="1">
            <x v="51"/>
          </reference>
          <reference field="81" count="1" selected="0">
            <x v="2144"/>
          </reference>
          <reference field="82" count="1" selected="0">
            <x v="551"/>
          </reference>
          <reference field="85" count="1" selected="0">
            <x v="7"/>
          </reference>
          <reference field="87" count="1" selected="0">
            <x v="1503"/>
          </reference>
          <reference field="88" count="1" selected="0">
            <x v="324"/>
          </reference>
        </references>
      </pivotArea>
    </format>
    <format dxfId="5618">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73" count="1">
            <x v="7"/>
          </reference>
          <reference field="81" count="1" selected="0">
            <x v="2145"/>
          </reference>
          <reference field="82" count="1" selected="0">
            <x v="552"/>
          </reference>
          <reference field="85" count="1" selected="0">
            <x v="7"/>
          </reference>
          <reference field="87" count="1" selected="0">
            <x v="1504"/>
          </reference>
          <reference field="88" count="1" selected="0">
            <x v="325"/>
          </reference>
        </references>
      </pivotArea>
    </format>
    <format dxfId="5617">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215"/>
          </reference>
          <reference field="82" count="1" selected="0">
            <x v="622"/>
          </reference>
          <reference field="85" count="1" selected="0">
            <x v="4"/>
          </reference>
          <reference field="87" count="1" selected="0">
            <x v="1574"/>
          </reference>
          <reference field="88" count="1" selected="0">
            <x v="395"/>
          </reference>
        </references>
      </pivotArea>
    </format>
    <format dxfId="5616">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216"/>
          </reference>
          <reference field="82" count="1" selected="0">
            <x v="623"/>
          </reference>
          <reference field="85" count="1" selected="0">
            <x v="4"/>
          </reference>
          <reference field="87" count="1" selected="0">
            <x v="1575"/>
          </reference>
          <reference field="88" count="1" selected="0">
            <x v="396"/>
          </reference>
        </references>
      </pivotArea>
    </format>
    <format dxfId="5615">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2217"/>
          </reference>
          <reference field="82" count="1" selected="0">
            <x v="624"/>
          </reference>
          <reference field="85" count="1" selected="0">
            <x v="4"/>
          </reference>
          <reference field="87" count="1" selected="0">
            <x v="1576"/>
          </reference>
          <reference field="88" count="1" selected="0">
            <x v="397"/>
          </reference>
        </references>
      </pivotArea>
    </format>
    <format dxfId="5614">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214"/>
          </reference>
          <reference field="82" count="1" selected="0">
            <x v="621"/>
          </reference>
          <reference field="85" count="1" selected="0">
            <x v="4"/>
          </reference>
          <reference field="87" count="1" selected="0">
            <x v="1573"/>
          </reference>
          <reference field="88" count="1" selected="0">
            <x v="394"/>
          </reference>
        </references>
      </pivotArea>
    </format>
    <format dxfId="5613">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223"/>
          </reference>
          <reference field="82" count="1" selected="0">
            <x v="630"/>
          </reference>
          <reference field="85" count="1" selected="0">
            <x v="4"/>
          </reference>
          <reference field="87" count="1" selected="0">
            <x v="1582"/>
          </reference>
          <reference field="88" count="1" selected="0">
            <x v="403"/>
          </reference>
        </references>
      </pivotArea>
    </format>
    <format dxfId="5612">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224"/>
          </reference>
          <reference field="82" count="1" selected="0">
            <x v="631"/>
          </reference>
          <reference field="85" count="1" selected="0">
            <x v="4"/>
          </reference>
          <reference field="87" count="1" selected="0">
            <x v="1583"/>
          </reference>
          <reference field="88" count="1" selected="0">
            <x v="404"/>
          </reference>
        </references>
      </pivotArea>
    </format>
    <format dxfId="5611">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2225"/>
          </reference>
          <reference field="82" count="1" selected="0">
            <x v="632"/>
          </reference>
          <reference field="85" count="1" selected="0">
            <x v="4"/>
          </reference>
          <reference field="87" count="1" selected="0">
            <x v="1584"/>
          </reference>
          <reference field="88" count="1" selected="0">
            <x v="405"/>
          </reference>
        </references>
      </pivotArea>
    </format>
    <format dxfId="5610">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222"/>
          </reference>
          <reference field="82" count="1" selected="0">
            <x v="629"/>
          </reference>
          <reference field="85" count="1" selected="0">
            <x v="4"/>
          </reference>
          <reference field="87" count="1" selected="0">
            <x v="1581"/>
          </reference>
          <reference field="88" count="1" selected="0">
            <x v="402"/>
          </reference>
        </references>
      </pivotArea>
    </format>
    <format dxfId="5609">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73" count="1">
            <x v="50"/>
          </reference>
          <reference field="81" count="1" selected="0">
            <x v="2220"/>
          </reference>
          <reference field="82" count="1" selected="0">
            <x v="627"/>
          </reference>
          <reference field="85" count="1" selected="0">
            <x v="4"/>
          </reference>
          <reference field="87" count="1" selected="0">
            <x v="1579"/>
          </reference>
          <reference field="88" count="1" selected="0">
            <x v="400"/>
          </reference>
        </references>
      </pivotArea>
    </format>
    <format dxfId="5608">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73" count="1">
            <x v="50"/>
          </reference>
          <reference field="81" count="1" selected="0">
            <x v="2221"/>
          </reference>
          <reference field="82" count="1" selected="0">
            <x v="628"/>
          </reference>
          <reference field="85" count="1" selected="0">
            <x v="4"/>
          </reference>
          <reference field="87" count="1" selected="0">
            <x v="1580"/>
          </reference>
          <reference field="88" count="1" selected="0">
            <x v="401"/>
          </reference>
        </references>
      </pivotArea>
    </format>
    <format dxfId="5607">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73" count="1">
            <x v="50"/>
          </reference>
          <reference field="81" count="1" selected="0">
            <x v="2219"/>
          </reference>
          <reference field="82" count="1" selected="0">
            <x v="626"/>
          </reference>
          <reference field="85" count="1" selected="0">
            <x v="4"/>
          </reference>
          <reference field="87" count="1" selected="0">
            <x v="1578"/>
          </reference>
          <reference field="88" count="1" selected="0">
            <x v="399"/>
          </reference>
        </references>
      </pivotArea>
    </format>
    <format dxfId="5606">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73" count="1">
            <x v="50"/>
          </reference>
          <reference field="81" count="1" selected="0">
            <x v="2218"/>
          </reference>
          <reference field="82" count="1" selected="0">
            <x v="625"/>
          </reference>
          <reference field="85" count="1" selected="0">
            <x v="4"/>
          </reference>
          <reference field="87" count="1" selected="0">
            <x v="1577"/>
          </reference>
          <reference field="88" count="1" selected="0">
            <x v="398"/>
          </reference>
        </references>
      </pivotArea>
    </format>
    <format dxfId="5605">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73" count="1">
            <x v="51"/>
          </reference>
          <reference field="81" count="1" selected="0">
            <x v="1962"/>
          </reference>
          <reference field="82" count="1" selected="0">
            <x v="367"/>
          </reference>
          <reference field="85" count="1" selected="0">
            <x v="7"/>
          </reference>
          <reference field="87" count="1" selected="0">
            <x v="1321"/>
          </reference>
          <reference field="88" count="1" selected="0">
            <x v="140"/>
          </reference>
        </references>
      </pivotArea>
    </format>
    <format dxfId="5604">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73" count="1">
            <x v="9"/>
          </reference>
          <reference field="81" count="1" selected="0">
            <x v="1963"/>
          </reference>
          <reference field="82" count="1" selected="0">
            <x v="368"/>
          </reference>
          <reference field="85" count="1" selected="0">
            <x v="7"/>
          </reference>
          <reference field="87" count="1" selected="0">
            <x v="1322"/>
          </reference>
          <reference field="88" count="1" selected="0">
            <x v="141"/>
          </reference>
        </references>
      </pivotArea>
    </format>
    <format dxfId="5603">
      <pivotArea dataOnly="0" labelOnly="1" outline="0" fieldPosition="0">
        <references count="15">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73" count="1">
            <x v="50"/>
          </reference>
          <reference field="81" count="1" selected="0">
            <x v="2115"/>
          </reference>
          <reference field="82" count="1" selected="0">
            <x v="522"/>
          </reference>
          <reference field="85" count="1" selected="0">
            <x v="2"/>
          </reference>
          <reference field="87" count="1" selected="0">
            <x v="1474"/>
          </reference>
          <reference field="88" count="1" selected="0">
            <x v="295"/>
          </reference>
        </references>
      </pivotArea>
    </format>
    <format dxfId="5602">
      <pivotArea dataOnly="0" labelOnly="1" outline="0" fieldPosition="0">
        <references count="15">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73" count="1">
            <x v="9"/>
          </reference>
          <reference field="81" count="1" selected="0">
            <x v="2232"/>
          </reference>
          <reference field="82" count="1" selected="0">
            <x v="639"/>
          </reference>
          <reference field="85" count="1" selected="0">
            <x v="4"/>
          </reference>
          <reference field="87" count="1" selected="0">
            <x v="1591"/>
          </reference>
          <reference field="88" count="1" selected="0">
            <x v="412"/>
          </reference>
        </references>
      </pivotArea>
    </format>
    <format dxfId="5601">
      <pivotArea dataOnly="0" labelOnly="1" outline="0" fieldPosition="0">
        <references count="15">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73" count="1">
            <x v="2"/>
          </reference>
          <reference field="81" count="1" selected="0">
            <x v="2233"/>
          </reference>
          <reference field="82" count="1" selected="0">
            <x v="640"/>
          </reference>
          <reference field="85" count="1" selected="0">
            <x v="4"/>
          </reference>
          <reference field="87" count="1" selected="0">
            <x v="1592"/>
          </reference>
          <reference field="88" count="1" selected="0">
            <x v="413"/>
          </reference>
        </references>
      </pivotArea>
    </format>
    <format dxfId="5600">
      <pivotArea dataOnly="0" labelOnly="1" outline="0" fieldPosition="0">
        <references count="15">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73" count="1">
            <x v="46"/>
          </reference>
          <reference field="81" count="1" selected="0">
            <x v="1030"/>
          </reference>
          <reference field="82" count="1" selected="0">
            <x v="26"/>
          </reference>
          <reference field="85" count="1" selected="0">
            <x v="2"/>
          </reference>
          <reference field="87" count="1" selected="0">
            <x v="264"/>
          </reference>
          <reference field="88" count="1" selected="0">
            <x v="26"/>
          </reference>
        </references>
      </pivotArea>
    </format>
    <format dxfId="5599">
      <pivotArea dataOnly="0" labelOnly="1" outline="0" fieldPosition="0">
        <references count="15">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73" count="1">
            <x v="1"/>
          </reference>
          <reference field="81" count="1" selected="0">
            <x v="2235"/>
          </reference>
          <reference field="82" count="1" selected="0">
            <x v="642"/>
          </reference>
          <reference field="85" count="1" selected="0">
            <x v="4"/>
          </reference>
          <reference field="87" count="1" selected="0">
            <x v="1594"/>
          </reference>
          <reference field="88" count="1" selected="0">
            <x v="415"/>
          </reference>
        </references>
      </pivotArea>
    </format>
    <format dxfId="5598">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1981"/>
          </reference>
          <reference field="82" count="1" selected="0">
            <x v="386"/>
          </reference>
          <reference field="85" count="1" selected="0">
            <x v="4"/>
          </reference>
          <reference field="87" count="1" selected="0">
            <x v="1340"/>
          </reference>
          <reference field="88" count="1" selected="0">
            <x v="159"/>
          </reference>
        </references>
      </pivotArea>
    </format>
    <format dxfId="5597">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1984"/>
          </reference>
          <reference field="82" count="1" selected="0">
            <x v="389"/>
          </reference>
          <reference field="85" count="1" selected="0">
            <x v="4"/>
          </reference>
          <reference field="87" count="1" selected="0">
            <x v="1343"/>
          </reference>
          <reference field="88" count="1" selected="0">
            <x v="162"/>
          </reference>
        </references>
      </pivotArea>
    </format>
    <format dxfId="5596">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1982"/>
          </reference>
          <reference field="82" count="1" selected="0">
            <x v="387"/>
          </reference>
          <reference field="85" count="1" selected="0">
            <x v="4"/>
          </reference>
          <reference field="87" count="1" selected="0">
            <x v="1341"/>
          </reference>
          <reference field="88" count="1" selected="0">
            <x v="160"/>
          </reference>
        </references>
      </pivotArea>
    </format>
    <format dxfId="5595">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1983"/>
          </reference>
          <reference field="82" count="1" selected="0">
            <x v="388"/>
          </reference>
          <reference field="85" count="1" selected="0">
            <x v="4"/>
          </reference>
          <reference field="87" count="1" selected="0">
            <x v="1342"/>
          </reference>
          <reference field="88" count="1" selected="0">
            <x v="161"/>
          </reference>
        </references>
      </pivotArea>
    </format>
    <format dxfId="5594">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5593">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181"/>
          </reference>
          <reference field="82" count="1" selected="0">
            <x v="588"/>
          </reference>
          <reference field="85" count="1" selected="0">
            <x v="4"/>
          </reference>
          <reference field="87" count="1" selected="0">
            <x v="1540"/>
          </reference>
          <reference field="88" count="1" selected="0">
            <x v="361"/>
          </reference>
        </references>
      </pivotArea>
    </format>
    <format dxfId="5592">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177"/>
          </reference>
          <reference field="82" count="1" selected="0">
            <x v="584"/>
          </reference>
          <reference field="85" count="1" selected="0">
            <x v="4"/>
          </reference>
          <reference field="87" count="1" selected="0">
            <x v="1536"/>
          </reference>
          <reference field="88" count="1" selected="0">
            <x v="357"/>
          </reference>
        </references>
      </pivotArea>
    </format>
    <format dxfId="5591">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178"/>
          </reference>
          <reference field="82" count="1" selected="0">
            <x v="585"/>
          </reference>
          <reference field="85" count="1" selected="0">
            <x v="4"/>
          </reference>
          <reference field="87" count="1" selected="0">
            <x v="1537"/>
          </reference>
          <reference field="88" count="1" selected="0">
            <x v="358"/>
          </reference>
        </references>
      </pivotArea>
    </format>
    <format dxfId="5590">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179"/>
          </reference>
          <reference field="82" count="1" selected="0">
            <x v="586"/>
          </reference>
          <reference field="85" count="1" selected="0">
            <x v="4"/>
          </reference>
          <reference field="87" count="1" selected="0">
            <x v="1538"/>
          </reference>
          <reference field="88" count="1" selected="0">
            <x v="359"/>
          </reference>
        </references>
      </pivotArea>
    </format>
    <format dxfId="5589">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180"/>
          </reference>
          <reference field="82" count="1" selected="0">
            <x v="587"/>
          </reference>
          <reference field="85" count="1" selected="0">
            <x v="4"/>
          </reference>
          <reference field="87" count="1" selected="0">
            <x v="1539"/>
          </reference>
          <reference field="88" count="1" selected="0">
            <x v="360"/>
          </reference>
        </references>
      </pivotArea>
    </format>
    <format dxfId="5588">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1977"/>
          </reference>
          <reference field="82" count="1" selected="0">
            <x v="382"/>
          </reference>
          <reference field="85" count="1" selected="0">
            <x v="4"/>
          </reference>
          <reference field="87" count="1" selected="0">
            <x v="1336"/>
          </reference>
          <reference field="88" count="1" selected="0">
            <x v="155"/>
          </reference>
        </references>
      </pivotArea>
    </format>
    <format dxfId="5587">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1980"/>
          </reference>
          <reference field="82" count="1" selected="0">
            <x v="385"/>
          </reference>
          <reference field="85" count="1" selected="0">
            <x v="4"/>
          </reference>
          <reference field="87" count="1" selected="0">
            <x v="1339"/>
          </reference>
          <reference field="88" count="1" selected="0">
            <x v="158"/>
          </reference>
        </references>
      </pivotArea>
    </format>
    <format dxfId="5586">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1978"/>
          </reference>
          <reference field="82" count="1" selected="0">
            <x v="383"/>
          </reference>
          <reference field="85" count="1" selected="0">
            <x v="4"/>
          </reference>
          <reference field="87" count="1" selected="0">
            <x v="1337"/>
          </reference>
          <reference field="88" count="1" selected="0">
            <x v="156"/>
          </reference>
        </references>
      </pivotArea>
    </format>
    <format dxfId="5585">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1979"/>
          </reference>
          <reference field="82" count="1" selected="0">
            <x v="384"/>
          </reference>
          <reference field="85" count="1" selected="0">
            <x v="4"/>
          </reference>
          <reference field="87" count="1" selected="0">
            <x v="1338"/>
          </reference>
          <reference field="88" count="1" selected="0">
            <x v="157"/>
          </reference>
        </references>
      </pivotArea>
    </format>
    <format dxfId="5584">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5583">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176"/>
          </reference>
          <reference field="82" count="1" selected="0">
            <x v="583"/>
          </reference>
          <reference field="85" count="1" selected="0">
            <x v="4"/>
          </reference>
          <reference field="87" count="1" selected="0">
            <x v="1535"/>
          </reference>
          <reference field="88" count="1" selected="0">
            <x v="356"/>
          </reference>
        </references>
      </pivotArea>
    </format>
    <format dxfId="5582">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172"/>
          </reference>
          <reference field="82" count="1" selected="0">
            <x v="579"/>
          </reference>
          <reference field="85" count="1" selected="0">
            <x v="4"/>
          </reference>
          <reference field="87" count="1" selected="0">
            <x v="1531"/>
          </reference>
          <reference field="88" count="1" selected="0">
            <x v="352"/>
          </reference>
        </references>
      </pivotArea>
    </format>
    <format dxfId="5581">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173"/>
          </reference>
          <reference field="82" count="1" selected="0">
            <x v="580"/>
          </reference>
          <reference field="85" count="1" selected="0">
            <x v="4"/>
          </reference>
          <reference field="87" count="1" selected="0">
            <x v="1532"/>
          </reference>
          <reference field="88" count="1" selected="0">
            <x v="353"/>
          </reference>
        </references>
      </pivotArea>
    </format>
    <format dxfId="5580">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174"/>
          </reference>
          <reference field="82" count="1" selected="0">
            <x v="581"/>
          </reference>
          <reference field="85" count="1" selected="0">
            <x v="4"/>
          </reference>
          <reference field="87" count="1" selected="0">
            <x v="1533"/>
          </reference>
          <reference field="88" count="1" selected="0">
            <x v="354"/>
          </reference>
        </references>
      </pivotArea>
    </format>
    <format dxfId="5579">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175"/>
          </reference>
          <reference field="82" count="1" selected="0">
            <x v="582"/>
          </reference>
          <reference field="85" count="1" selected="0">
            <x v="4"/>
          </reference>
          <reference field="87" count="1" selected="0">
            <x v="1534"/>
          </reference>
          <reference field="88" count="1" selected="0">
            <x v="355"/>
          </reference>
        </references>
      </pivotArea>
    </format>
    <format dxfId="5578">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022"/>
          </reference>
          <reference field="82" count="1" selected="0">
            <x v="428"/>
          </reference>
          <reference field="85" count="1" selected="0">
            <x v="4"/>
          </reference>
          <reference field="87" count="1" selected="0">
            <x v="1381"/>
          </reference>
          <reference field="88" count="1" selected="0">
            <x v="201"/>
          </reference>
        </references>
      </pivotArea>
    </format>
    <format dxfId="5577">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017"/>
          </reference>
          <reference field="82" count="1" selected="0">
            <x v="431"/>
          </reference>
          <reference field="85" count="1" selected="0">
            <x v="4"/>
          </reference>
          <reference field="87" count="1" selected="0">
            <x v="1376"/>
          </reference>
          <reference field="88" count="1" selected="0">
            <x v="204"/>
          </reference>
        </references>
      </pivotArea>
    </format>
    <format dxfId="5576">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023"/>
          </reference>
          <reference field="82" count="1" selected="0">
            <x v="429"/>
          </reference>
          <reference field="85" count="1" selected="0">
            <x v="4"/>
          </reference>
          <reference field="87" count="1" selected="0">
            <x v="1382"/>
          </reference>
          <reference field="88" count="1" selected="0">
            <x v="202"/>
          </reference>
        </references>
      </pivotArea>
    </format>
    <format dxfId="5575">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024"/>
          </reference>
          <reference field="82" count="1" selected="0">
            <x v="430"/>
          </reference>
          <reference field="85" count="1" selected="0">
            <x v="4"/>
          </reference>
          <reference field="87" count="1" selected="0">
            <x v="1383"/>
          </reference>
          <reference field="88" count="1" selected="0">
            <x v="203"/>
          </reference>
        </references>
      </pivotArea>
    </format>
    <format dxfId="5574">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5573">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171"/>
          </reference>
          <reference field="82" count="1" selected="0">
            <x v="578"/>
          </reference>
          <reference field="85" count="1" selected="0">
            <x v="4"/>
          </reference>
          <reference field="87" count="1" selected="0">
            <x v="1530"/>
          </reference>
          <reference field="88" count="1" selected="0">
            <x v="351"/>
          </reference>
        </references>
      </pivotArea>
    </format>
    <format dxfId="5572">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167"/>
          </reference>
          <reference field="82" count="1" selected="0">
            <x v="574"/>
          </reference>
          <reference field="85" count="1" selected="0">
            <x v="4"/>
          </reference>
          <reference field="87" count="1" selected="0">
            <x v="1526"/>
          </reference>
          <reference field="88" count="1" selected="0">
            <x v="347"/>
          </reference>
        </references>
      </pivotArea>
    </format>
    <format dxfId="5571">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168"/>
          </reference>
          <reference field="82" count="1" selected="0">
            <x v="575"/>
          </reference>
          <reference field="85" count="1" selected="0">
            <x v="4"/>
          </reference>
          <reference field="87" count="1" selected="0">
            <x v="1527"/>
          </reference>
          <reference field="88" count="1" selected="0">
            <x v="348"/>
          </reference>
        </references>
      </pivotArea>
    </format>
    <format dxfId="5570">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169"/>
          </reference>
          <reference field="82" count="1" selected="0">
            <x v="576"/>
          </reference>
          <reference field="85" count="1" selected="0">
            <x v="4"/>
          </reference>
          <reference field="87" count="1" selected="0">
            <x v="1528"/>
          </reference>
          <reference field="88" count="1" selected="0">
            <x v="349"/>
          </reference>
        </references>
      </pivotArea>
    </format>
    <format dxfId="5569">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170"/>
          </reference>
          <reference field="82" count="1" selected="0">
            <x v="577"/>
          </reference>
          <reference field="85" count="1" selected="0">
            <x v="4"/>
          </reference>
          <reference field="87" count="1" selected="0">
            <x v="1529"/>
          </reference>
          <reference field="88" count="1" selected="0">
            <x v="350"/>
          </reference>
        </references>
      </pivotArea>
    </format>
    <format dxfId="5568">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5567">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73" count="1">
            <x v="50"/>
          </reference>
          <reference field="81" count="1" selected="0">
            <x v="2228"/>
          </reference>
          <reference field="82" count="1" selected="0">
            <x v="635"/>
          </reference>
          <reference field="85" count="1" selected="0">
            <x v="4"/>
          </reference>
          <reference field="87" count="1" selected="0">
            <x v="1587"/>
          </reference>
          <reference field="88" count="1" selected="0">
            <x v="408"/>
          </reference>
        </references>
      </pivotArea>
    </format>
    <format dxfId="5566">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73" count="1">
            <x v="50"/>
          </reference>
          <reference field="81" count="1" selected="0">
            <x v="2231"/>
          </reference>
          <reference field="82" count="1" selected="0">
            <x v="638"/>
          </reference>
          <reference field="85" count="1" selected="0">
            <x v="4"/>
          </reference>
          <reference field="87" count="1" selected="0">
            <x v="1590"/>
          </reference>
          <reference field="88" count="1" selected="0">
            <x v="411"/>
          </reference>
        </references>
      </pivotArea>
    </format>
    <format dxfId="5565">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73" count="1">
            <x v="50"/>
          </reference>
          <reference field="81" count="1" selected="0">
            <x v="2229"/>
          </reference>
          <reference field="82" count="1" selected="0">
            <x v="636"/>
          </reference>
          <reference field="85" count="1" selected="0">
            <x v="4"/>
          </reference>
          <reference field="87" count="1" selected="0">
            <x v="1588"/>
          </reference>
          <reference field="88" count="1" selected="0">
            <x v="409"/>
          </reference>
        </references>
      </pivotArea>
    </format>
    <format dxfId="5564">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73" count="1">
            <x v="50"/>
          </reference>
          <reference field="81" count="1" selected="0">
            <x v="2230"/>
          </reference>
          <reference field="82" count="1" selected="0">
            <x v="637"/>
          </reference>
          <reference field="85" count="1" selected="0">
            <x v="4"/>
          </reference>
          <reference field="87" count="1" selected="0">
            <x v="1589"/>
          </reference>
          <reference field="88" count="1" selected="0">
            <x v="410"/>
          </reference>
        </references>
      </pivotArea>
    </format>
    <format dxfId="5563">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190"/>
          </reference>
          <reference field="82" count="1" selected="0">
            <x v="597"/>
          </reference>
          <reference field="85" count="1" selected="0">
            <x v="4"/>
          </reference>
          <reference field="87" count="1" selected="0">
            <x v="1549"/>
          </reference>
          <reference field="88" count="1" selected="0">
            <x v="370"/>
          </reference>
        </references>
      </pivotArea>
    </format>
    <format dxfId="5562">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191"/>
          </reference>
          <reference field="82" count="1" selected="0">
            <x v="598"/>
          </reference>
          <reference field="85" count="1" selected="0">
            <x v="4"/>
          </reference>
          <reference field="87" count="1" selected="0">
            <x v="1550"/>
          </reference>
          <reference field="88" count="1" selected="0">
            <x v="371"/>
          </reference>
        </references>
      </pivotArea>
    </format>
    <format dxfId="5561">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192"/>
          </reference>
          <reference field="82" count="1" selected="0">
            <x v="599"/>
          </reference>
          <reference field="85" count="1" selected="0">
            <x v="4"/>
          </reference>
          <reference field="87" count="1" selected="0">
            <x v="1551"/>
          </reference>
          <reference field="88" count="1" selected="0">
            <x v="372"/>
          </reference>
        </references>
      </pivotArea>
    </format>
    <format dxfId="5560">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193"/>
          </reference>
          <reference field="82" count="1" selected="0">
            <x v="600"/>
          </reference>
          <reference field="85" count="1" selected="0">
            <x v="4"/>
          </reference>
          <reference field="87" count="1" selected="0">
            <x v="1552"/>
          </reference>
          <reference field="88" count="1" selected="0">
            <x v="373"/>
          </reference>
        </references>
      </pivotArea>
    </format>
    <format dxfId="5559">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194"/>
          </reference>
          <reference field="82" count="1" selected="0">
            <x v="601"/>
          </reference>
          <reference field="85" count="1" selected="0">
            <x v="4"/>
          </reference>
          <reference field="87" count="1" selected="0">
            <x v="1553"/>
          </reference>
          <reference field="88" count="1" selected="0">
            <x v="374"/>
          </reference>
        </references>
      </pivotArea>
    </format>
    <format dxfId="5558">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195"/>
          </reference>
          <reference field="82" count="1" selected="0">
            <x v="602"/>
          </reference>
          <reference field="85" count="1" selected="0">
            <x v="4"/>
          </reference>
          <reference field="87" count="1" selected="0">
            <x v="1554"/>
          </reference>
          <reference field="88" count="1" selected="0">
            <x v="375"/>
          </reference>
        </references>
      </pivotArea>
    </format>
    <format dxfId="5557">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196"/>
          </reference>
          <reference field="82" count="1" selected="0">
            <x v="603"/>
          </reference>
          <reference field="85" count="1" selected="0">
            <x v="4"/>
          </reference>
          <reference field="87" count="1" selected="0">
            <x v="1555"/>
          </reference>
          <reference field="88" count="1" selected="0">
            <x v="376"/>
          </reference>
        </references>
      </pivotArea>
    </format>
    <format dxfId="5556">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197"/>
          </reference>
          <reference field="82" count="1" selected="0">
            <x v="604"/>
          </reference>
          <reference field="85" count="1" selected="0">
            <x v="4"/>
          </reference>
          <reference field="87" count="1" selected="0">
            <x v="1556"/>
          </reference>
          <reference field="88" count="1" selected="0">
            <x v="377"/>
          </reference>
        </references>
      </pivotArea>
    </format>
    <format dxfId="5555">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73" count="1">
            <x v="50"/>
          </reference>
          <reference field="81" count="1" selected="0">
            <x v="2163"/>
          </reference>
          <reference field="82" count="1" selected="0">
            <x v="570"/>
          </reference>
          <reference field="85" count="1" selected="0">
            <x v="4"/>
          </reference>
          <reference field="87" count="1" selected="0">
            <x v="1522"/>
          </reference>
          <reference field="88" count="1" selected="0">
            <x v="343"/>
          </reference>
        </references>
      </pivotArea>
    </format>
    <format dxfId="5554">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73" count="1">
            <x v="50"/>
          </reference>
          <reference field="81" count="1" selected="0">
            <x v="2165"/>
          </reference>
          <reference field="82" count="1" selected="0">
            <x v="572"/>
          </reference>
          <reference field="85" count="1" selected="0">
            <x v="4"/>
          </reference>
          <reference field="87" count="1" selected="0">
            <x v="1524"/>
          </reference>
          <reference field="88" count="1" selected="0">
            <x v="345"/>
          </reference>
        </references>
      </pivotArea>
    </format>
    <format dxfId="5553">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73" count="1">
            <x v="50"/>
          </reference>
          <reference field="81" count="1" selected="0">
            <x v="2166"/>
          </reference>
          <reference field="82" count="1" selected="0">
            <x v="573"/>
          </reference>
          <reference field="85" count="1" selected="0">
            <x v="4"/>
          </reference>
          <reference field="87" count="1" selected="0">
            <x v="1525"/>
          </reference>
          <reference field="88" count="1" selected="0">
            <x v="346"/>
          </reference>
        </references>
      </pivotArea>
    </format>
    <format dxfId="5552">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73" count="1">
            <x v="50"/>
          </reference>
          <reference field="81" count="1" selected="0">
            <x v="2164"/>
          </reference>
          <reference field="82" count="1" selected="0">
            <x v="571"/>
          </reference>
          <reference field="85" count="1" selected="0">
            <x v="4"/>
          </reference>
          <reference field="87" count="1" selected="0">
            <x v="1523"/>
          </reference>
          <reference field="88" count="1" selected="0">
            <x v="344"/>
          </reference>
        </references>
      </pivotArea>
    </format>
    <format dxfId="5551">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50"/>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5550">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50"/>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5549">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73" count="1">
            <x v="50"/>
          </reference>
          <reference field="81" count="1" selected="0">
            <x v="2113"/>
          </reference>
          <reference field="82" count="1" selected="0">
            <x v="520"/>
          </reference>
          <reference field="85" count="1" selected="0">
            <x v="2"/>
          </reference>
          <reference field="87" count="1" selected="0">
            <x v="1472"/>
          </reference>
          <reference field="88" count="1" selected="0">
            <x v="293"/>
          </reference>
        </references>
      </pivotArea>
    </format>
    <format dxfId="5548">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73" count="1">
            <x v="50"/>
          </reference>
          <reference field="81" count="1" selected="0">
            <x v="2114"/>
          </reference>
          <reference field="82" count="1" selected="0">
            <x v="521"/>
          </reference>
          <reference field="85" count="1" selected="0">
            <x v="2"/>
          </reference>
          <reference field="87" count="1" selected="0">
            <x v="1473"/>
          </reference>
          <reference field="88" count="1" selected="0">
            <x v="294"/>
          </reference>
        </references>
      </pivotArea>
    </format>
    <format dxfId="5547">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73" count="1">
            <x v="50"/>
          </reference>
          <reference field="81" count="1" selected="0">
            <x v="2112"/>
          </reference>
          <reference field="82" count="1" selected="0">
            <x v="519"/>
          </reference>
          <reference field="85" count="1" selected="0">
            <x v="2"/>
          </reference>
          <reference field="87" count="1" selected="0">
            <x v="1471"/>
          </reference>
          <reference field="88" count="1" selected="0">
            <x v="292"/>
          </reference>
        </references>
      </pivotArea>
    </format>
    <format dxfId="5546">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1985"/>
          </reference>
          <reference field="82" count="1" selected="0">
            <x v="390"/>
          </reference>
          <reference field="85" count="1" selected="0">
            <x v="4"/>
          </reference>
          <reference field="87" count="1" selected="0">
            <x v="1344"/>
          </reference>
          <reference field="88" count="1" selected="0">
            <x v="163"/>
          </reference>
        </references>
      </pivotArea>
    </format>
    <format dxfId="5545">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1988"/>
          </reference>
          <reference field="82" count="1" selected="0">
            <x v="393"/>
          </reference>
          <reference field="85" count="1" selected="0">
            <x v="4"/>
          </reference>
          <reference field="87" count="1" selected="0">
            <x v="1347"/>
          </reference>
          <reference field="88" count="1" selected="0">
            <x v="166"/>
          </reference>
        </references>
      </pivotArea>
    </format>
    <format dxfId="5544">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1986"/>
          </reference>
          <reference field="82" count="1" selected="0">
            <x v="391"/>
          </reference>
          <reference field="85" count="1" selected="0">
            <x v="4"/>
          </reference>
          <reference field="87" count="1" selected="0">
            <x v="1345"/>
          </reference>
          <reference field="88" count="1" selected="0">
            <x v="164"/>
          </reference>
        </references>
      </pivotArea>
    </format>
    <format dxfId="5543">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1987"/>
          </reference>
          <reference field="82" count="1" selected="0">
            <x v="392"/>
          </reference>
          <reference field="85" count="1" selected="0">
            <x v="4"/>
          </reference>
          <reference field="87" count="1" selected="0">
            <x v="1346"/>
          </reference>
          <reference field="88" count="1" selected="0">
            <x v="165"/>
          </reference>
        </references>
      </pivotArea>
    </format>
    <format dxfId="5542">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182"/>
          </reference>
          <reference field="82" count="1" selected="0">
            <x v="589"/>
          </reference>
          <reference field="85" count="1" selected="0">
            <x v="4"/>
          </reference>
          <reference field="87" count="1" selected="0">
            <x v="1541"/>
          </reference>
          <reference field="88" count="1" selected="0">
            <x v="362"/>
          </reference>
        </references>
      </pivotArea>
    </format>
    <format dxfId="5541">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183"/>
          </reference>
          <reference field="82" count="1" selected="0">
            <x v="590"/>
          </reference>
          <reference field="85" count="1" selected="0">
            <x v="4"/>
          </reference>
          <reference field="87" count="1" selected="0">
            <x v="1542"/>
          </reference>
          <reference field="88" count="1" selected="0">
            <x v="363"/>
          </reference>
        </references>
      </pivotArea>
    </format>
    <format dxfId="5540">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184"/>
          </reference>
          <reference field="82" count="1" selected="0">
            <x v="591"/>
          </reference>
          <reference field="85" count="1" selected="0">
            <x v="4"/>
          </reference>
          <reference field="87" count="1" selected="0">
            <x v="1543"/>
          </reference>
          <reference field="88" count="1" selected="0">
            <x v="364"/>
          </reference>
        </references>
      </pivotArea>
    </format>
    <format dxfId="5539">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185"/>
          </reference>
          <reference field="82" count="1" selected="0">
            <x v="592"/>
          </reference>
          <reference field="85" count="1" selected="0">
            <x v="4"/>
          </reference>
          <reference field="87" count="1" selected="0">
            <x v="1544"/>
          </reference>
          <reference field="88" count="1" selected="0">
            <x v="365"/>
          </reference>
        </references>
      </pivotArea>
    </format>
    <format dxfId="5538">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186"/>
          </reference>
          <reference field="82" count="1" selected="0">
            <x v="593"/>
          </reference>
          <reference field="85" count="1" selected="0">
            <x v="4"/>
          </reference>
          <reference field="87" count="1" selected="0">
            <x v="1545"/>
          </reference>
          <reference field="88" count="1" selected="0">
            <x v="366"/>
          </reference>
        </references>
      </pivotArea>
    </format>
    <format dxfId="5537">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187"/>
          </reference>
          <reference field="82" count="1" selected="0">
            <x v="594"/>
          </reference>
          <reference field="85" count="1" selected="0">
            <x v="4"/>
          </reference>
          <reference field="87" count="1" selected="0">
            <x v="1546"/>
          </reference>
          <reference field="88" count="1" selected="0">
            <x v="367"/>
          </reference>
        </references>
      </pivotArea>
    </format>
    <format dxfId="5536">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188"/>
          </reference>
          <reference field="82" count="1" selected="0">
            <x v="595"/>
          </reference>
          <reference field="85" count="1" selected="0">
            <x v="4"/>
          </reference>
          <reference field="87" count="1" selected="0">
            <x v="1547"/>
          </reference>
          <reference field="88" count="1" selected="0">
            <x v="368"/>
          </reference>
        </references>
      </pivotArea>
    </format>
    <format dxfId="5535">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189"/>
          </reference>
          <reference field="82" count="1" selected="0">
            <x v="596"/>
          </reference>
          <reference field="85" count="1" selected="0">
            <x v="4"/>
          </reference>
          <reference field="87" count="1" selected="0">
            <x v="1548"/>
          </reference>
          <reference field="88" count="1" selected="0">
            <x v="369"/>
          </reference>
        </references>
      </pivotArea>
    </format>
    <format dxfId="5534">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50"/>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5533">
      <pivotArea dataOnly="0" labelOnly="1" outline="0" fieldPosition="0">
        <references count="15">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73" count="1">
            <x v="11"/>
          </reference>
          <reference field="81" count="1" selected="0">
            <x v="1938"/>
          </reference>
          <reference field="82" count="1" selected="0">
            <x v="342"/>
          </reference>
          <reference field="85" count="1" selected="0">
            <x v="3"/>
          </reference>
          <reference field="87" count="1" selected="0">
            <x v="1297"/>
          </reference>
          <reference field="88" count="1" selected="0">
            <x v="115"/>
          </reference>
        </references>
      </pivotArea>
    </format>
    <format dxfId="5532">
      <pivotArea dataOnly="0" labelOnly="1" outline="0" fieldPosition="0">
        <references count="15">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73" count="1">
            <x v="6"/>
          </reference>
          <reference field="81" count="1" selected="0">
            <x v="2240"/>
          </reference>
          <reference field="82" count="1" selected="0">
            <x v="647"/>
          </reference>
          <reference field="85" count="1" selected="0">
            <x v="4"/>
          </reference>
          <reference field="87" count="1" selected="0">
            <x v="1599"/>
          </reference>
          <reference field="88" count="1" selected="0">
            <x v="420"/>
          </reference>
        </references>
      </pivotArea>
    </format>
    <format dxfId="5531">
      <pivotArea dataOnly="0" labelOnly="1" outline="0" fieldPosition="0">
        <references count="15">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73" count="1">
            <x v="11"/>
          </reference>
          <reference field="81" count="1" selected="0">
            <x v="22"/>
          </reference>
          <reference field="82" count="1" selected="0">
            <x v="23"/>
          </reference>
          <reference field="85" count="1" selected="0">
            <x v="2"/>
          </reference>
          <reference field="87" count="1" selected="0">
            <x v="21"/>
          </reference>
          <reference field="88" count="1" selected="0">
            <x v="23"/>
          </reference>
        </references>
      </pivotArea>
    </format>
    <format dxfId="5530">
      <pivotArea dataOnly="0" labelOnly="1" outline="0" fieldPosition="0">
        <references count="15">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1"/>
          </reference>
          <reference field="81" count="1" selected="0">
            <x v="1975"/>
          </reference>
          <reference field="82" count="1" selected="0">
            <x v="380"/>
          </reference>
          <reference field="85" count="1" selected="0">
            <x v="7"/>
          </reference>
          <reference field="87" count="1" selected="0">
            <x v="1334"/>
          </reference>
          <reference field="88" count="1" selected="0">
            <x v="153"/>
          </reference>
        </references>
      </pivotArea>
    </format>
    <format dxfId="5529">
      <pivotArea dataOnly="0" labelOnly="1" outline="0" fieldPosition="0">
        <references count="15">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73" count="1">
            <x v="11"/>
          </reference>
          <reference field="81" count="1" selected="0">
            <x v="1939"/>
          </reference>
          <reference field="82" count="1" selected="0">
            <x v="343"/>
          </reference>
          <reference field="85" count="1" selected="0">
            <x v="3"/>
          </reference>
          <reference field="87" count="1" selected="0">
            <x v="1298"/>
          </reference>
          <reference field="88" count="1" selected="0">
            <x v="116"/>
          </reference>
        </references>
      </pivotArea>
    </format>
    <format dxfId="5528">
      <pivotArea dataOnly="0" labelOnly="1" outline="0" fieldPosition="0">
        <references count="15">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0"/>
          </reference>
          <reference field="81" count="1" selected="0">
            <x v="1976"/>
          </reference>
          <reference field="82" count="1" selected="0">
            <x v="381"/>
          </reference>
          <reference field="85" count="1" selected="0">
            <x v="7"/>
          </reference>
          <reference field="87" count="1" selected="0">
            <x v="1335"/>
          </reference>
          <reference field="88" count="1" selected="0">
            <x v="154"/>
          </reference>
        </references>
      </pivotArea>
    </format>
    <format dxfId="5527">
      <pivotArea dataOnly="0" labelOnly="1" outline="0" fieldPosition="0">
        <references count="15">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73" count="1">
            <x v="8"/>
          </reference>
          <reference field="81" count="1" selected="0">
            <x v="14"/>
          </reference>
          <reference field="82" count="1" selected="0">
            <x v="15"/>
          </reference>
          <reference field="85" count="1" selected="0">
            <x v="2"/>
          </reference>
          <reference field="87" count="1" selected="0">
            <x v="14"/>
          </reference>
          <reference field="88" count="1" selected="0">
            <x v="15"/>
          </reference>
        </references>
      </pivotArea>
    </format>
    <format dxfId="5526">
      <pivotArea dataOnly="0" labelOnly="1" outline="0" fieldPosition="0">
        <references count="15">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73" count="1">
            <x v="9"/>
          </reference>
          <reference field="81" count="1" selected="0">
            <x v="24"/>
          </reference>
          <reference field="82" count="1" selected="0">
            <x v="25"/>
          </reference>
          <reference field="85" count="1" selected="0">
            <x v="3"/>
          </reference>
          <reference field="87" count="1" selected="0">
            <x v="23"/>
          </reference>
          <reference field="88" count="1" selected="0">
            <x v="25"/>
          </reference>
        </references>
      </pivotArea>
    </format>
    <format dxfId="5525">
      <pivotArea dataOnly="0" labelOnly="1" outline="0" fieldPosition="0">
        <references count="15">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73" count="1">
            <x v="4"/>
          </reference>
          <reference field="81" count="1" selected="0">
            <x v="2242"/>
          </reference>
          <reference field="82" count="1" selected="0">
            <x v="649"/>
          </reference>
          <reference field="85" count="1" selected="0">
            <x v="7"/>
          </reference>
          <reference field="87" count="1" selected="0">
            <x v="1601"/>
          </reference>
          <reference field="88" count="1" selected="0">
            <x v="422"/>
          </reference>
        </references>
      </pivotArea>
    </format>
    <format dxfId="5524">
      <pivotArea dataOnly="0" labelOnly="1" outline="0" fieldPosition="0">
        <references count="15">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244"/>
          </reference>
          <reference field="82" count="1" selected="0">
            <x v="651"/>
          </reference>
          <reference field="85" count="1" selected="0">
            <x v="7"/>
          </reference>
          <reference field="87" count="1" selected="0">
            <x v="1603"/>
          </reference>
          <reference field="88" count="1" selected="0">
            <x v="424"/>
          </reference>
        </references>
      </pivotArea>
    </format>
    <format dxfId="5523">
      <pivotArea dataOnly="0" labelOnly="1" outline="0" fieldPosition="0">
        <references count="15">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73" count="1">
            <x v="12"/>
          </reference>
          <reference field="81" count="1" selected="0">
            <x v="20"/>
          </reference>
          <reference field="82" count="1" selected="0">
            <x v="21"/>
          </reference>
          <reference field="85" count="1" selected="0">
            <x v="3"/>
          </reference>
          <reference field="87" count="1" selected="0">
            <x v="20"/>
          </reference>
          <reference field="88" count="1" selected="0">
            <x v="21"/>
          </reference>
        </references>
      </pivotArea>
    </format>
    <format dxfId="5522">
      <pivotArea dataOnly="0" labelOnly="1" outline="0" fieldPosition="0">
        <references count="15">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73" count="1">
            <x v="8"/>
          </reference>
          <reference field="81" count="1" selected="0">
            <x v="17"/>
          </reference>
          <reference field="82" count="1" selected="0">
            <x v="18"/>
          </reference>
          <reference field="85" count="1" selected="0">
            <x v="2"/>
          </reference>
          <reference field="87" count="1" selected="0">
            <x v="17"/>
          </reference>
          <reference field="88" count="1" selected="0">
            <x v="18"/>
          </reference>
        </references>
      </pivotArea>
    </format>
    <format dxfId="5521">
      <pivotArea dataOnly="0" labelOnly="1" outline="0" fieldPosition="0">
        <references count="15">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73" count="1">
            <x v="8"/>
          </reference>
          <reference field="81" count="1" selected="0">
            <x v="15"/>
          </reference>
          <reference field="82" count="1" selected="0">
            <x v="16"/>
          </reference>
          <reference field="85" count="1" selected="0">
            <x v="2"/>
          </reference>
          <reference field="87" count="1" selected="0">
            <x v="15"/>
          </reference>
          <reference field="88" count="1" selected="0">
            <x v="16"/>
          </reference>
        </references>
      </pivotArea>
    </format>
    <format dxfId="5520">
      <pivotArea dataOnly="0" labelOnly="1" outline="0" fieldPosition="0">
        <references count="15">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73" count="1">
            <x v="4"/>
          </reference>
          <reference field="81" count="1" selected="0">
            <x v="2243"/>
          </reference>
          <reference field="82" count="1" selected="0">
            <x v="650"/>
          </reference>
          <reference field="85" count="1" selected="0">
            <x v="7"/>
          </reference>
          <reference field="87" count="1" selected="0">
            <x v="1602"/>
          </reference>
          <reference field="88" count="1" selected="0">
            <x v="423"/>
          </reference>
        </references>
      </pivotArea>
    </format>
    <format dxfId="5519">
      <pivotArea dataOnly="0" labelOnly="1" outline="0" fieldPosition="0">
        <references count="15">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73" count="1">
            <x v="9"/>
          </reference>
          <reference field="81" count="1" selected="0">
            <x v="1968"/>
          </reference>
          <reference field="82" count="1" selected="0">
            <x v="373"/>
          </reference>
          <reference field="85" count="1" selected="0">
            <x v="2"/>
          </reference>
          <reference field="87" count="1" selected="0">
            <x v="1327"/>
          </reference>
          <reference field="88" count="1" selected="0">
            <x v="146"/>
          </reference>
        </references>
      </pivotArea>
    </format>
    <format dxfId="5518">
      <pivotArea dataOnly="0" labelOnly="1" outline="0" fieldPosition="0">
        <references count="15">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245"/>
          </reference>
          <reference field="82" count="1" selected="0">
            <x v="652"/>
          </reference>
          <reference field="85" count="1" selected="0">
            <x v="7"/>
          </reference>
          <reference field="87" count="1" selected="0">
            <x v="1604"/>
          </reference>
          <reference field="88" count="1" selected="0">
            <x v="425"/>
          </reference>
        </references>
      </pivotArea>
    </format>
    <format dxfId="5517">
      <pivotArea dataOnly="0" labelOnly="1" outline="0" fieldPosition="0">
        <references count="15">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73" count="1">
            <x v="8"/>
          </reference>
          <reference field="81" count="1" selected="0">
            <x v="15"/>
          </reference>
          <reference field="82" count="1" selected="0">
            <x v="16"/>
          </reference>
          <reference field="85" count="1" selected="0">
            <x v="2"/>
          </reference>
          <reference field="87" count="1" selected="0">
            <x v="15"/>
          </reference>
          <reference field="88" count="1" selected="0">
            <x v="16"/>
          </reference>
        </references>
      </pivotArea>
    </format>
    <format dxfId="5516">
      <pivotArea dataOnly="0" labelOnly="1" outline="0" fieldPosition="0">
        <references count="15">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73" count="1">
            <x v="8"/>
          </reference>
          <reference field="81" count="1" selected="0">
            <x v="18"/>
          </reference>
          <reference field="82" count="1" selected="0">
            <x v="19"/>
          </reference>
          <reference field="85" count="1" selected="0">
            <x v="2"/>
          </reference>
          <reference field="87" count="1" selected="0">
            <x v="18"/>
          </reference>
          <reference field="88" count="1" selected="0">
            <x v="19"/>
          </reference>
        </references>
      </pivotArea>
    </format>
    <format dxfId="5515">
      <pivotArea dataOnly="0" labelOnly="1" outline="0" fieldPosition="0">
        <references count="15">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73" count="1">
            <x v="8"/>
          </reference>
          <reference field="81" count="1" selected="0">
            <x v="16"/>
          </reference>
          <reference field="82" count="1" selected="0">
            <x v="17"/>
          </reference>
          <reference field="85" count="1" selected="0">
            <x v="2"/>
          </reference>
          <reference field="87" count="1" selected="0">
            <x v="16"/>
          </reference>
          <reference field="88" count="1" selected="0">
            <x v="17"/>
          </reference>
        </references>
      </pivotArea>
    </format>
    <format dxfId="5514">
      <pivotArea dataOnly="0" labelOnly="1" outline="0" fieldPosition="0">
        <references count="15">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73" count="1">
            <x v="13"/>
          </reference>
          <reference field="81" count="1" selected="0">
            <x v="0"/>
          </reference>
          <reference field="82" count="1" selected="0">
            <x v="0"/>
          </reference>
          <reference field="85" count="1" selected="0">
            <x v="6"/>
          </reference>
          <reference field="87" count="1" selected="0">
            <x v="0"/>
          </reference>
          <reference field="88" count="1" selected="0">
            <x v="0"/>
          </reference>
        </references>
      </pivotArea>
    </format>
    <format dxfId="5513">
      <pivotArea dataOnly="0" labelOnly="1" outline="0" fieldPosition="0">
        <references count="15">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73" count="1">
            <x v="12"/>
          </reference>
          <reference field="81" count="1" selected="0">
            <x v="19"/>
          </reference>
          <reference field="82" count="1" selected="0">
            <x v="20"/>
          </reference>
          <reference field="85" count="1" selected="0">
            <x v="3"/>
          </reference>
          <reference field="87" count="1" selected="0">
            <x v="19"/>
          </reference>
          <reference field="88" count="1" selected="0">
            <x v="20"/>
          </reference>
        </references>
      </pivotArea>
    </format>
    <format dxfId="5512">
      <pivotArea dataOnly="0" labelOnly="1" outline="0" fieldPosition="0">
        <references count="15">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73" count="1">
            <x v="12"/>
          </reference>
          <reference field="81" count="1" selected="0">
            <x v="20"/>
          </reference>
          <reference field="82" count="1" selected="0">
            <x v="22"/>
          </reference>
          <reference field="85" count="1" selected="0">
            <x v="3"/>
          </reference>
          <reference field="87" count="1" selected="0">
            <x v="20"/>
          </reference>
          <reference field="88" count="1" selected="0">
            <x v="22"/>
          </reference>
        </references>
      </pivotArea>
    </format>
    <format dxfId="5511">
      <pivotArea dataOnly="0" labelOnly="1" outline="0" fieldPosition="0">
        <references count="15">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73" count="1">
            <x v="12"/>
          </reference>
          <reference field="81" count="1" selected="0">
            <x v="19"/>
          </reference>
          <reference field="82" count="1" selected="0">
            <x v="20"/>
          </reference>
          <reference field="85" count="1" selected="0">
            <x v="3"/>
          </reference>
          <reference field="87" count="1" selected="0">
            <x v="19"/>
          </reference>
          <reference field="88" count="1" selected="0">
            <x v="20"/>
          </reference>
        </references>
      </pivotArea>
    </format>
    <format dxfId="5510">
      <pivotArea dataOnly="0" labelOnly="1" outline="0" fieldPosition="0">
        <references count="15">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73" count="1">
            <x v="5"/>
          </reference>
          <reference field="81" count="1" selected="0">
            <x v="1937"/>
          </reference>
          <reference field="82" count="1" selected="0">
            <x v="341"/>
          </reference>
          <reference field="85" count="1" selected="0">
            <x v="3"/>
          </reference>
          <reference field="87" count="1" selected="0">
            <x v="1296"/>
          </reference>
          <reference field="88" count="1" selected="0">
            <x v="114"/>
          </reference>
        </references>
      </pivotArea>
    </format>
    <format dxfId="5509">
      <pivotArea dataOnly="0" labelOnly="1" outline="0" fieldPosition="0">
        <references count="15">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73" count="1">
            <x v="9"/>
          </reference>
          <reference field="81" count="1" selected="0">
            <x v="2234"/>
          </reference>
          <reference field="82" count="1" selected="0">
            <x v="641"/>
          </reference>
          <reference field="85" count="1" selected="0">
            <x v="4"/>
          </reference>
          <reference field="87" count="1" selected="0">
            <x v="1593"/>
          </reference>
          <reference field="88" count="1" selected="0">
            <x v="414"/>
          </reference>
        </references>
      </pivotArea>
    </format>
    <format dxfId="5508">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098"/>
          </reference>
          <reference field="82" count="1" selected="0">
            <x v="505"/>
          </reference>
          <reference field="85" count="1" selected="0">
            <x v="2"/>
          </reference>
          <reference field="87" count="1" selected="0">
            <x v="1457"/>
          </reference>
          <reference field="88" count="1" selected="0">
            <x v="278"/>
          </reference>
        </references>
      </pivotArea>
    </format>
    <format dxfId="5507">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101"/>
          </reference>
          <reference field="82" count="1" selected="0">
            <x v="508"/>
          </reference>
          <reference field="85" count="1" selected="0">
            <x v="2"/>
          </reference>
          <reference field="87" count="1" selected="0">
            <x v="1460"/>
          </reference>
          <reference field="88" count="1" selected="0">
            <x v="281"/>
          </reference>
        </references>
      </pivotArea>
    </format>
    <format dxfId="5506">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2099"/>
          </reference>
          <reference field="82" count="1" selected="0">
            <x v="506"/>
          </reference>
          <reference field="85" count="1" selected="0">
            <x v="2"/>
          </reference>
          <reference field="87" count="1" selected="0">
            <x v="1458"/>
          </reference>
          <reference field="88" count="1" selected="0">
            <x v="279"/>
          </reference>
        </references>
      </pivotArea>
    </format>
    <format dxfId="5505">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2102"/>
          </reference>
          <reference field="82" count="1" selected="0">
            <x v="509"/>
          </reference>
          <reference field="85" count="1" selected="0">
            <x v="2"/>
          </reference>
          <reference field="87" count="1" selected="0">
            <x v="1461"/>
          </reference>
          <reference field="88" count="1" selected="0">
            <x v="282"/>
          </reference>
        </references>
      </pivotArea>
    </format>
    <format dxfId="5504">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73" count="1">
            <x v="6"/>
          </reference>
          <reference field="81" count="1" selected="0">
            <x v="2107"/>
          </reference>
          <reference field="82" count="1" selected="0">
            <x v="514"/>
          </reference>
          <reference field="85" count="1" selected="0">
            <x v="2"/>
          </reference>
          <reference field="87" count="1" selected="0">
            <x v="1466"/>
          </reference>
          <reference field="88" count="1" selected="0">
            <x v="287"/>
          </reference>
        </references>
      </pivotArea>
    </format>
    <format dxfId="5503">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73" count="1">
            <x v="0"/>
          </reference>
          <reference field="81" count="1" selected="0">
            <x v="2105"/>
          </reference>
          <reference field="82" count="1" selected="0">
            <x v="512"/>
          </reference>
          <reference field="85" count="1" selected="0">
            <x v="2"/>
          </reference>
          <reference field="87" count="1" selected="0">
            <x v="1464"/>
          </reference>
          <reference field="88" count="1" selected="0">
            <x v="285"/>
          </reference>
        </references>
      </pivotArea>
    </format>
    <format dxfId="5502">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73" count="1">
            <x v="0"/>
          </reference>
          <reference field="81" count="1" selected="0">
            <x v="2104"/>
          </reference>
          <reference field="82" count="1" selected="0">
            <x v="511"/>
          </reference>
          <reference field="85" count="1" selected="0">
            <x v="2"/>
          </reference>
          <reference field="87" count="1" selected="0">
            <x v="1463"/>
          </reference>
          <reference field="88" count="1" selected="0">
            <x v="284"/>
          </reference>
        </references>
      </pivotArea>
    </format>
    <format dxfId="5501">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73" count="1">
            <x v="0"/>
          </reference>
          <reference field="81" count="1" selected="0">
            <x v="2103"/>
          </reference>
          <reference field="82" count="1" selected="0">
            <x v="510"/>
          </reference>
          <reference field="85" count="1" selected="0">
            <x v="2"/>
          </reference>
          <reference field="87" count="1" selected="0">
            <x v="1462"/>
          </reference>
          <reference field="88" count="1" selected="0">
            <x v="283"/>
          </reference>
        </references>
      </pivotArea>
    </format>
    <format dxfId="5500">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097"/>
          </reference>
          <reference field="82" count="1" selected="0">
            <x v="504"/>
          </reference>
          <reference field="85" count="1" selected="0">
            <x v="2"/>
          </reference>
          <reference field="87" count="1" selected="0">
            <x v="1456"/>
          </reference>
          <reference field="88" count="1" selected="0">
            <x v="277"/>
          </reference>
        </references>
      </pivotArea>
    </format>
    <format dxfId="5499">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100"/>
          </reference>
          <reference field="82" count="1" selected="0">
            <x v="507"/>
          </reference>
          <reference field="85" count="1" selected="0">
            <x v="2"/>
          </reference>
          <reference field="87" count="1" selected="0">
            <x v="1459"/>
          </reference>
          <reference field="88" count="1" selected="0">
            <x v="280"/>
          </reference>
        </references>
      </pivotArea>
    </format>
    <format dxfId="5498">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73" count="1">
            <x v="50"/>
          </reference>
          <reference field="81" count="1" selected="0">
            <x v="2106"/>
          </reference>
          <reference field="82" count="1" selected="0">
            <x v="513"/>
          </reference>
          <reference field="85" count="1" selected="0">
            <x v="2"/>
          </reference>
          <reference field="87" count="1" selected="0">
            <x v="1465"/>
          </reference>
          <reference field="88" count="1" selected="0">
            <x v="286"/>
          </reference>
        </references>
      </pivotArea>
    </format>
    <format dxfId="5497">
      <pivotArea dataOnly="0" labelOnly="1" outline="0" fieldPosition="0">
        <references count="15">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73" count="1">
            <x v="12"/>
          </reference>
          <reference field="81" count="1" selected="0">
            <x v="2241"/>
          </reference>
          <reference field="82" count="1" selected="0">
            <x v="648"/>
          </reference>
          <reference field="85" count="1" selected="0">
            <x v="4"/>
          </reference>
          <reference field="87" count="1" selected="0">
            <x v="1600"/>
          </reference>
          <reference field="88" count="1" selected="0">
            <x v="421"/>
          </reference>
        </references>
      </pivotArea>
    </format>
    <format dxfId="5496">
      <pivotArea dataOnly="0" labelOnly="1" outline="0" fieldPosition="0">
        <references count="15">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73" count="1">
            <x v="46"/>
          </reference>
          <reference field="81" count="1" selected="0">
            <x v="1974"/>
          </reference>
          <reference field="82" count="1" selected="0">
            <x v="379"/>
          </reference>
          <reference field="85" count="1" selected="0">
            <x v="2"/>
          </reference>
          <reference field="87" count="1" selected="0">
            <x v="1333"/>
          </reference>
          <reference field="88" count="1" selected="0">
            <x v="152"/>
          </reference>
        </references>
      </pivotArea>
    </format>
    <format dxfId="5495">
      <pivotArea dataOnly="0" labelOnly="1" outline="0" fieldPosition="0">
        <references count="15">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1972"/>
          </reference>
          <reference field="82" count="1" selected="0">
            <x v="377"/>
          </reference>
          <reference field="85" count="1" selected="0">
            <x v="7"/>
          </reference>
          <reference field="87" count="1" selected="0">
            <x v="1331"/>
          </reference>
          <reference field="88" count="1" selected="0">
            <x v="150"/>
          </reference>
        </references>
      </pivotArea>
    </format>
    <format dxfId="5494">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109"/>
          </reference>
          <reference field="82" count="1" selected="0">
            <x v="516"/>
          </reference>
          <reference field="85" count="1" selected="0">
            <x v="2"/>
          </reference>
          <reference field="87" count="1" selected="0">
            <x v="1468"/>
          </reference>
          <reference field="88" count="1" selected="0">
            <x v="289"/>
          </reference>
        </references>
      </pivotArea>
    </format>
    <format dxfId="5493">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111"/>
          </reference>
          <reference field="82" count="1" selected="0">
            <x v="518"/>
          </reference>
          <reference field="85" count="1" selected="0">
            <x v="2"/>
          </reference>
          <reference field="87" count="1" selected="0">
            <x v="1470"/>
          </reference>
          <reference field="88" count="1" selected="0">
            <x v="291"/>
          </reference>
        </references>
      </pivotArea>
    </format>
    <format dxfId="5492">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108"/>
          </reference>
          <reference field="82" count="1" selected="0">
            <x v="515"/>
          </reference>
          <reference field="85" count="1" selected="0">
            <x v="2"/>
          </reference>
          <reference field="87" count="1" selected="0">
            <x v="1467"/>
          </reference>
          <reference field="88" count="1" selected="0">
            <x v="288"/>
          </reference>
        </references>
      </pivotArea>
    </format>
    <format dxfId="5491">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110"/>
          </reference>
          <reference field="82" count="1" selected="0">
            <x v="517"/>
          </reference>
          <reference field="85" count="1" selected="0">
            <x v="2"/>
          </reference>
          <reference field="87" count="1" selected="0">
            <x v="1469"/>
          </reference>
          <reference field="88" count="1" selected="0">
            <x v="290"/>
          </reference>
        </references>
      </pivotArea>
    </format>
    <format dxfId="5490">
      <pivotArea dataOnly="0" labelOnly="1" outline="0" fieldPosition="0">
        <references count="15">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1973"/>
          </reference>
          <reference field="82" count="1" selected="0">
            <x v="378"/>
          </reference>
          <reference field="85" count="1" selected="0">
            <x v="7"/>
          </reference>
          <reference field="87" count="1" selected="0">
            <x v="1332"/>
          </reference>
          <reference field="88" count="1" selected="0">
            <x v="151"/>
          </reference>
        </references>
      </pivotArea>
    </format>
    <format dxfId="5489">
      <pivotArea dataOnly="0" labelOnly="1" outline="0" fieldPosition="0">
        <references count="15">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226"/>
          </reference>
          <reference field="82" count="1" selected="0">
            <x v="633"/>
          </reference>
          <reference field="85" count="1" selected="0">
            <x v="4"/>
          </reference>
          <reference field="87" count="1" selected="0">
            <x v="1585"/>
          </reference>
          <reference field="88" count="1" selected="0">
            <x v="406"/>
          </reference>
        </references>
      </pivotArea>
    </format>
    <format dxfId="5488">
      <pivotArea dataOnly="0" labelOnly="1" outline="0" fieldPosition="0">
        <references count="15">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227"/>
          </reference>
          <reference field="82" count="1" selected="0">
            <x v="634"/>
          </reference>
          <reference field="85" count="1" selected="0">
            <x v="4"/>
          </reference>
          <reference field="87" count="1" selected="0">
            <x v="1586"/>
          </reference>
          <reference field="88" count="1" selected="0">
            <x v="407"/>
          </reference>
        </references>
      </pivotArea>
    </format>
    <format dxfId="5487">
      <pivotArea dataOnly="0" labelOnly="1" outline="0" fieldPosition="0">
        <references count="15">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73" count="1">
            <x v="10"/>
          </reference>
          <reference field="81" count="1" selected="0">
            <x v="23"/>
          </reference>
          <reference field="82" count="1" selected="0">
            <x v="24"/>
          </reference>
          <reference field="85" count="1" selected="0">
            <x v="2"/>
          </reference>
          <reference field="87" count="1" selected="0">
            <x v="22"/>
          </reference>
          <reference field="88" count="1" selected="0">
            <x v="24"/>
          </reference>
        </references>
      </pivotArea>
    </format>
    <format dxfId="5486">
      <pivotArea dataOnly="0" labelOnly="1" outline="0" fieldPosition="0">
        <references count="15">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73" count="1">
            <x v="38"/>
          </reference>
          <reference field="81" count="1" selected="0">
            <x v="2134"/>
          </reference>
          <reference field="82" count="1" selected="0">
            <x v="541"/>
          </reference>
          <reference field="85" count="1" selected="0">
            <x v="7"/>
          </reference>
          <reference field="87" count="1" selected="0">
            <x v="1493"/>
          </reference>
          <reference field="88" count="1" selected="0">
            <x v="314"/>
          </reference>
        </references>
      </pivotArea>
    </format>
    <format dxfId="5485">
      <pivotArea dataOnly="0" labelOnly="1" outline="0" fieldPosition="0">
        <references count="15">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73" count="1">
            <x v="7"/>
          </reference>
          <reference field="81" count="1" selected="0">
            <x v="2140"/>
          </reference>
          <reference field="82" count="1" selected="0">
            <x v="547"/>
          </reference>
          <reference field="85" count="1" selected="0">
            <x v="7"/>
          </reference>
          <reference field="87" count="1" selected="0">
            <x v="1499"/>
          </reference>
          <reference field="88" count="1" selected="0">
            <x v="320"/>
          </reference>
        </references>
      </pivotArea>
    </format>
    <format dxfId="5484">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73" count="1">
            <x v="51"/>
          </reference>
          <reference field="81" count="1" selected="0">
            <x v="1965"/>
          </reference>
          <reference field="82" count="1" selected="0">
            <x v="370"/>
          </reference>
          <reference field="85" count="1" selected="0">
            <x v="7"/>
          </reference>
          <reference field="87" count="1" selected="0">
            <x v="1324"/>
          </reference>
          <reference field="88" count="1" selected="0">
            <x v="143"/>
          </reference>
        </references>
      </pivotArea>
    </format>
    <format dxfId="5483">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73" count="1">
            <x v="9"/>
          </reference>
          <reference field="81" count="1" selected="0">
            <x v="1964"/>
          </reference>
          <reference field="82" count="1" selected="0">
            <x v="369"/>
          </reference>
          <reference field="85" count="1" selected="0">
            <x v="7"/>
          </reference>
          <reference field="87" count="1" selected="0">
            <x v="1323"/>
          </reference>
          <reference field="88" count="1" selected="0">
            <x v="142"/>
          </reference>
        </references>
      </pivotArea>
    </format>
    <format dxfId="5482">
      <pivotArea dataOnly="0" labelOnly="1" outline="0" fieldPosition="0">
        <references count="15">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50"/>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5481">
      <pivotArea dataOnly="0" labelOnly="1" outline="0" fieldPosition="0">
        <references count="15">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50"/>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5480">
      <pivotArea dataOnly="0" labelOnly="1" outline="0" fieldPosition="0">
        <references count="15">
          <reference field="1" count="1" selected="0">
            <x v="48"/>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50"/>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5479">
      <pivotArea dataOnly="0" labelOnly="1" outline="0" fieldPosition="0">
        <references count="15">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73" count="1">
            <x v="50"/>
          </reference>
          <reference field="81" count="1" selected="0">
            <x v="2210"/>
          </reference>
          <reference field="82" count="1" selected="0">
            <x v="617"/>
          </reference>
          <reference field="85" count="1" selected="0">
            <x v="4"/>
          </reference>
          <reference field="87" count="1" selected="0">
            <x v="1569"/>
          </reference>
          <reference field="88" count="1" selected="0">
            <x v="390"/>
          </reference>
        </references>
      </pivotArea>
    </format>
    <format dxfId="5478">
      <pivotArea dataOnly="0" labelOnly="1" outline="0" fieldPosition="0">
        <references count="15">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73" count="1">
            <x v="50"/>
          </reference>
          <reference field="81" count="1" selected="0">
            <x v="2211"/>
          </reference>
          <reference field="82" count="1" selected="0">
            <x v="618"/>
          </reference>
          <reference field="85" count="1" selected="0">
            <x v="4"/>
          </reference>
          <reference field="87" count="1" selected="0">
            <x v="1570"/>
          </reference>
          <reference field="88" count="1" selected="0">
            <x v="391"/>
          </reference>
        </references>
      </pivotArea>
    </format>
    <format dxfId="5477">
      <pivotArea dataOnly="0" labelOnly="1" outline="0" fieldPosition="0">
        <references count="15">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73" count="1">
            <x v="50"/>
          </reference>
          <reference field="81" count="1" selected="0">
            <x v="2212"/>
          </reference>
          <reference field="82" count="1" selected="0">
            <x v="619"/>
          </reference>
          <reference field="85" count="1" selected="0">
            <x v="4"/>
          </reference>
          <reference field="87" count="1" selected="0">
            <x v="1571"/>
          </reference>
          <reference field="88" count="1" selected="0">
            <x v="392"/>
          </reference>
        </references>
      </pivotArea>
    </format>
    <format dxfId="5476">
      <pivotArea dataOnly="0" labelOnly="1" outline="0" fieldPosition="0">
        <references count="15">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73" count="1">
            <x v="50"/>
          </reference>
          <reference field="81" count="1" selected="0">
            <x v="2213"/>
          </reference>
          <reference field="82" count="1" selected="0">
            <x v="620"/>
          </reference>
          <reference field="85" count="1" selected="0">
            <x v="4"/>
          </reference>
          <reference field="87" count="1" selected="0">
            <x v="1572"/>
          </reference>
          <reference field="88" count="1" selected="0">
            <x v="393"/>
          </reference>
        </references>
      </pivotArea>
    </format>
    <format dxfId="5475">
      <pivotArea dataOnly="0" labelOnly="1" outline="0" fieldPosition="0">
        <references count="15">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135"/>
          </reference>
          <reference field="82" count="1" selected="0">
            <x v="542"/>
          </reference>
          <reference field="85" count="1" selected="0">
            <x v="7"/>
          </reference>
          <reference field="87" count="1" selected="0">
            <x v="1494"/>
          </reference>
          <reference field="88" count="1" selected="0">
            <x v="315"/>
          </reference>
        </references>
      </pivotArea>
    </format>
    <format dxfId="5474">
      <pivotArea dataOnly="0" labelOnly="1" outline="0" fieldPosition="0">
        <references count="15">
          <reference field="1" count="1" selected="0">
            <x v="50"/>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150"/>
          </reference>
          <reference field="82" count="1" selected="0">
            <x v="557"/>
          </reference>
          <reference field="85" count="1" selected="0">
            <x v="7"/>
          </reference>
          <reference field="87" count="1" selected="0">
            <x v="1509"/>
          </reference>
          <reference field="88" count="1" selected="0">
            <x v="330"/>
          </reference>
        </references>
      </pivotArea>
    </format>
    <format dxfId="5473">
      <pivotArea field="72" type="button" dataOnly="0" labelOnly="1" outline="0" axis="axisRow" fieldPosition="5"/>
    </format>
    <format dxfId="5472">
      <pivotArea field="81" type="button" dataOnly="0" labelOnly="1" outline="0" axis="axisRow" fieldPosition="8"/>
    </format>
    <format dxfId="5471">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120"/>
          </reference>
        </references>
      </pivotArea>
    </format>
    <format dxfId="5470">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121"/>
          </reference>
        </references>
      </pivotArea>
    </format>
    <format dxfId="546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206"/>
          </reference>
        </references>
      </pivotArea>
    </format>
    <format dxfId="546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207"/>
          </reference>
        </references>
      </pivotArea>
    </format>
    <format dxfId="546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208"/>
          </reference>
        </references>
      </pivotArea>
    </format>
    <format dxfId="546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209"/>
          </reference>
        </references>
      </pivotArea>
    </format>
    <format dxfId="5465">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126"/>
          </reference>
        </references>
      </pivotArea>
    </format>
    <format dxfId="5464">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125"/>
          </reference>
        </references>
      </pivotArea>
    </format>
    <format dxfId="546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53"/>
          </reference>
        </references>
      </pivotArea>
    </format>
    <format dxfId="546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054"/>
          </reference>
        </references>
      </pivotArea>
    </format>
    <format dxfId="546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051"/>
          </reference>
        </references>
      </pivotArea>
    </format>
    <format dxfId="546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052"/>
          </reference>
        </references>
      </pivotArea>
    </format>
    <format dxfId="5459">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126"/>
          </reference>
        </references>
      </pivotArea>
    </format>
    <format dxfId="5458">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125"/>
          </reference>
        </references>
      </pivotArea>
    </format>
    <format dxfId="545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48"/>
          </reference>
        </references>
      </pivotArea>
    </format>
    <format dxfId="545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049"/>
          </reference>
        </references>
      </pivotArea>
    </format>
    <format dxfId="545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051"/>
          </reference>
        </references>
      </pivotArea>
    </format>
    <format dxfId="545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047"/>
          </reference>
        </references>
      </pivotArea>
    </format>
    <format dxfId="5453">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124"/>
          </reference>
        </references>
      </pivotArea>
    </format>
    <format dxfId="5452">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125"/>
          </reference>
        </references>
      </pivotArea>
    </format>
    <format dxfId="5451">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960"/>
          </reference>
        </references>
      </pivotArea>
    </format>
    <format dxfId="5450">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961"/>
          </reference>
        </references>
      </pivotArea>
    </format>
    <format dxfId="544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2040"/>
          </reference>
        </references>
      </pivotArea>
    </format>
    <format dxfId="544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043"/>
          </reference>
        </references>
      </pivotArea>
    </format>
    <format dxfId="544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041"/>
          </reference>
        </references>
      </pivotArea>
    </format>
    <format dxfId="544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042"/>
          </reference>
        </references>
      </pivotArea>
    </format>
    <format dxfId="5445">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116"/>
          </reference>
        </references>
      </pivotArea>
    </format>
    <format dxfId="5444">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117"/>
          </reference>
        </references>
      </pivotArea>
    </format>
    <format dxfId="544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198"/>
          </reference>
        </references>
      </pivotArea>
    </format>
    <format dxfId="544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199"/>
          </reference>
        </references>
      </pivotArea>
    </format>
    <format dxfId="544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200"/>
          </reference>
        </references>
      </pivotArea>
    </format>
    <format dxfId="544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201"/>
          </reference>
        </references>
      </pivotArea>
    </format>
    <format dxfId="5439">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970"/>
          </reference>
        </references>
      </pivotArea>
    </format>
    <format dxfId="5438">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960"/>
          </reference>
        </references>
      </pivotArea>
    </format>
    <format dxfId="543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2015"/>
          </reference>
        </references>
      </pivotArea>
    </format>
    <format dxfId="543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2017"/>
          </reference>
        </references>
      </pivotArea>
    </format>
    <format dxfId="543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2018"/>
          </reference>
        </references>
      </pivotArea>
    </format>
    <format dxfId="543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2014"/>
          </reference>
        </references>
      </pivotArea>
    </format>
    <format dxfId="543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2019"/>
          </reference>
        </references>
      </pivotArea>
    </format>
    <format dxfId="543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2020"/>
          </reference>
        </references>
      </pivotArea>
    </format>
    <format dxfId="543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2021"/>
          </reference>
        </references>
      </pivotArea>
    </format>
    <format dxfId="543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2016"/>
          </reference>
        </references>
      </pivotArea>
    </format>
    <format dxfId="542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48"/>
          </reference>
        </references>
      </pivotArea>
    </format>
    <format dxfId="542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049"/>
          </reference>
        </references>
      </pivotArea>
    </format>
    <format dxfId="542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050"/>
          </reference>
        </references>
      </pivotArea>
    </format>
    <format dxfId="542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047"/>
          </reference>
        </references>
      </pivotArea>
    </format>
    <format dxfId="5425">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969"/>
          </reference>
        </references>
      </pivotArea>
    </format>
    <format dxfId="5424">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118"/>
          </reference>
        </references>
      </pivotArea>
    </format>
    <format dxfId="5423">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119"/>
          </reference>
        </references>
      </pivotArea>
    </format>
    <format dxfId="5422">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046"/>
          </reference>
        </references>
      </pivotArea>
    </format>
    <format dxfId="5421">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044"/>
          </reference>
        </references>
      </pivotArea>
    </format>
    <format dxfId="5420">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045"/>
          </reference>
        </references>
      </pivotArea>
    </format>
    <format dxfId="5419">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122"/>
          </reference>
        </references>
      </pivotArea>
    </format>
    <format dxfId="5418">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123"/>
          </reference>
        </references>
      </pivotArea>
    </format>
    <format dxfId="541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202"/>
          </reference>
        </references>
      </pivotArea>
    </format>
    <format dxfId="541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203"/>
          </reference>
        </references>
      </pivotArea>
    </format>
    <format dxfId="5415">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204"/>
          </reference>
        </references>
      </pivotArea>
    </format>
    <format dxfId="541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205"/>
          </reference>
        </references>
      </pivotArea>
    </format>
    <format dxfId="5413">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126"/>
          </reference>
        </references>
      </pivotArea>
    </format>
    <format dxfId="5412">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127"/>
          </reference>
        </references>
      </pivotArea>
    </format>
    <format dxfId="5411">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55"/>
          </reference>
        </references>
      </pivotArea>
    </format>
    <format dxfId="541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2062"/>
          </reference>
        </references>
      </pivotArea>
    </format>
    <format dxfId="5409">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2063"/>
          </reference>
        </references>
      </pivotArea>
    </format>
    <format dxfId="5408">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2064"/>
          </reference>
        </references>
      </pivotArea>
    </format>
    <format dxfId="5407">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966"/>
          </reference>
        </references>
      </pivotArea>
    </format>
    <format dxfId="5406">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1950"/>
          </reference>
        </references>
      </pivotArea>
    </format>
    <format dxfId="5405">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951"/>
          </reference>
        </references>
      </pivotArea>
    </format>
    <format dxfId="5404">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056"/>
          </reference>
        </references>
      </pivotArea>
    </format>
    <format dxfId="5403">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057"/>
          </reference>
        </references>
      </pivotArea>
    </format>
    <format dxfId="5402">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058"/>
          </reference>
        </references>
      </pivotArea>
    </format>
    <format dxfId="5401">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128"/>
          </reference>
        </references>
      </pivotArea>
    </format>
    <format dxfId="5400">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2129"/>
          </reference>
        </references>
      </pivotArea>
    </format>
    <format dxfId="5399">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1971"/>
          </reference>
        </references>
      </pivotArea>
    </format>
    <format dxfId="5398">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059"/>
          </reference>
        </references>
      </pivotArea>
    </format>
    <format dxfId="5397">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060"/>
          </reference>
        </references>
      </pivotArea>
    </format>
    <format dxfId="5396">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061"/>
          </reference>
        </references>
      </pivotArea>
    </format>
    <format dxfId="5395">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135"/>
          </reference>
        </references>
      </pivotArea>
    </format>
    <format dxfId="5394">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2068"/>
          </reference>
        </references>
      </pivotArea>
    </format>
    <format dxfId="5393">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2069"/>
          </reference>
        </references>
      </pivotArea>
    </format>
    <format dxfId="5392">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2070"/>
          </reference>
        </references>
      </pivotArea>
    </format>
    <format dxfId="5391">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943"/>
          </reference>
        </references>
      </pivotArea>
    </format>
    <format dxfId="5390">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944"/>
          </reference>
        </references>
      </pivotArea>
    </format>
    <format dxfId="538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2006"/>
          </reference>
        </references>
      </pivotArea>
    </format>
    <format dxfId="5388">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2007"/>
          </reference>
        </references>
      </pivotArea>
    </format>
    <format dxfId="538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2004"/>
          </reference>
        </references>
      </pivotArea>
    </format>
    <format dxfId="538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2005"/>
          </reference>
        </references>
      </pivotArea>
    </format>
    <format dxfId="5385">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2065"/>
          </reference>
        </references>
      </pivotArea>
    </format>
    <format dxfId="5384">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2066"/>
          </reference>
        </references>
      </pivotArea>
    </format>
    <format dxfId="5383">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2067"/>
          </reference>
        </references>
      </pivotArea>
    </format>
    <format dxfId="5382">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2149"/>
          </reference>
        </references>
      </pivotArea>
    </format>
    <format dxfId="5381">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959"/>
          </reference>
        </references>
      </pivotArea>
    </format>
    <format dxfId="5380">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2029"/>
          </reference>
        </references>
      </pivotArea>
    </format>
    <format dxfId="5379">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2028"/>
          </reference>
        </references>
      </pivotArea>
    </format>
    <format dxfId="5378">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2030"/>
          </reference>
        </references>
      </pivotArea>
    </format>
    <format dxfId="5377">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967"/>
          </reference>
        </references>
      </pivotArea>
    </format>
    <format dxfId="5376">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958"/>
          </reference>
        </references>
      </pivotArea>
    </format>
    <format dxfId="537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2010"/>
          </reference>
        </references>
      </pivotArea>
    </format>
    <format dxfId="5374">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2011"/>
          </reference>
        </references>
      </pivotArea>
    </format>
    <format dxfId="537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2008"/>
          </reference>
        </references>
      </pivotArea>
    </format>
    <format dxfId="537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2009"/>
          </reference>
        </references>
      </pivotArea>
    </format>
    <format dxfId="5371">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025"/>
          </reference>
        </references>
      </pivotArea>
    </format>
    <format dxfId="5370">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026"/>
          </reference>
        </references>
      </pivotArea>
    </format>
    <format dxfId="5369">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027"/>
          </reference>
        </references>
      </pivotArea>
    </format>
    <format dxfId="5368">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2141"/>
          </reference>
        </references>
      </pivotArea>
    </format>
    <format dxfId="5367">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031"/>
          </reference>
        </references>
      </pivotArea>
    </format>
    <format dxfId="5366">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032"/>
          </reference>
        </references>
      </pivotArea>
    </format>
    <format dxfId="5365">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033"/>
          </reference>
        </references>
      </pivotArea>
    </format>
    <format dxfId="5364">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952"/>
          </reference>
        </references>
      </pivotArea>
    </format>
    <format dxfId="5363">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953"/>
          </reference>
        </references>
      </pivotArea>
    </format>
    <format dxfId="5362">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034"/>
          </reference>
        </references>
      </pivotArea>
    </format>
    <format dxfId="5361">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035"/>
          </reference>
        </references>
      </pivotArea>
    </format>
    <format dxfId="5360">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036"/>
          </reference>
        </references>
      </pivotArea>
    </format>
    <format dxfId="5359">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2095"/>
          </reference>
        </references>
      </pivotArea>
    </format>
    <format dxfId="5358">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2094"/>
          </reference>
        </references>
      </pivotArea>
    </format>
    <format dxfId="5357">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2096"/>
          </reference>
        </references>
      </pivotArea>
    </format>
    <format dxfId="5356">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037"/>
          </reference>
        </references>
      </pivotArea>
    </format>
    <format dxfId="5355">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038"/>
          </reference>
        </references>
      </pivotArea>
    </format>
    <format dxfId="5354">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039"/>
          </reference>
        </references>
      </pivotArea>
    </format>
    <format dxfId="5353">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132"/>
          </reference>
        </references>
      </pivotArea>
    </format>
    <format dxfId="535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236"/>
          </reference>
        </references>
      </pivotArea>
    </format>
    <format dxfId="535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237"/>
          </reference>
        </references>
      </pivotArea>
    </format>
    <format dxfId="5350">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238"/>
          </reference>
        </references>
      </pivotArea>
    </format>
    <format dxfId="534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239"/>
          </reference>
        </references>
      </pivotArea>
    </format>
    <format dxfId="534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159"/>
          </reference>
        </references>
      </pivotArea>
    </format>
    <format dxfId="534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160"/>
          </reference>
        </references>
      </pivotArea>
    </format>
    <format dxfId="534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161"/>
          </reference>
        </references>
      </pivotArea>
    </format>
    <format dxfId="534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162"/>
          </reference>
        </references>
      </pivotArea>
    </format>
    <format dxfId="5344">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932"/>
          </reference>
        </references>
      </pivotArea>
    </format>
    <format dxfId="5343">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931"/>
          </reference>
        </references>
      </pivotArea>
    </format>
    <format dxfId="534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155"/>
          </reference>
        </references>
      </pivotArea>
    </format>
    <format dxfId="534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156"/>
          </reference>
        </references>
      </pivotArea>
    </format>
    <format dxfId="5340">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157"/>
          </reference>
        </references>
      </pivotArea>
    </format>
    <format dxfId="533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158"/>
          </reference>
        </references>
      </pivotArea>
    </format>
    <format dxfId="533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151"/>
          </reference>
        </references>
      </pivotArea>
    </format>
    <format dxfId="533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152"/>
          </reference>
        </references>
      </pivotArea>
    </format>
    <format dxfId="533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153"/>
          </reference>
        </references>
      </pivotArea>
    </format>
    <format dxfId="533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154"/>
          </reference>
        </references>
      </pivotArea>
    </format>
    <format dxfId="5334">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2072"/>
          </reference>
        </references>
      </pivotArea>
    </format>
    <format dxfId="5333">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2073"/>
          </reference>
        </references>
      </pivotArea>
    </format>
    <format dxfId="5332">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2071"/>
          </reference>
        </references>
      </pivotArea>
    </format>
    <format dxfId="5331">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945"/>
          </reference>
        </references>
      </pivotArea>
    </format>
    <format dxfId="5330">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946"/>
          </reference>
        </references>
      </pivotArea>
    </format>
    <format dxfId="5329">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947"/>
          </reference>
        </references>
      </pivotArea>
    </format>
    <format dxfId="532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2000"/>
          </reference>
        </references>
      </pivotArea>
    </format>
    <format dxfId="532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2001"/>
          </reference>
        </references>
      </pivotArea>
    </format>
    <format dxfId="532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2002"/>
          </reference>
        </references>
      </pivotArea>
    </format>
    <format dxfId="532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2003"/>
          </reference>
        </references>
      </pivotArea>
    </format>
    <format dxfId="5324">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2083"/>
          </reference>
        </references>
      </pivotArea>
    </format>
    <format dxfId="5323">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2084"/>
          </reference>
        </references>
      </pivotArea>
    </format>
    <format dxfId="5322">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2085"/>
          </reference>
        </references>
      </pivotArea>
    </format>
    <format dxfId="5321">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147"/>
          </reference>
        </references>
      </pivotArea>
    </format>
    <format dxfId="5320">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148"/>
          </reference>
        </references>
      </pivotArea>
    </format>
    <format dxfId="5319">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941"/>
          </reference>
        </references>
      </pivotArea>
    </format>
    <format dxfId="5318">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954"/>
          </reference>
        </references>
      </pivotArea>
    </format>
    <format dxfId="5317">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955"/>
          </reference>
        </references>
      </pivotArea>
    </format>
    <format dxfId="5316">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948"/>
          </reference>
        </references>
      </pivotArea>
    </format>
    <format dxfId="5315">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949"/>
          </reference>
        </references>
      </pivotArea>
    </format>
    <format dxfId="5314">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947"/>
          </reference>
        </references>
      </pivotArea>
    </format>
    <format dxfId="531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997"/>
          </reference>
        </references>
      </pivotArea>
    </format>
    <format dxfId="531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995"/>
          </reference>
        </references>
      </pivotArea>
    </format>
    <format dxfId="531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998"/>
          </reference>
        </references>
      </pivotArea>
    </format>
    <format dxfId="531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999"/>
          </reference>
        </references>
      </pivotArea>
    </format>
    <format dxfId="5309">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2080"/>
          </reference>
        </references>
      </pivotArea>
    </format>
    <format dxfId="5308">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2081"/>
          </reference>
        </references>
      </pivotArea>
    </format>
    <format dxfId="5307">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2082"/>
          </reference>
        </references>
      </pivotArea>
    </format>
    <format dxfId="5306">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146"/>
          </reference>
        </references>
      </pivotArea>
    </format>
    <format dxfId="5305">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942"/>
          </reference>
        </references>
      </pivotArea>
    </format>
    <format dxfId="5304">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956"/>
          </reference>
        </references>
      </pivotArea>
    </format>
    <format dxfId="5303">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957"/>
          </reference>
        </references>
      </pivotArea>
    </format>
    <format dxfId="530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936"/>
          </reference>
        </references>
      </pivotArea>
    </format>
    <format dxfId="530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935"/>
          </reference>
        </references>
      </pivotArea>
    </format>
    <format dxfId="530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933"/>
          </reference>
        </references>
      </pivotArea>
    </format>
    <format dxfId="5299">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934"/>
          </reference>
        </references>
      </pivotArea>
    </format>
    <format dxfId="5298">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012"/>
          </reference>
        </references>
      </pivotArea>
    </format>
    <format dxfId="529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2074"/>
          </reference>
        </references>
      </pivotArea>
    </format>
    <format dxfId="529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2075"/>
          </reference>
        </references>
      </pivotArea>
    </format>
    <format dxfId="5295">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2076"/>
          </reference>
        </references>
      </pivotArea>
    </format>
    <format dxfId="529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087"/>
          </reference>
        </references>
      </pivotArea>
    </format>
    <format dxfId="5293">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088"/>
          </reference>
        </references>
      </pivotArea>
    </format>
    <format dxfId="5292">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086"/>
          </reference>
        </references>
      </pivotArea>
    </format>
    <format dxfId="5291">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013"/>
          </reference>
        </references>
      </pivotArea>
    </format>
    <format dxfId="529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2077"/>
          </reference>
        </references>
      </pivotArea>
    </format>
    <format dxfId="5289">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2078"/>
          </reference>
        </references>
      </pivotArea>
    </format>
    <format dxfId="5288">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2079"/>
          </reference>
        </references>
      </pivotArea>
    </format>
    <format dxfId="528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090"/>
          </reference>
        </references>
      </pivotArea>
    </format>
    <format dxfId="528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091"/>
          </reference>
        </references>
      </pivotArea>
    </format>
    <format dxfId="528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2092"/>
          </reference>
        </references>
      </pivotArea>
    </format>
    <format dxfId="528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089"/>
          </reference>
        </references>
      </pivotArea>
    </format>
    <format dxfId="528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2093"/>
          </reference>
        </references>
      </pivotArea>
    </format>
    <format dxfId="528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2144"/>
          </reference>
        </references>
      </pivotArea>
    </format>
    <format dxfId="5281">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2145"/>
          </reference>
        </references>
      </pivotArea>
    </format>
    <format dxfId="528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215"/>
          </reference>
        </references>
      </pivotArea>
    </format>
    <format dxfId="527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216"/>
          </reference>
        </references>
      </pivotArea>
    </format>
    <format dxfId="527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2217"/>
          </reference>
        </references>
      </pivotArea>
    </format>
    <format dxfId="527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214"/>
          </reference>
        </references>
      </pivotArea>
    </format>
    <format dxfId="527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223"/>
          </reference>
        </references>
      </pivotArea>
    </format>
    <format dxfId="527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224"/>
          </reference>
        </references>
      </pivotArea>
    </format>
    <format dxfId="527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2225"/>
          </reference>
        </references>
      </pivotArea>
    </format>
    <format dxfId="5273">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222"/>
          </reference>
        </references>
      </pivotArea>
    </format>
    <format dxfId="527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2220"/>
          </reference>
        </references>
      </pivotArea>
    </format>
    <format dxfId="527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2221"/>
          </reference>
        </references>
      </pivotArea>
    </format>
    <format dxfId="527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2219"/>
          </reference>
        </references>
      </pivotArea>
    </format>
    <format dxfId="5269">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2218"/>
          </reference>
        </references>
      </pivotArea>
    </format>
    <format dxfId="5268">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1962"/>
          </reference>
        </references>
      </pivotArea>
    </format>
    <format dxfId="5267">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963"/>
          </reference>
        </references>
      </pivotArea>
    </format>
    <format dxfId="5266">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2115"/>
          </reference>
        </references>
      </pivotArea>
    </format>
    <format dxfId="5265">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2232"/>
          </reference>
        </references>
      </pivotArea>
    </format>
    <format dxfId="5264">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2233"/>
          </reference>
        </references>
      </pivotArea>
    </format>
    <format dxfId="5263">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2235"/>
          </reference>
        </references>
      </pivotArea>
    </format>
    <format dxfId="526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981"/>
          </reference>
        </references>
      </pivotArea>
    </format>
    <format dxfId="526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984"/>
          </reference>
        </references>
      </pivotArea>
    </format>
    <format dxfId="526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982"/>
          </reference>
        </references>
      </pivotArea>
    </format>
    <format dxfId="525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983"/>
          </reference>
        </references>
      </pivotArea>
    </format>
    <format dxfId="525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181"/>
          </reference>
        </references>
      </pivotArea>
    </format>
    <format dxfId="525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177"/>
          </reference>
        </references>
      </pivotArea>
    </format>
    <format dxfId="525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178"/>
          </reference>
        </references>
      </pivotArea>
    </format>
    <format dxfId="525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179"/>
          </reference>
        </references>
      </pivotArea>
    </format>
    <format dxfId="525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180"/>
          </reference>
        </references>
      </pivotArea>
    </format>
    <format dxfId="525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977"/>
          </reference>
        </references>
      </pivotArea>
    </format>
    <format dxfId="525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980"/>
          </reference>
        </references>
      </pivotArea>
    </format>
    <format dxfId="525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978"/>
          </reference>
        </references>
      </pivotArea>
    </format>
    <format dxfId="525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979"/>
          </reference>
        </references>
      </pivotArea>
    </format>
    <format dxfId="524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176"/>
          </reference>
        </references>
      </pivotArea>
    </format>
    <format dxfId="524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172"/>
          </reference>
        </references>
      </pivotArea>
    </format>
    <format dxfId="524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173"/>
          </reference>
        </references>
      </pivotArea>
    </format>
    <format dxfId="524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174"/>
          </reference>
        </references>
      </pivotArea>
    </format>
    <format dxfId="524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175"/>
          </reference>
        </references>
      </pivotArea>
    </format>
    <format dxfId="524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022"/>
          </reference>
        </references>
      </pivotArea>
    </format>
    <format dxfId="524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017"/>
          </reference>
        </references>
      </pivotArea>
    </format>
    <format dxfId="524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023"/>
          </reference>
        </references>
      </pivotArea>
    </format>
    <format dxfId="524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024"/>
          </reference>
        </references>
      </pivotArea>
    </format>
    <format dxfId="524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171"/>
          </reference>
        </references>
      </pivotArea>
    </format>
    <format dxfId="523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167"/>
          </reference>
        </references>
      </pivotArea>
    </format>
    <format dxfId="523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168"/>
          </reference>
        </references>
      </pivotArea>
    </format>
    <format dxfId="523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169"/>
          </reference>
        </references>
      </pivotArea>
    </format>
    <format dxfId="523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170"/>
          </reference>
        </references>
      </pivotArea>
    </format>
    <format dxfId="523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2228"/>
          </reference>
        </references>
      </pivotArea>
    </format>
    <format dxfId="523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2231"/>
          </reference>
        </references>
      </pivotArea>
    </format>
    <format dxfId="5233">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2229"/>
          </reference>
        </references>
      </pivotArea>
    </format>
    <format dxfId="523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2230"/>
          </reference>
        </references>
      </pivotArea>
    </format>
    <format dxfId="523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190"/>
          </reference>
        </references>
      </pivotArea>
    </format>
    <format dxfId="523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191"/>
          </reference>
        </references>
      </pivotArea>
    </format>
    <format dxfId="5229">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192"/>
          </reference>
        </references>
      </pivotArea>
    </format>
    <format dxfId="522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193"/>
          </reference>
        </references>
      </pivotArea>
    </format>
    <format dxfId="522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194"/>
          </reference>
        </references>
      </pivotArea>
    </format>
    <format dxfId="522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195"/>
          </reference>
        </references>
      </pivotArea>
    </format>
    <format dxfId="5225">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196"/>
          </reference>
        </references>
      </pivotArea>
    </format>
    <format dxfId="522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197"/>
          </reference>
        </references>
      </pivotArea>
    </format>
    <format dxfId="522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2163"/>
          </reference>
        </references>
      </pivotArea>
    </format>
    <format dxfId="522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2165"/>
          </reference>
        </references>
      </pivotArea>
    </format>
    <format dxfId="522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2166"/>
          </reference>
        </references>
      </pivotArea>
    </format>
    <format dxfId="522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2164"/>
          </reference>
        </references>
      </pivotArea>
    </format>
    <format dxfId="5219">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2113"/>
          </reference>
        </references>
      </pivotArea>
    </format>
    <format dxfId="5218">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2114"/>
          </reference>
        </references>
      </pivotArea>
    </format>
    <format dxfId="5217">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2112"/>
          </reference>
        </references>
      </pivotArea>
    </format>
    <format dxfId="521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985"/>
          </reference>
        </references>
      </pivotArea>
    </format>
    <format dxfId="521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988"/>
          </reference>
        </references>
      </pivotArea>
    </format>
    <format dxfId="5214">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986"/>
          </reference>
        </references>
      </pivotArea>
    </format>
    <format dxfId="5213">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987"/>
          </reference>
        </references>
      </pivotArea>
    </format>
    <format dxfId="521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182"/>
          </reference>
        </references>
      </pivotArea>
    </format>
    <format dxfId="521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183"/>
          </reference>
        </references>
      </pivotArea>
    </format>
    <format dxfId="5210">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184"/>
          </reference>
        </references>
      </pivotArea>
    </format>
    <format dxfId="5209">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185"/>
          </reference>
        </references>
      </pivotArea>
    </format>
    <format dxfId="520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186"/>
          </reference>
        </references>
      </pivotArea>
    </format>
    <format dxfId="520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187"/>
          </reference>
        </references>
      </pivotArea>
    </format>
    <format dxfId="520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188"/>
          </reference>
        </references>
      </pivotArea>
    </format>
    <format dxfId="520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189"/>
          </reference>
        </references>
      </pivotArea>
    </format>
    <format dxfId="5204">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938"/>
          </reference>
        </references>
      </pivotArea>
    </format>
    <format dxfId="5203">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2240"/>
          </reference>
        </references>
      </pivotArea>
    </format>
    <format dxfId="5202">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975"/>
          </reference>
        </references>
      </pivotArea>
    </format>
    <format dxfId="5201">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939"/>
          </reference>
        </references>
      </pivotArea>
    </format>
    <format dxfId="5200">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976"/>
          </reference>
        </references>
      </pivotArea>
    </format>
    <format dxfId="5199">
      <pivotArea dataOnly="0" labelOnly="1" outline="0" fieldPosition="0">
        <references count="9">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x v="14"/>
          </reference>
        </references>
      </pivotArea>
    </format>
    <format dxfId="5198">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2242"/>
          </reference>
        </references>
      </pivotArea>
    </format>
    <format dxfId="5197">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244"/>
          </reference>
        </references>
      </pivotArea>
    </format>
    <format dxfId="5196">
      <pivotArea dataOnly="0" labelOnly="1" outline="0" fieldPosition="0">
        <references count="9">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x v="17"/>
          </reference>
        </references>
      </pivotArea>
    </format>
    <format dxfId="5195">
      <pivotArea dataOnly="0" labelOnly="1" outline="0" fieldPosition="0">
        <references count="9">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5194">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2243"/>
          </reference>
        </references>
      </pivotArea>
    </format>
    <format dxfId="5193">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968"/>
          </reference>
        </references>
      </pivotArea>
    </format>
    <format dxfId="5192">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245"/>
          </reference>
        </references>
      </pivotArea>
    </format>
    <format dxfId="5191">
      <pivotArea dataOnly="0" labelOnly="1" outline="0" fieldPosition="0">
        <references count="9">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5190">
      <pivotArea dataOnly="0" labelOnly="1" outline="0" fieldPosition="0">
        <references count="9">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x v="18"/>
          </reference>
        </references>
      </pivotArea>
    </format>
    <format dxfId="5189">
      <pivotArea dataOnly="0" labelOnly="1" outline="0" fieldPosition="0">
        <references count="9">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x v="16"/>
          </reference>
        </references>
      </pivotArea>
    </format>
    <format dxfId="5188">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937"/>
          </reference>
        </references>
      </pivotArea>
    </format>
    <format dxfId="5187">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2234"/>
          </reference>
        </references>
      </pivotArea>
    </format>
    <format dxfId="518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2098"/>
            <x v="2101"/>
          </reference>
        </references>
      </pivotArea>
    </format>
    <format dxfId="518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2">
            <x v="2099"/>
            <x v="2102"/>
          </reference>
        </references>
      </pivotArea>
    </format>
    <format dxfId="518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2107"/>
          </reference>
        </references>
      </pivotArea>
    </format>
    <format dxfId="518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2105"/>
          </reference>
        </references>
      </pivotArea>
    </format>
    <format dxfId="518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2104"/>
          </reference>
        </references>
      </pivotArea>
    </format>
    <format dxfId="518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2103"/>
          </reference>
        </references>
      </pivotArea>
    </format>
    <format dxfId="518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2097"/>
            <x v="2100"/>
          </reference>
        </references>
      </pivotArea>
    </format>
    <format dxfId="517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2106"/>
          </reference>
        </references>
      </pivotArea>
    </format>
    <format dxfId="5178">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2241"/>
          </reference>
        </references>
      </pivotArea>
    </format>
    <format dxfId="5177">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1974"/>
          </reference>
        </references>
      </pivotArea>
    </format>
    <format dxfId="5176">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972"/>
          </reference>
        </references>
      </pivotArea>
    </format>
    <format dxfId="5175">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2109"/>
            <x v="2111"/>
          </reference>
        </references>
      </pivotArea>
    </format>
    <format dxfId="5174">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2108"/>
            <x v="2110"/>
          </reference>
        </references>
      </pivotArea>
    </format>
    <format dxfId="5173">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973"/>
          </reference>
        </references>
      </pivotArea>
    </format>
    <format dxfId="5172">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2226"/>
          </reference>
        </references>
      </pivotArea>
    </format>
    <format dxfId="5171">
      <pivotArea dataOnly="0" labelOnly="1" outline="0" fieldPosition="0">
        <references count="9">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2227"/>
          </reference>
        </references>
      </pivotArea>
    </format>
    <format dxfId="5170">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2134"/>
          </reference>
        </references>
      </pivotArea>
    </format>
    <format dxfId="5169">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2140"/>
          </reference>
        </references>
      </pivotArea>
    </format>
    <format dxfId="5168">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1965"/>
          </reference>
        </references>
      </pivotArea>
    </format>
    <format dxfId="5167">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964"/>
          </reference>
        </references>
      </pivotArea>
    </format>
    <format dxfId="5166">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2210"/>
          </reference>
        </references>
      </pivotArea>
    </format>
    <format dxfId="5165">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2211"/>
          </reference>
        </references>
      </pivotArea>
    </format>
    <format dxfId="5164">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2212"/>
          </reference>
        </references>
      </pivotArea>
    </format>
    <format dxfId="5163">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2213"/>
          </reference>
        </references>
      </pivotArea>
    </format>
    <format dxfId="5162">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135"/>
          </reference>
        </references>
      </pivotArea>
    </format>
    <format dxfId="5161">
      <pivotArea dataOnly="0" labelOnly="1" outline="0" fieldPosition="0">
        <references count="9">
          <reference field="1" count="1" selected="0">
            <x v="50"/>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150"/>
          </reference>
        </references>
      </pivotArea>
    </format>
    <format dxfId="5160">
      <pivotArea field="82" type="button" dataOnly="0" labelOnly="1" outline="0" axis="axisRow" fieldPosition="9"/>
    </format>
    <format dxfId="5159">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120"/>
          </reference>
          <reference field="82" count="1">
            <x v="527"/>
          </reference>
        </references>
      </pivotArea>
    </format>
    <format dxfId="5158">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121"/>
          </reference>
          <reference field="82" count="1">
            <x v="528"/>
          </reference>
        </references>
      </pivotArea>
    </format>
    <format dxfId="5157">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206"/>
          </reference>
          <reference field="82" count="1">
            <x v="613"/>
          </reference>
        </references>
      </pivotArea>
    </format>
    <format dxfId="5156">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207"/>
          </reference>
          <reference field="82" count="1">
            <x v="614"/>
          </reference>
        </references>
      </pivotArea>
    </format>
    <format dxfId="5155">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208"/>
          </reference>
          <reference field="82" count="1">
            <x v="615"/>
          </reference>
        </references>
      </pivotArea>
    </format>
    <format dxfId="5154">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209"/>
          </reference>
          <reference field="82" count="1">
            <x v="616"/>
          </reference>
        </references>
      </pivotArea>
    </format>
    <format dxfId="5153">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126"/>
          </reference>
          <reference field="82" count="1">
            <x v="533"/>
          </reference>
        </references>
      </pivotArea>
    </format>
    <format dxfId="5152">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125"/>
          </reference>
          <reference field="82" count="1">
            <x v="532"/>
          </reference>
        </references>
      </pivotArea>
    </format>
    <format dxfId="5151">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53"/>
          </reference>
          <reference field="82" count="1">
            <x v="460"/>
          </reference>
        </references>
      </pivotArea>
    </format>
    <format dxfId="5150">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054"/>
          </reference>
          <reference field="82" count="1">
            <x v="461"/>
          </reference>
        </references>
      </pivotArea>
    </format>
    <format dxfId="5149">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051"/>
          </reference>
          <reference field="82" count="1">
            <x v="458"/>
          </reference>
        </references>
      </pivotArea>
    </format>
    <format dxfId="5148">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052"/>
          </reference>
          <reference field="82" count="1">
            <x v="459"/>
          </reference>
        </references>
      </pivotArea>
    </format>
    <format dxfId="5147">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126"/>
          </reference>
          <reference field="82" count="1">
            <x v="533"/>
          </reference>
        </references>
      </pivotArea>
    </format>
    <format dxfId="5146">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125"/>
          </reference>
          <reference field="82" count="1">
            <x v="532"/>
          </reference>
        </references>
      </pivotArea>
    </format>
    <format dxfId="5145">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48"/>
          </reference>
          <reference field="82" count="1">
            <x v="455"/>
          </reference>
        </references>
      </pivotArea>
    </format>
    <format dxfId="5144">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049"/>
          </reference>
          <reference field="82" count="1">
            <x v="456"/>
          </reference>
        </references>
      </pivotArea>
    </format>
    <format dxfId="5143">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051"/>
          </reference>
          <reference field="82" count="1">
            <x v="458"/>
          </reference>
        </references>
      </pivotArea>
    </format>
    <format dxfId="5142">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047"/>
          </reference>
          <reference field="82" count="1">
            <x v="454"/>
          </reference>
        </references>
      </pivotArea>
    </format>
    <format dxfId="5141">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124"/>
          </reference>
          <reference field="82" count="1">
            <x v="531"/>
          </reference>
        </references>
      </pivotArea>
    </format>
    <format dxfId="5140">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125"/>
          </reference>
          <reference field="82" count="1">
            <x v="532"/>
          </reference>
        </references>
      </pivotArea>
    </format>
    <format dxfId="5139">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1960"/>
          </reference>
          <reference field="82" count="1">
            <x v="364"/>
          </reference>
        </references>
      </pivotArea>
    </format>
    <format dxfId="5138">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961"/>
          </reference>
          <reference field="82" count="1">
            <x v="366"/>
          </reference>
        </references>
      </pivotArea>
    </format>
    <format dxfId="5137">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2040"/>
          </reference>
          <reference field="82" count="1">
            <x v="447"/>
          </reference>
        </references>
      </pivotArea>
    </format>
    <format dxfId="513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043"/>
          </reference>
          <reference field="82" count="1">
            <x v="450"/>
          </reference>
        </references>
      </pivotArea>
    </format>
    <format dxfId="5135">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041"/>
          </reference>
          <reference field="82" count="1">
            <x v="448"/>
          </reference>
        </references>
      </pivotArea>
    </format>
    <format dxfId="5134">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042"/>
          </reference>
          <reference field="82" count="1">
            <x v="449"/>
          </reference>
        </references>
      </pivotArea>
    </format>
    <format dxfId="5133">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116"/>
          </reference>
          <reference field="82" count="1">
            <x v="523"/>
          </reference>
        </references>
      </pivotArea>
    </format>
    <format dxfId="5132">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117"/>
          </reference>
          <reference field="82" count="1">
            <x v="524"/>
          </reference>
        </references>
      </pivotArea>
    </format>
    <format dxfId="5131">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198"/>
          </reference>
          <reference field="82" count="1">
            <x v="605"/>
          </reference>
        </references>
      </pivotArea>
    </format>
    <format dxfId="5130">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199"/>
          </reference>
          <reference field="82" count="1">
            <x v="606"/>
          </reference>
        </references>
      </pivotArea>
    </format>
    <format dxfId="5129">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200"/>
          </reference>
          <reference field="82" count="1">
            <x v="607"/>
          </reference>
        </references>
      </pivotArea>
    </format>
    <format dxfId="5128">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201"/>
          </reference>
          <reference field="82" count="1">
            <x v="608"/>
          </reference>
        </references>
      </pivotArea>
    </format>
    <format dxfId="5127">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1970"/>
          </reference>
          <reference field="82" count="1">
            <x v="375"/>
          </reference>
        </references>
      </pivotArea>
    </format>
    <format dxfId="5126">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1960"/>
          </reference>
          <reference field="82" count="1">
            <x v="365"/>
          </reference>
        </references>
      </pivotArea>
    </format>
    <format dxfId="512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2015"/>
          </reference>
          <reference field="82" count="1">
            <x v="421"/>
          </reference>
        </references>
      </pivotArea>
    </format>
    <format dxfId="512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2017"/>
          </reference>
          <reference field="82" count="1">
            <x v="423"/>
          </reference>
        </references>
      </pivotArea>
    </format>
    <format dxfId="512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2018"/>
          </reference>
          <reference field="82" count="1">
            <x v="424"/>
          </reference>
        </references>
      </pivotArea>
    </format>
    <format dxfId="512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2014"/>
          </reference>
          <reference field="82" count="1">
            <x v="420"/>
          </reference>
        </references>
      </pivotArea>
    </format>
    <format dxfId="512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2019"/>
          </reference>
          <reference field="82" count="1">
            <x v="425"/>
          </reference>
        </references>
      </pivotArea>
    </format>
    <format dxfId="512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2020"/>
          </reference>
          <reference field="82" count="1">
            <x v="426"/>
          </reference>
        </references>
      </pivotArea>
    </format>
    <format dxfId="511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2021"/>
          </reference>
          <reference field="82" count="1">
            <x v="427"/>
          </reference>
        </references>
      </pivotArea>
    </format>
    <format dxfId="511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2016"/>
          </reference>
          <reference field="82" count="1">
            <x v="422"/>
          </reference>
        </references>
      </pivotArea>
    </format>
    <format dxfId="511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48"/>
          </reference>
          <reference field="82" count="1">
            <x v="455"/>
          </reference>
        </references>
      </pivotArea>
    </format>
    <format dxfId="511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049"/>
          </reference>
          <reference field="82" count="1">
            <x v="456"/>
          </reference>
        </references>
      </pivotArea>
    </format>
    <format dxfId="5115">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050"/>
          </reference>
          <reference field="82" count="1">
            <x v="457"/>
          </reference>
        </references>
      </pivotArea>
    </format>
    <format dxfId="5114">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047"/>
          </reference>
          <reference field="82" count="1">
            <x v="454"/>
          </reference>
        </references>
      </pivotArea>
    </format>
    <format dxfId="5113">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1969"/>
          </reference>
          <reference field="82" count="1">
            <x v="374"/>
          </reference>
        </references>
      </pivotArea>
    </format>
    <format dxfId="5112">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118"/>
          </reference>
          <reference field="82" count="1">
            <x v="525"/>
          </reference>
        </references>
      </pivotArea>
    </format>
    <format dxfId="5111">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119"/>
          </reference>
          <reference field="82" count="1">
            <x v="526"/>
          </reference>
        </references>
      </pivotArea>
    </format>
    <format dxfId="5110">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046"/>
          </reference>
          <reference field="82" count="1">
            <x v="453"/>
          </reference>
        </references>
      </pivotArea>
    </format>
    <format dxfId="5109">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044"/>
          </reference>
          <reference field="82" count="1">
            <x v="451"/>
          </reference>
        </references>
      </pivotArea>
    </format>
    <format dxfId="5108">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045"/>
          </reference>
          <reference field="82" count="1">
            <x v="452"/>
          </reference>
        </references>
      </pivotArea>
    </format>
    <format dxfId="5107">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122"/>
          </reference>
          <reference field="82" count="1">
            <x v="529"/>
          </reference>
        </references>
      </pivotArea>
    </format>
    <format dxfId="5106">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123"/>
          </reference>
          <reference field="82" count="1">
            <x v="530"/>
          </reference>
        </references>
      </pivotArea>
    </format>
    <format dxfId="5105">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202"/>
          </reference>
          <reference field="82" count="1">
            <x v="609"/>
          </reference>
        </references>
      </pivotArea>
    </format>
    <format dxfId="5104">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203"/>
          </reference>
          <reference field="82" count="1">
            <x v="610"/>
          </reference>
        </references>
      </pivotArea>
    </format>
    <format dxfId="5103">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204"/>
          </reference>
          <reference field="82" count="1">
            <x v="611"/>
          </reference>
        </references>
      </pivotArea>
    </format>
    <format dxfId="5102">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205"/>
          </reference>
          <reference field="82" count="1">
            <x v="612"/>
          </reference>
        </references>
      </pivotArea>
    </format>
    <format dxfId="5101">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126"/>
          </reference>
          <reference field="82" count="1">
            <x v="533"/>
          </reference>
        </references>
      </pivotArea>
    </format>
    <format dxfId="5100">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127"/>
          </reference>
          <reference field="82" count="1">
            <x v="534"/>
          </reference>
        </references>
      </pivotArea>
    </format>
    <format dxfId="5099">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55"/>
          </reference>
          <reference field="82" count="1">
            <x v="462"/>
          </reference>
        </references>
      </pivotArea>
    </format>
    <format dxfId="5098">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2062"/>
          </reference>
          <reference field="82" count="1">
            <x v="469"/>
          </reference>
        </references>
      </pivotArea>
    </format>
    <format dxfId="5097">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2063"/>
          </reference>
          <reference field="82" count="1">
            <x v="470"/>
          </reference>
        </references>
      </pivotArea>
    </format>
    <format dxfId="5096">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2064"/>
          </reference>
          <reference field="82" count="1">
            <x v="471"/>
          </reference>
        </references>
      </pivotArea>
    </format>
    <format dxfId="5095">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1966"/>
          </reference>
          <reference field="82" count="1">
            <x v="371"/>
          </reference>
        </references>
      </pivotArea>
    </format>
    <format dxfId="5094">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selected="0">
            <x v="1950"/>
          </reference>
          <reference field="82" count="1">
            <x v="354"/>
          </reference>
        </references>
      </pivotArea>
    </format>
    <format dxfId="5093">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1951"/>
          </reference>
          <reference field="82" count="1">
            <x v="355"/>
          </reference>
        </references>
      </pivotArea>
    </format>
    <format dxfId="5092">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056"/>
          </reference>
          <reference field="82" count="1">
            <x v="463"/>
          </reference>
        </references>
      </pivotArea>
    </format>
    <format dxfId="5091">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057"/>
          </reference>
          <reference field="82" count="1">
            <x v="464"/>
          </reference>
        </references>
      </pivotArea>
    </format>
    <format dxfId="5090">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058"/>
          </reference>
          <reference field="82" count="1">
            <x v="465"/>
          </reference>
        </references>
      </pivotArea>
    </format>
    <format dxfId="5089">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128"/>
          </reference>
          <reference field="82" count="1">
            <x v="535"/>
          </reference>
        </references>
      </pivotArea>
    </format>
    <format dxfId="5088">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2129"/>
          </reference>
          <reference field="82" count="1">
            <x v="536"/>
          </reference>
        </references>
      </pivotArea>
    </format>
    <format dxfId="5087">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1971"/>
          </reference>
          <reference field="82" count="1">
            <x v="376"/>
          </reference>
        </references>
      </pivotArea>
    </format>
    <format dxfId="5086">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059"/>
          </reference>
          <reference field="82" count="1">
            <x v="466"/>
          </reference>
        </references>
      </pivotArea>
    </format>
    <format dxfId="5085">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060"/>
          </reference>
          <reference field="82" count="1">
            <x v="467"/>
          </reference>
        </references>
      </pivotArea>
    </format>
    <format dxfId="5084">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061"/>
          </reference>
          <reference field="82" count="1">
            <x v="468"/>
          </reference>
        </references>
      </pivotArea>
    </format>
    <format dxfId="5083">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135"/>
          </reference>
          <reference field="82" count="1">
            <x v="542"/>
          </reference>
        </references>
      </pivotArea>
    </format>
    <format dxfId="5082">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2068"/>
          </reference>
          <reference field="82" count="1">
            <x v="475"/>
          </reference>
        </references>
      </pivotArea>
    </format>
    <format dxfId="5081">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2069"/>
          </reference>
          <reference field="82" count="1">
            <x v="476"/>
          </reference>
        </references>
      </pivotArea>
    </format>
    <format dxfId="5080">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2070"/>
          </reference>
          <reference field="82" count="1">
            <x v="477"/>
          </reference>
        </references>
      </pivotArea>
    </format>
    <format dxfId="5079">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1943"/>
          </reference>
          <reference field="82" count="1">
            <x v="347"/>
          </reference>
        </references>
      </pivotArea>
    </format>
    <format dxfId="5078">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944"/>
          </reference>
          <reference field="82" count="1">
            <x v="348"/>
          </reference>
        </references>
      </pivotArea>
    </format>
    <format dxfId="507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2006"/>
          </reference>
          <reference field="82" count="1">
            <x v="412"/>
          </reference>
        </references>
      </pivotArea>
    </format>
    <format dxfId="5076">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2007"/>
          </reference>
          <reference field="82" count="1">
            <x v="413"/>
          </reference>
        </references>
      </pivotArea>
    </format>
    <format dxfId="5075">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2004"/>
          </reference>
          <reference field="82" count="1">
            <x v="410"/>
          </reference>
        </references>
      </pivotArea>
    </format>
    <format dxfId="5074">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2005"/>
          </reference>
          <reference field="82" count="1">
            <x v="411"/>
          </reference>
        </references>
      </pivotArea>
    </format>
    <format dxfId="5073">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2065"/>
          </reference>
          <reference field="82" count="1">
            <x v="472"/>
          </reference>
        </references>
      </pivotArea>
    </format>
    <format dxfId="5072">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2066"/>
          </reference>
          <reference field="82" count="1">
            <x v="473"/>
          </reference>
        </references>
      </pivotArea>
    </format>
    <format dxfId="5071">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2067"/>
          </reference>
          <reference field="82" count="1">
            <x v="474"/>
          </reference>
        </references>
      </pivotArea>
    </format>
    <format dxfId="5070">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2149"/>
          </reference>
          <reference field="82" count="1">
            <x v="556"/>
          </reference>
        </references>
      </pivotArea>
    </format>
    <format dxfId="5069">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1959"/>
          </reference>
          <reference field="82" count="1">
            <x v="363"/>
          </reference>
        </references>
      </pivotArea>
    </format>
    <format dxfId="5068">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2029"/>
          </reference>
          <reference field="82" count="1">
            <x v="436"/>
          </reference>
        </references>
      </pivotArea>
    </format>
    <format dxfId="5067">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2028"/>
          </reference>
          <reference field="82" count="1">
            <x v="435"/>
          </reference>
        </references>
      </pivotArea>
    </format>
    <format dxfId="5066">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2030"/>
          </reference>
          <reference field="82" count="1">
            <x v="437"/>
          </reference>
        </references>
      </pivotArea>
    </format>
    <format dxfId="5065">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1967"/>
          </reference>
          <reference field="82" count="1">
            <x v="372"/>
          </reference>
        </references>
      </pivotArea>
    </format>
    <format dxfId="5064">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1958"/>
          </reference>
          <reference field="82" count="1">
            <x v="362"/>
          </reference>
        </references>
      </pivotArea>
    </format>
    <format dxfId="5063">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2010"/>
          </reference>
          <reference field="82" count="1">
            <x v="416"/>
          </reference>
        </references>
      </pivotArea>
    </format>
    <format dxfId="5062">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2011"/>
          </reference>
          <reference field="82" count="1">
            <x v="417"/>
          </reference>
        </references>
      </pivotArea>
    </format>
    <format dxfId="5061">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2008"/>
          </reference>
          <reference field="82" count="1">
            <x v="414"/>
          </reference>
        </references>
      </pivotArea>
    </format>
    <format dxfId="5060">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2009"/>
          </reference>
          <reference field="82" count="1">
            <x v="415"/>
          </reference>
        </references>
      </pivotArea>
    </format>
    <format dxfId="5059">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025"/>
          </reference>
          <reference field="82" count="1">
            <x v="432"/>
          </reference>
        </references>
      </pivotArea>
    </format>
    <format dxfId="5058">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026"/>
          </reference>
          <reference field="82" count="1">
            <x v="433"/>
          </reference>
        </references>
      </pivotArea>
    </format>
    <format dxfId="5057">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027"/>
          </reference>
          <reference field="82" count="1">
            <x v="434"/>
          </reference>
        </references>
      </pivotArea>
    </format>
    <format dxfId="5056">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2141"/>
          </reference>
          <reference field="82" count="1">
            <x v="548"/>
          </reference>
        </references>
      </pivotArea>
    </format>
    <format dxfId="5055">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031"/>
          </reference>
          <reference field="82" count="1">
            <x v="438"/>
          </reference>
        </references>
      </pivotArea>
    </format>
    <format dxfId="5054">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032"/>
          </reference>
          <reference field="82" count="1">
            <x v="439"/>
          </reference>
        </references>
      </pivotArea>
    </format>
    <format dxfId="5053">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033"/>
          </reference>
          <reference field="82" count="1">
            <x v="440"/>
          </reference>
        </references>
      </pivotArea>
    </format>
    <format dxfId="5052">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1952"/>
          </reference>
          <reference field="82" count="1">
            <x v="356"/>
          </reference>
        </references>
      </pivotArea>
    </format>
    <format dxfId="5051">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953"/>
          </reference>
          <reference field="82" count="1">
            <x v="357"/>
          </reference>
        </references>
      </pivotArea>
    </format>
    <format dxfId="5050">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034"/>
          </reference>
          <reference field="82" count="1">
            <x v="441"/>
          </reference>
        </references>
      </pivotArea>
    </format>
    <format dxfId="5049">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035"/>
          </reference>
          <reference field="82" count="1">
            <x v="442"/>
          </reference>
        </references>
      </pivotArea>
    </format>
    <format dxfId="5048">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036"/>
          </reference>
          <reference field="82" count="1">
            <x v="443"/>
          </reference>
        </references>
      </pivotArea>
    </format>
    <format dxfId="5047">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2095"/>
          </reference>
          <reference field="82" count="1">
            <x v="502"/>
          </reference>
        </references>
      </pivotArea>
    </format>
    <format dxfId="5046">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2094"/>
          </reference>
          <reference field="82" count="1">
            <x v="501"/>
          </reference>
        </references>
      </pivotArea>
    </format>
    <format dxfId="5045">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2096"/>
          </reference>
          <reference field="82" count="1">
            <x v="503"/>
          </reference>
        </references>
      </pivotArea>
    </format>
    <format dxfId="5044">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037"/>
          </reference>
          <reference field="82" count="1">
            <x v="444"/>
          </reference>
        </references>
      </pivotArea>
    </format>
    <format dxfId="5043">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038"/>
          </reference>
          <reference field="82" count="1">
            <x v="445"/>
          </reference>
        </references>
      </pivotArea>
    </format>
    <format dxfId="5042">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039"/>
          </reference>
          <reference field="82" count="1">
            <x v="446"/>
          </reference>
        </references>
      </pivotArea>
    </format>
    <format dxfId="5041">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132"/>
          </reference>
          <reference field="82" count="1">
            <x v="539"/>
          </reference>
        </references>
      </pivotArea>
    </format>
    <format dxfId="5040">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236"/>
          </reference>
          <reference field="82" count="1">
            <x v="643"/>
          </reference>
        </references>
      </pivotArea>
    </format>
    <format dxfId="5039">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237"/>
          </reference>
          <reference field="82" count="1">
            <x v="644"/>
          </reference>
        </references>
      </pivotArea>
    </format>
    <format dxfId="5038">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238"/>
          </reference>
          <reference field="82" count="1">
            <x v="645"/>
          </reference>
        </references>
      </pivotArea>
    </format>
    <format dxfId="5037">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239"/>
          </reference>
          <reference field="82" count="1">
            <x v="646"/>
          </reference>
        </references>
      </pivotArea>
    </format>
    <format dxfId="5036">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159"/>
          </reference>
          <reference field="82" count="1">
            <x v="566"/>
          </reference>
        </references>
      </pivotArea>
    </format>
    <format dxfId="5035">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160"/>
          </reference>
          <reference field="82" count="1">
            <x v="567"/>
          </reference>
        </references>
      </pivotArea>
    </format>
    <format dxfId="5034">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161"/>
          </reference>
          <reference field="82" count="1">
            <x v="568"/>
          </reference>
        </references>
      </pivotArea>
    </format>
    <format dxfId="5033">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162"/>
          </reference>
          <reference field="82" count="1">
            <x v="569"/>
          </reference>
        </references>
      </pivotArea>
    </format>
    <format dxfId="5032">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1932"/>
          </reference>
          <reference field="82" count="1">
            <x v="336"/>
          </reference>
        </references>
      </pivotArea>
    </format>
    <format dxfId="5031">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1931"/>
          </reference>
          <reference field="82" count="1">
            <x v="335"/>
          </reference>
        </references>
      </pivotArea>
    </format>
    <format dxfId="5030">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155"/>
          </reference>
          <reference field="82" count="1">
            <x v="562"/>
          </reference>
        </references>
      </pivotArea>
    </format>
    <format dxfId="5029">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156"/>
          </reference>
          <reference field="82" count="1">
            <x v="563"/>
          </reference>
        </references>
      </pivotArea>
    </format>
    <format dxfId="5028">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157"/>
          </reference>
          <reference field="82" count="1">
            <x v="564"/>
          </reference>
        </references>
      </pivotArea>
    </format>
    <format dxfId="5027">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158"/>
          </reference>
          <reference field="82" count="1">
            <x v="565"/>
          </reference>
        </references>
      </pivotArea>
    </format>
    <format dxfId="5026">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151"/>
          </reference>
          <reference field="82" count="1">
            <x v="558"/>
          </reference>
        </references>
      </pivotArea>
    </format>
    <format dxfId="5025">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152"/>
          </reference>
          <reference field="82" count="1">
            <x v="559"/>
          </reference>
        </references>
      </pivotArea>
    </format>
    <format dxfId="5024">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153"/>
          </reference>
          <reference field="82" count="1">
            <x v="560"/>
          </reference>
        </references>
      </pivotArea>
    </format>
    <format dxfId="5023">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154"/>
          </reference>
          <reference field="82" count="1">
            <x v="561"/>
          </reference>
        </references>
      </pivotArea>
    </format>
    <format dxfId="5022">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2072"/>
          </reference>
          <reference field="82" count="1">
            <x v="479"/>
          </reference>
        </references>
      </pivotArea>
    </format>
    <format dxfId="5021">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2073"/>
          </reference>
          <reference field="82" count="1">
            <x v="480"/>
          </reference>
        </references>
      </pivotArea>
    </format>
    <format dxfId="5020">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2071"/>
          </reference>
          <reference field="82" count="1">
            <x v="478"/>
          </reference>
        </references>
      </pivotArea>
    </format>
    <format dxfId="5019">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945"/>
          </reference>
          <reference field="82" count="1">
            <x v="349"/>
          </reference>
        </references>
      </pivotArea>
    </format>
    <format dxfId="5018">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1946"/>
          </reference>
          <reference field="82" count="1">
            <x v="350"/>
          </reference>
        </references>
      </pivotArea>
    </format>
    <format dxfId="5017">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947"/>
          </reference>
          <reference field="82" count="1">
            <x v="351"/>
          </reference>
        </references>
      </pivotArea>
    </format>
    <format dxfId="5016">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2000"/>
          </reference>
          <reference field="82" count="1">
            <x v="406"/>
          </reference>
        </references>
      </pivotArea>
    </format>
    <format dxfId="5015">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2001"/>
          </reference>
          <reference field="82" count="1">
            <x v="407"/>
          </reference>
        </references>
      </pivotArea>
    </format>
    <format dxfId="5014">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2002"/>
          </reference>
          <reference field="82" count="1">
            <x v="408"/>
          </reference>
        </references>
      </pivotArea>
    </format>
    <format dxfId="5013">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2003"/>
          </reference>
          <reference field="82" count="1">
            <x v="409"/>
          </reference>
        </references>
      </pivotArea>
    </format>
    <format dxfId="5012">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2083"/>
          </reference>
          <reference field="82" count="1">
            <x v="490"/>
          </reference>
        </references>
      </pivotArea>
    </format>
    <format dxfId="5011">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2084"/>
          </reference>
          <reference field="82" count="1">
            <x v="491"/>
          </reference>
        </references>
      </pivotArea>
    </format>
    <format dxfId="5010">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2085"/>
          </reference>
          <reference field="82" count="1">
            <x v="492"/>
          </reference>
        </references>
      </pivotArea>
    </format>
    <format dxfId="5009">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147"/>
          </reference>
          <reference field="82" count="1">
            <x v="554"/>
          </reference>
        </references>
      </pivotArea>
    </format>
    <format dxfId="5008">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148"/>
          </reference>
          <reference field="82" count="1">
            <x v="555"/>
          </reference>
        </references>
      </pivotArea>
    </format>
    <format dxfId="5007">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1941"/>
          </reference>
          <reference field="82" count="1">
            <x v="345"/>
          </reference>
        </references>
      </pivotArea>
    </format>
    <format dxfId="5006">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954"/>
          </reference>
          <reference field="82" count="1">
            <x v="358"/>
          </reference>
        </references>
      </pivotArea>
    </format>
    <format dxfId="5005">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1955"/>
          </reference>
          <reference field="82" count="1">
            <x v="359"/>
          </reference>
        </references>
      </pivotArea>
    </format>
    <format dxfId="5004">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948"/>
          </reference>
          <reference field="82" count="1">
            <x v="352"/>
          </reference>
        </references>
      </pivotArea>
    </format>
    <format dxfId="5003">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1949"/>
          </reference>
          <reference field="82" count="1">
            <x v="353"/>
          </reference>
        </references>
      </pivotArea>
    </format>
    <format dxfId="5002">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947"/>
          </reference>
          <reference field="82" count="1">
            <x v="351"/>
          </reference>
        </references>
      </pivotArea>
    </format>
    <format dxfId="5001">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1997"/>
          </reference>
          <reference field="82" count="1">
            <x v="402"/>
          </reference>
        </references>
      </pivotArea>
    </format>
    <format dxfId="5000">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1995"/>
          </reference>
          <reference field="82" count="1">
            <x v="403"/>
          </reference>
        </references>
      </pivotArea>
    </format>
    <format dxfId="4999">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1998"/>
          </reference>
          <reference field="82" count="1">
            <x v="404"/>
          </reference>
        </references>
      </pivotArea>
    </format>
    <format dxfId="4998">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1999"/>
          </reference>
          <reference field="82" count="1">
            <x v="405"/>
          </reference>
        </references>
      </pivotArea>
    </format>
    <format dxfId="4997">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2080"/>
          </reference>
          <reference field="82" count="1">
            <x v="487"/>
          </reference>
        </references>
      </pivotArea>
    </format>
    <format dxfId="4996">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2081"/>
          </reference>
          <reference field="82" count="1">
            <x v="488"/>
          </reference>
        </references>
      </pivotArea>
    </format>
    <format dxfId="4995">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2082"/>
          </reference>
          <reference field="82" count="1">
            <x v="489"/>
          </reference>
        </references>
      </pivotArea>
    </format>
    <format dxfId="4994">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146"/>
          </reference>
          <reference field="82" count="1">
            <x v="553"/>
          </reference>
        </references>
      </pivotArea>
    </format>
    <format dxfId="4993">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1942"/>
          </reference>
          <reference field="82" count="1">
            <x v="346"/>
          </reference>
        </references>
      </pivotArea>
    </format>
    <format dxfId="4992">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956"/>
          </reference>
          <reference field="82" count="1">
            <x v="360"/>
          </reference>
        </references>
      </pivotArea>
    </format>
    <format dxfId="4991">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1957"/>
          </reference>
          <reference field="82" count="1">
            <x v="361"/>
          </reference>
        </references>
      </pivotArea>
    </format>
    <format dxfId="4990">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1936"/>
          </reference>
          <reference field="82" count="1">
            <x v="340"/>
          </reference>
        </references>
      </pivotArea>
    </format>
    <format dxfId="4989">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1935"/>
          </reference>
          <reference field="82" count="1">
            <x v="339"/>
          </reference>
        </references>
      </pivotArea>
    </format>
    <format dxfId="4988">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1933"/>
          </reference>
          <reference field="82" count="1">
            <x v="337"/>
          </reference>
        </references>
      </pivotArea>
    </format>
    <format dxfId="4987">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1934"/>
          </reference>
          <reference field="82" count="1">
            <x v="338"/>
          </reference>
        </references>
      </pivotArea>
    </format>
    <format dxfId="4986">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012"/>
          </reference>
          <reference field="82" count="1">
            <x v="418"/>
          </reference>
        </references>
      </pivotArea>
    </format>
    <format dxfId="4985">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2074"/>
          </reference>
          <reference field="82" count="1">
            <x v="481"/>
          </reference>
        </references>
      </pivotArea>
    </format>
    <format dxfId="4984">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2075"/>
          </reference>
          <reference field="82" count="1">
            <x v="482"/>
          </reference>
        </references>
      </pivotArea>
    </format>
    <format dxfId="4983">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2076"/>
          </reference>
          <reference field="82" count="1">
            <x v="483"/>
          </reference>
        </references>
      </pivotArea>
    </format>
    <format dxfId="4982">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087"/>
          </reference>
          <reference field="82" count="1">
            <x v="494"/>
          </reference>
        </references>
      </pivotArea>
    </format>
    <format dxfId="4981">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088"/>
          </reference>
          <reference field="82" count="1">
            <x v="495"/>
          </reference>
        </references>
      </pivotArea>
    </format>
    <format dxfId="4980">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086"/>
          </reference>
          <reference field="82" count="1">
            <x v="493"/>
          </reference>
        </references>
      </pivotArea>
    </format>
    <format dxfId="4979">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013"/>
          </reference>
          <reference field="82" count="1">
            <x v="419"/>
          </reference>
        </references>
      </pivotArea>
    </format>
    <format dxfId="4978">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2077"/>
          </reference>
          <reference field="82" count="1">
            <x v="484"/>
          </reference>
        </references>
      </pivotArea>
    </format>
    <format dxfId="4977">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2078"/>
          </reference>
          <reference field="82" count="1">
            <x v="485"/>
          </reference>
        </references>
      </pivotArea>
    </format>
    <format dxfId="4976">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2079"/>
          </reference>
          <reference field="82" count="1">
            <x v="486"/>
          </reference>
        </references>
      </pivotArea>
    </format>
    <format dxfId="4975">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090"/>
          </reference>
          <reference field="82" count="1">
            <x v="497"/>
          </reference>
        </references>
      </pivotArea>
    </format>
    <format dxfId="4974">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091"/>
          </reference>
          <reference field="82" count="1">
            <x v="498"/>
          </reference>
        </references>
      </pivotArea>
    </format>
    <format dxfId="4973">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2092"/>
          </reference>
          <reference field="82" count="1">
            <x v="499"/>
          </reference>
        </references>
      </pivotArea>
    </format>
    <format dxfId="4972">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089"/>
          </reference>
          <reference field="82" count="1">
            <x v="496"/>
          </reference>
        </references>
      </pivotArea>
    </format>
    <format dxfId="4971">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2093"/>
          </reference>
          <reference field="82" count="1">
            <x v="500"/>
          </reference>
        </references>
      </pivotArea>
    </format>
    <format dxfId="4970">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2144"/>
          </reference>
          <reference field="82" count="1">
            <x v="551"/>
          </reference>
        </references>
      </pivotArea>
    </format>
    <format dxfId="4969">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2145"/>
          </reference>
          <reference field="82" count="1">
            <x v="552"/>
          </reference>
        </references>
      </pivotArea>
    </format>
    <format dxfId="4968">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215"/>
          </reference>
          <reference field="82" count="1">
            <x v="622"/>
          </reference>
        </references>
      </pivotArea>
    </format>
    <format dxfId="4967">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216"/>
          </reference>
          <reference field="82" count="1">
            <x v="623"/>
          </reference>
        </references>
      </pivotArea>
    </format>
    <format dxfId="4966">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2217"/>
          </reference>
          <reference field="82" count="1">
            <x v="624"/>
          </reference>
        </references>
      </pivotArea>
    </format>
    <format dxfId="4965">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214"/>
          </reference>
          <reference field="82" count="1">
            <x v="621"/>
          </reference>
        </references>
      </pivotArea>
    </format>
    <format dxfId="4964">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223"/>
          </reference>
          <reference field="82" count="1">
            <x v="630"/>
          </reference>
        </references>
      </pivotArea>
    </format>
    <format dxfId="4963">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224"/>
          </reference>
          <reference field="82" count="1">
            <x v="631"/>
          </reference>
        </references>
      </pivotArea>
    </format>
    <format dxfId="4962">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2225"/>
          </reference>
          <reference field="82" count="1">
            <x v="632"/>
          </reference>
        </references>
      </pivotArea>
    </format>
    <format dxfId="4961">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222"/>
          </reference>
          <reference field="82" count="1">
            <x v="629"/>
          </reference>
        </references>
      </pivotArea>
    </format>
    <format dxfId="4960">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selected="0">
            <x v="2220"/>
          </reference>
          <reference field="82" count="1">
            <x v="627"/>
          </reference>
        </references>
      </pivotArea>
    </format>
    <format dxfId="4959">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selected="0">
            <x v="2221"/>
          </reference>
          <reference field="82" count="1">
            <x v="628"/>
          </reference>
        </references>
      </pivotArea>
    </format>
    <format dxfId="4958">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selected="0">
            <x v="2219"/>
          </reference>
          <reference field="82" count="1">
            <x v="626"/>
          </reference>
        </references>
      </pivotArea>
    </format>
    <format dxfId="4957">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selected="0">
            <x v="2218"/>
          </reference>
          <reference field="82" count="1">
            <x v="625"/>
          </reference>
        </references>
      </pivotArea>
    </format>
    <format dxfId="4956">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1962"/>
          </reference>
          <reference field="82" count="1">
            <x v="367"/>
          </reference>
        </references>
      </pivotArea>
    </format>
    <format dxfId="4955">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1963"/>
          </reference>
          <reference field="82" count="1">
            <x v="368"/>
          </reference>
        </references>
      </pivotArea>
    </format>
    <format dxfId="4954">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2115"/>
          </reference>
          <reference field="82" count="1">
            <x v="522"/>
          </reference>
        </references>
      </pivotArea>
    </format>
    <format dxfId="4953">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2232"/>
          </reference>
          <reference field="82" count="1">
            <x v="639"/>
          </reference>
        </references>
      </pivotArea>
    </format>
    <format dxfId="4952">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2233"/>
          </reference>
          <reference field="82" count="1">
            <x v="640"/>
          </reference>
        </references>
      </pivotArea>
    </format>
    <format dxfId="4951">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2235"/>
          </reference>
          <reference field="82" count="1">
            <x v="642"/>
          </reference>
        </references>
      </pivotArea>
    </format>
    <format dxfId="4950">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981"/>
          </reference>
          <reference field="82" count="1">
            <x v="386"/>
          </reference>
        </references>
      </pivotArea>
    </format>
    <format dxfId="4949">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984"/>
          </reference>
          <reference field="82" count="1">
            <x v="389"/>
          </reference>
        </references>
      </pivotArea>
    </format>
    <format dxfId="4948">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982"/>
          </reference>
          <reference field="82" count="1">
            <x v="387"/>
          </reference>
        </references>
      </pivotArea>
    </format>
    <format dxfId="4947">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983"/>
          </reference>
          <reference field="82" count="1">
            <x v="388"/>
          </reference>
        </references>
      </pivotArea>
    </format>
    <format dxfId="4946">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181"/>
          </reference>
          <reference field="82" count="1">
            <x v="588"/>
          </reference>
        </references>
      </pivotArea>
    </format>
    <format dxfId="4945">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177"/>
          </reference>
          <reference field="82" count="1">
            <x v="584"/>
          </reference>
        </references>
      </pivotArea>
    </format>
    <format dxfId="4944">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178"/>
          </reference>
          <reference field="82" count="1">
            <x v="585"/>
          </reference>
        </references>
      </pivotArea>
    </format>
    <format dxfId="4943">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179"/>
          </reference>
          <reference field="82" count="1">
            <x v="586"/>
          </reference>
        </references>
      </pivotArea>
    </format>
    <format dxfId="4942">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180"/>
          </reference>
          <reference field="82" count="1">
            <x v="587"/>
          </reference>
        </references>
      </pivotArea>
    </format>
    <format dxfId="4941">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977"/>
          </reference>
          <reference field="82" count="1">
            <x v="382"/>
          </reference>
        </references>
      </pivotArea>
    </format>
    <format dxfId="4940">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980"/>
          </reference>
          <reference field="82" count="1">
            <x v="385"/>
          </reference>
        </references>
      </pivotArea>
    </format>
    <format dxfId="4939">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978"/>
          </reference>
          <reference field="82" count="1">
            <x v="383"/>
          </reference>
        </references>
      </pivotArea>
    </format>
    <format dxfId="4938">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979"/>
          </reference>
          <reference field="82" count="1">
            <x v="384"/>
          </reference>
        </references>
      </pivotArea>
    </format>
    <format dxfId="4937">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176"/>
          </reference>
          <reference field="82" count="1">
            <x v="583"/>
          </reference>
        </references>
      </pivotArea>
    </format>
    <format dxfId="4936">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172"/>
          </reference>
          <reference field="82" count="1">
            <x v="579"/>
          </reference>
        </references>
      </pivotArea>
    </format>
    <format dxfId="4935">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173"/>
          </reference>
          <reference field="82" count="1">
            <x v="580"/>
          </reference>
        </references>
      </pivotArea>
    </format>
    <format dxfId="493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174"/>
          </reference>
          <reference field="82" count="1">
            <x v="581"/>
          </reference>
        </references>
      </pivotArea>
    </format>
    <format dxfId="4933">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175"/>
          </reference>
          <reference field="82" count="1">
            <x v="582"/>
          </reference>
        </references>
      </pivotArea>
    </format>
    <format dxfId="4932">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022"/>
          </reference>
          <reference field="82" count="1">
            <x v="428"/>
          </reference>
        </references>
      </pivotArea>
    </format>
    <format dxfId="4931">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017"/>
          </reference>
          <reference field="82" count="1">
            <x v="431"/>
          </reference>
        </references>
      </pivotArea>
    </format>
    <format dxfId="4930">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023"/>
          </reference>
          <reference field="82" count="1">
            <x v="429"/>
          </reference>
        </references>
      </pivotArea>
    </format>
    <format dxfId="4929">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024"/>
          </reference>
          <reference field="82" count="1">
            <x v="430"/>
          </reference>
        </references>
      </pivotArea>
    </format>
    <format dxfId="4928">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171"/>
          </reference>
          <reference field="82" count="1">
            <x v="578"/>
          </reference>
        </references>
      </pivotArea>
    </format>
    <format dxfId="4927">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167"/>
          </reference>
          <reference field="82" count="1">
            <x v="574"/>
          </reference>
        </references>
      </pivotArea>
    </format>
    <format dxfId="4926">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168"/>
          </reference>
          <reference field="82" count="1">
            <x v="575"/>
          </reference>
        </references>
      </pivotArea>
    </format>
    <format dxfId="4925">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169"/>
          </reference>
          <reference field="82" count="1">
            <x v="576"/>
          </reference>
        </references>
      </pivotArea>
    </format>
    <format dxfId="4924">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170"/>
          </reference>
          <reference field="82" count="1">
            <x v="577"/>
          </reference>
        </references>
      </pivotArea>
    </format>
    <format dxfId="4923">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2228"/>
          </reference>
          <reference field="82" count="1">
            <x v="635"/>
          </reference>
        </references>
      </pivotArea>
    </format>
    <format dxfId="4922">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2231"/>
          </reference>
          <reference field="82" count="1">
            <x v="638"/>
          </reference>
        </references>
      </pivotArea>
    </format>
    <format dxfId="4921">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2229"/>
          </reference>
          <reference field="82" count="1">
            <x v="636"/>
          </reference>
        </references>
      </pivotArea>
    </format>
    <format dxfId="4920">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2230"/>
          </reference>
          <reference field="82" count="1">
            <x v="637"/>
          </reference>
        </references>
      </pivotArea>
    </format>
    <format dxfId="4919">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190"/>
          </reference>
          <reference field="82" count="1">
            <x v="597"/>
          </reference>
        </references>
      </pivotArea>
    </format>
    <format dxfId="4918">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191"/>
          </reference>
          <reference field="82" count="1">
            <x v="598"/>
          </reference>
        </references>
      </pivotArea>
    </format>
    <format dxfId="4917">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192"/>
          </reference>
          <reference field="82" count="1">
            <x v="599"/>
          </reference>
        </references>
      </pivotArea>
    </format>
    <format dxfId="4916">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193"/>
          </reference>
          <reference field="82" count="1">
            <x v="600"/>
          </reference>
        </references>
      </pivotArea>
    </format>
    <format dxfId="4915">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194"/>
          </reference>
          <reference field="82" count="1">
            <x v="601"/>
          </reference>
        </references>
      </pivotArea>
    </format>
    <format dxfId="4914">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195"/>
          </reference>
          <reference field="82" count="1">
            <x v="602"/>
          </reference>
        </references>
      </pivotArea>
    </format>
    <format dxfId="4913">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196"/>
          </reference>
          <reference field="82" count="1">
            <x v="603"/>
          </reference>
        </references>
      </pivotArea>
    </format>
    <format dxfId="4912">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197"/>
          </reference>
          <reference field="82" count="1">
            <x v="604"/>
          </reference>
        </references>
      </pivotArea>
    </format>
    <format dxfId="4911">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selected="0">
            <x v="2163"/>
          </reference>
          <reference field="82" count="1">
            <x v="570"/>
          </reference>
        </references>
      </pivotArea>
    </format>
    <format dxfId="4910">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selected="0">
            <x v="2165"/>
          </reference>
          <reference field="82" count="1">
            <x v="572"/>
          </reference>
        </references>
      </pivotArea>
    </format>
    <format dxfId="4909">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selected="0">
            <x v="2166"/>
          </reference>
          <reference field="82" count="1">
            <x v="573"/>
          </reference>
        </references>
      </pivotArea>
    </format>
    <format dxfId="4908">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selected="0">
            <x v="2164"/>
          </reference>
          <reference field="82" count="1">
            <x v="571"/>
          </reference>
        </references>
      </pivotArea>
    </format>
    <format dxfId="4907">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2113"/>
          </reference>
          <reference field="82" count="1">
            <x v="520"/>
          </reference>
        </references>
      </pivotArea>
    </format>
    <format dxfId="4906">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2114"/>
          </reference>
          <reference field="82" count="1">
            <x v="521"/>
          </reference>
        </references>
      </pivotArea>
    </format>
    <format dxfId="4905">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2112"/>
          </reference>
          <reference field="82" count="1">
            <x v="519"/>
          </reference>
        </references>
      </pivotArea>
    </format>
    <format dxfId="4904">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985"/>
          </reference>
          <reference field="82" count="1">
            <x v="390"/>
          </reference>
        </references>
      </pivotArea>
    </format>
    <format dxfId="4903">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988"/>
          </reference>
          <reference field="82" count="1">
            <x v="393"/>
          </reference>
        </references>
      </pivotArea>
    </format>
    <format dxfId="4902">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986"/>
          </reference>
          <reference field="82" count="1">
            <x v="391"/>
          </reference>
        </references>
      </pivotArea>
    </format>
    <format dxfId="4901">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987"/>
          </reference>
          <reference field="82" count="1">
            <x v="392"/>
          </reference>
        </references>
      </pivotArea>
    </format>
    <format dxfId="4900">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182"/>
          </reference>
          <reference field="82" count="1">
            <x v="589"/>
          </reference>
        </references>
      </pivotArea>
    </format>
    <format dxfId="4899">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183"/>
          </reference>
          <reference field="82" count="1">
            <x v="590"/>
          </reference>
        </references>
      </pivotArea>
    </format>
    <format dxfId="4898">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184"/>
          </reference>
          <reference field="82" count="1">
            <x v="591"/>
          </reference>
        </references>
      </pivotArea>
    </format>
    <format dxfId="4897">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185"/>
          </reference>
          <reference field="82" count="1">
            <x v="592"/>
          </reference>
        </references>
      </pivotArea>
    </format>
    <format dxfId="4896">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186"/>
          </reference>
          <reference field="82" count="1">
            <x v="593"/>
          </reference>
        </references>
      </pivotArea>
    </format>
    <format dxfId="4895">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187"/>
          </reference>
          <reference field="82" count="1">
            <x v="594"/>
          </reference>
        </references>
      </pivotArea>
    </format>
    <format dxfId="4894">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188"/>
          </reference>
          <reference field="82" count="1">
            <x v="595"/>
          </reference>
        </references>
      </pivotArea>
    </format>
    <format dxfId="4893">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189"/>
          </reference>
          <reference field="82" count="1">
            <x v="596"/>
          </reference>
        </references>
      </pivotArea>
    </format>
    <format dxfId="4892">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1938"/>
          </reference>
          <reference field="82" count="1">
            <x v="342"/>
          </reference>
        </references>
      </pivotArea>
    </format>
    <format dxfId="4891">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2240"/>
          </reference>
          <reference field="82" count="1">
            <x v="647"/>
          </reference>
        </references>
      </pivotArea>
    </format>
    <format dxfId="4890">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1975"/>
          </reference>
          <reference field="82" count="1">
            <x v="380"/>
          </reference>
        </references>
      </pivotArea>
    </format>
    <format dxfId="4889">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1939"/>
          </reference>
          <reference field="82" count="1">
            <x v="343"/>
          </reference>
        </references>
      </pivotArea>
    </format>
    <format dxfId="4888">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1976"/>
          </reference>
          <reference field="82" count="1">
            <x v="381"/>
          </reference>
        </references>
      </pivotArea>
    </format>
    <format dxfId="4887">
      <pivotArea dataOnly="0" labelOnly="1" outline="0" fieldPosition="0">
        <references count="10">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x v="15"/>
          </reference>
        </references>
      </pivotArea>
    </format>
    <format dxfId="4886">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2242"/>
          </reference>
          <reference field="82" count="1">
            <x v="649"/>
          </reference>
        </references>
      </pivotArea>
    </format>
    <format dxfId="4885">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244"/>
          </reference>
          <reference field="82" count="1">
            <x v="651"/>
          </reference>
        </references>
      </pivotArea>
    </format>
    <format dxfId="4884">
      <pivotArea dataOnly="0" labelOnly="1" outline="0" fieldPosition="0">
        <references count="10">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x v="18"/>
          </reference>
        </references>
      </pivotArea>
    </format>
    <format dxfId="4883">
      <pivotArea dataOnly="0" labelOnly="1" outline="0" fieldPosition="0">
        <references count="10">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4882">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2243"/>
          </reference>
          <reference field="82" count="1">
            <x v="650"/>
          </reference>
        </references>
      </pivotArea>
    </format>
    <format dxfId="4881">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1968"/>
          </reference>
          <reference field="82" count="1">
            <x v="373"/>
          </reference>
        </references>
      </pivotArea>
    </format>
    <format dxfId="4880">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245"/>
          </reference>
          <reference field="82" count="1">
            <x v="652"/>
          </reference>
        </references>
      </pivotArea>
    </format>
    <format dxfId="4879">
      <pivotArea dataOnly="0" labelOnly="1" outline="0" fieldPosition="0">
        <references count="10">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4878">
      <pivotArea dataOnly="0" labelOnly="1" outline="0" fieldPosition="0">
        <references count="10">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x v="19"/>
          </reference>
        </references>
      </pivotArea>
    </format>
    <format dxfId="4877">
      <pivotArea dataOnly="0" labelOnly="1" outline="0" fieldPosition="0">
        <references count="10">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x v="17"/>
          </reference>
        </references>
      </pivotArea>
    </format>
    <format dxfId="4876">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1937"/>
          </reference>
          <reference field="82" count="1">
            <x v="341"/>
          </reference>
        </references>
      </pivotArea>
    </format>
    <format dxfId="4875">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2234"/>
          </reference>
          <reference field="82" count="1">
            <x v="641"/>
          </reference>
        </references>
      </pivotArea>
    </format>
    <format dxfId="487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098"/>
          </reference>
          <reference field="82" count="1">
            <x v="505"/>
          </reference>
        </references>
      </pivotArea>
    </format>
    <format dxfId="487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101"/>
          </reference>
          <reference field="82" count="1">
            <x v="508"/>
          </reference>
        </references>
      </pivotArea>
    </format>
    <format dxfId="487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2099"/>
          </reference>
          <reference field="82" count="1">
            <x v="506"/>
          </reference>
        </references>
      </pivotArea>
    </format>
    <format dxfId="487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2102"/>
          </reference>
          <reference field="82" count="1">
            <x v="509"/>
          </reference>
        </references>
      </pivotArea>
    </format>
    <format dxfId="487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2107"/>
          </reference>
          <reference field="82" count="1">
            <x v="514"/>
          </reference>
        </references>
      </pivotArea>
    </format>
    <format dxfId="486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2105"/>
          </reference>
          <reference field="82" count="1">
            <x v="512"/>
          </reference>
        </references>
      </pivotArea>
    </format>
    <format dxfId="486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2104"/>
          </reference>
          <reference field="82" count="1">
            <x v="511"/>
          </reference>
        </references>
      </pivotArea>
    </format>
    <format dxfId="486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2103"/>
          </reference>
          <reference field="82" count="1">
            <x v="510"/>
          </reference>
        </references>
      </pivotArea>
    </format>
    <format dxfId="486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097"/>
          </reference>
          <reference field="82" count="1">
            <x v="504"/>
          </reference>
        </references>
      </pivotArea>
    </format>
    <format dxfId="486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100"/>
          </reference>
          <reference field="82" count="1">
            <x v="507"/>
          </reference>
        </references>
      </pivotArea>
    </format>
    <format dxfId="486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2106"/>
          </reference>
          <reference field="82" count="1">
            <x v="513"/>
          </reference>
        </references>
      </pivotArea>
    </format>
    <format dxfId="4863">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2241"/>
          </reference>
          <reference field="82" count="1">
            <x v="648"/>
          </reference>
        </references>
      </pivotArea>
    </format>
    <format dxfId="4862">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1974"/>
          </reference>
          <reference field="82" count="1">
            <x v="379"/>
          </reference>
        </references>
      </pivotArea>
    </format>
    <format dxfId="4861">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1972"/>
          </reference>
          <reference field="82" count="1">
            <x v="377"/>
          </reference>
        </references>
      </pivotArea>
    </format>
    <format dxfId="4860">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109"/>
          </reference>
          <reference field="82" count="1">
            <x v="516"/>
          </reference>
        </references>
      </pivotArea>
    </format>
    <format dxfId="4859">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111"/>
          </reference>
          <reference field="82" count="1">
            <x v="518"/>
          </reference>
        </references>
      </pivotArea>
    </format>
    <format dxfId="4858">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108"/>
          </reference>
          <reference field="82" count="1">
            <x v="515"/>
          </reference>
        </references>
      </pivotArea>
    </format>
    <format dxfId="4857">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110"/>
          </reference>
          <reference field="82" count="1">
            <x v="517"/>
          </reference>
        </references>
      </pivotArea>
    </format>
    <format dxfId="4856">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1973"/>
          </reference>
          <reference field="82" count="1">
            <x v="378"/>
          </reference>
        </references>
      </pivotArea>
    </format>
    <format dxfId="4855">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2226"/>
          </reference>
          <reference field="82" count="1">
            <x v="633"/>
          </reference>
        </references>
      </pivotArea>
    </format>
    <format dxfId="4854">
      <pivotArea dataOnly="0" labelOnly="1" outline="0" fieldPosition="0">
        <references count="10">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2227"/>
          </reference>
          <reference field="82" count="1">
            <x v="634"/>
          </reference>
        </references>
      </pivotArea>
    </format>
    <format dxfId="4853">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2134"/>
          </reference>
          <reference field="82" count="1">
            <x v="541"/>
          </reference>
        </references>
      </pivotArea>
    </format>
    <format dxfId="4852">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2140"/>
          </reference>
          <reference field="82" count="1">
            <x v="547"/>
          </reference>
        </references>
      </pivotArea>
    </format>
    <format dxfId="4851">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1965"/>
          </reference>
          <reference field="82" count="1">
            <x v="370"/>
          </reference>
        </references>
      </pivotArea>
    </format>
    <format dxfId="4850">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1964"/>
          </reference>
          <reference field="82" count="1">
            <x v="369"/>
          </reference>
        </references>
      </pivotArea>
    </format>
    <format dxfId="4849">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selected="0">
            <x v="2210"/>
          </reference>
          <reference field="82" count="1">
            <x v="617"/>
          </reference>
        </references>
      </pivotArea>
    </format>
    <format dxfId="4848">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selected="0">
            <x v="2211"/>
          </reference>
          <reference field="82" count="1">
            <x v="618"/>
          </reference>
        </references>
      </pivotArea>
    </format>
    <format dxfId="4847">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selected="0">
            <x v="2212"/>
          </reference>
          <reference field="82" count="1">
            <x v="619"/>
          </reference>
        </references>
      </pivotArea>
    </format>
    <format dxfId="4846">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selected="0">
            <x v="2213"/>
          </reference>
          <reference field="82" count="1">
            <x v="620"/>
          </reference>
        </references>
      </pivotArea>
    </format>
    <format dxfId="4845">
      <pivotArea dataOnly="0" labelOnly="1" outline="0" fieldPosition="0">
        <references count="10">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135"/>
          </reference>
          <reference field="82" count="1">
            <x v="542"/>
          </reference>
        </references>
      </pivotArea>
    </format>
    <format dxfId="4844">
      <pivotArea dataOnly="0" labelOnly="1" outline="0" fieldPosition="0">
        <references count="10">
          <reference field="1" count="1" selected="0">
            <x v="50"/>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150"/>
          </reference>
          <reference field="82" count="1">
            <x v="557"/>
          </reference>
        </references>
      </pivotArea>
    </format>
    <format dxfId="4843">
      <pivotArea field="87" type="button" dataOnly="0" labelOnly="1" outline="0" axis="axisRow" fieldPosition="12"/>
    </format>
    <format dxfId="4842">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20"/>
          </reference>
          <reference field="82" count="1" selected="0">
            <x v="527"/>
          </reference>
          <reference field="85" count="1" selected="0">
            <x v="7"/>
          </reference>
          <reference field="87" count="1">
            <x v="1479"/>
          </reference>
        </references>
      </pivotArea>
    </format>
    <format dxfId="4841">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121"/>
          </reference>
          <reference field="82" count="1" selected="0">
            <x v="528"/>
          </reference>
          <reference field="85" count="1" selected="0">
            <x v="7"/>
          </reference>
          <reference field="87" count="1">
            <x v="1480"/>
          </reference>
        </references>
      </pivotArea>
    </format>
    <format dxfId="4840">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206"/>
          </reference>
          <reference field="82" count="1" selected="0">
            <x v="613"/>
          </reference>
          <reference field="85" count="1" selected="0">
            <x v="4"/>
          </reference>
          <reference field="87" count="1">
            <x v="1565"/>
          </reference>
        </references>
      </pivotArea>
    </format>
    <format dxfId="4839">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207"/>
          </reference>
          <reference field="82" count="1" selected="0">
            <x v="614"/>
          </reference>
          <reference field="85" count="1" selected="0">
            <x v="4"/>
          </reference>
          <reference field="87" count="1">
            <x v="1566"/>
          </reference>
        </references>
      </pivotArea>
    </format>
    <format dxfId="4838">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208"/>
          </reference>
          <reference field="82" count="1" selected="0">
            <x v="615"/>
          </reference>
          <reference field="85" count="1" selected="0">
            <x v="4"/>
          </reference>
          <reference field="87" count="1">
            <x v="1567"/>
          </reference>
        </references>
      </pivotArea>
    </format>
    <format dxfId="4837">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209"/>
          </reference>
          <reference field="82" count="1" selected="0">
            <x v="616"/>
          </reference>
          <reference field="85" count="1" selected="0">
            <x v="4"/>
          </reference>
          <reference field="87" count="1">
            <x v="1568"/>
          </reference>
        </references>
      </pivotArea>
    </format>
    <format dxfId="4836">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26"/>
          </reference>
          <reference field="82" count="1" selected="0">
            <x v="533"/>
          </reference>
          <reference field="85" count="1" selected="0">
            <x v="7"/>
          </reference>
          <reference field="87" count="1">
            <x v="1485"/>
          </reference>
        </references>
      </pivotArea>
    </format>
    <format dxfId="4835">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125"/>
          </reference>
          <reference field="82" count="1" selected="0">
            <x v="532"/>
          </reference>
          <reference field="85" count="1" selected="0">
            <x v="7"/>
          </reference>
          <reference field="87" count="1">
            <x v="1484"/>
          </reference>
        </references>
      </pivotArea>
    </format>
    <format dxfId="4834">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53"/>
          </reference>
          <reference field="82" count="1" selected="0">
            <x v="460"/>
          </reference>
          <reference field="85" count="1" selected="0">
            <x v="0"/>
          </reference>
          <reference field="87" count="1">
            <x v="1412"/>
          </reference>
        </references>
      </pivotArea>
    </format>
    <format dxfId="4833">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54"/>
          </reference>
          <reference field="82" count="1" selected="0">
            <x v="461"/>
          </reference>
          <reference field="85" count="1" selected="0">
            <x v="0"/>
          </reference>
          <reference field="87" count="1">
            <x v="1413"/>
          </reference>
        </references>
      </pivotArea>
    </format>
    <format dxfId="4832">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51"/>
          </reference>
          <reference field="82" count="1" selected="0">
            <x v="458"/>
          </reference>
          <reference field="85" count="1" selected="0">
            <x v="0"/>
          </reference>
          <reference field="87" count="1">
            <x v="1410"/>
          </reference>
        </references>
      </pivotArea>
    </format>
    <format dxfId="4831">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52"/>
          </reference>
          <reference field="82" count="1" selected="0">
            <x v="459"/>
          </reference>
          <reference field="85" count="1" selected="0">
            <x v="0"/>
          </reference>
          <reference field="87" count="1">
            <x v="1411"/>
          </reference>
        </references>
      </pivotArea>
    </format>
    <format dxfId="4830">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26"/>
          </reference>
          <reference field="82" count="1" selected="0">
            <x v="533"/>
          </reference>
          <reference field="85" count="1" selected="0">
            <x v="7"/>
          </reference>
          <reference field="87" count="1">
            <x v="1485"/>
          </reference>
        </references>
      </pivotArea>
    </format>
    <format dxfId="4829">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125"/>
          </reference>
          <reference field="82" count="1" selected="0">
            <x v="532"/>
          </reference>
          <reference field="85" count="1" selected="0">
            <x v="7"/>
          </reference>
          <reference field="87" count="1">
            <x v="1484"/>
          </reference>
        </references>
      </pivotArea>
    </format>
    <format dxfId="4828">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48"/>
          </reference>
          <reference field="82" count="1" selected="0">
            <x v="455"/>
          </reference>
          <reference field="85" count="1" selected="0">
            <x v="0"/>
          </reference>
          <reference field="87" count="1">
            <x v="1407"/>
          </reference>
        </references>
      </pivotArea>
    </format>
    <format dxfId="4827">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49"/>
          </reference>
          <reference field="82" count="1" selected="0">
            <x v="456"/>
          </reference>
          <reference field="85" count="1" selected="0">
            <x v="0"/>
          </reference>
          <reference field="87" count="1">
            <x v="1408"/>
          </reference>
        </references>
      </pivotArea>
    </format>
    <format dxfId="4826">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51"/>
          </reference>
          <reference field="82" count="1" selected="0">
            <x v="458"/>
          </reference>
          <reference field="85" count="1" selected="0">
            <x v="0"/>
          </reference>
          <reference field="87" count="1">
            <x v="1410"/>
          </reference>
        </references>
      </pivotArea>
    </format>
    <format dxfId="4825">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47"/>
          </reference>
          <reference field="82" count="1" selected="0">
            <x v="454"/>
          </reference>
          <reference field="85" count="1" selected="0">
            <x v="0"/>
          </reference>
          <reference field="87" count="1">
            <x v="1406"/>
          </reference>
        </references>
      </pivotArea>
    </format>
    <format dxfId="4824">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24"/>
          </reference>
          <reference field="82" count="1" selected="0">
            <x v="531"/>
          </reference>
          <reference field="85" count="1" selected="0">
            <x v="7"/>
          </reference>
          <reference field="87" count="1">
            <x v="1483"/>
          </reference>
        </references>
      </pivotArea>
    </format>
    <format dxfId="4823">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125"/>
          </reference>
          <reference field="82" count="1" selected="0">
            <x v="532"/>
          </reference>
          <reference field="85" count="1" selected="0">
            <x v="7"/>
          </reference>
          <reference field="87" count="1">
            <x v="1484"/>
          </reference>
        </references>
      </pivotArea>
    </format>
    <format dxfId="4822">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1960"/>
          </reference>
          <reference field="82" count="1" selected="0">
            <x v="364"/>
          </reference>
          <reference field="85" count="1" selected="0">
            <x v="7"/>
          </reference>
          <reference field="87" count="1">
            <x v="1319"/>
          </reference>
        </references>
      </pivotArea>
    </format>
    <format dxfId="4821">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961"/>
          </reference>
          <reference field="82" count="1" selected="0">
            <x v="366"/>
          </reference>
          <reference field="85" count="1" selected="0">
            <x v="7"/>
          </reference>
          <reference field="87" count="1">
            <x v="1320"/>
          </reference>
        </references>
      </pivotArea>
    </format>
    <format dxfId="4820">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040"/>
          </reference>
          <reference field="82" count="1" selected="0">
            <x v="447"/>
          </reference>
          <reference field="85" count="1" selected="0">
            <x v="0"/>
          </reference>
          <reference field="87" count="1">
            <x v="1399"/>
          </reference>
        </references>
      </pivotArea>
    </format>
    <format dxfId="4819">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043"/>
          </reference>
          <reference field="82" count="1" selected="0">
            <x v="450"/>
          </reference>
          <reference field="85" count="1" selected="0">
            <x v="0"/>
          </reference>
          <reference field="87" count="1">
            <x v="1402"/>
          </reference>
        </references>
      </pivotArea>
    </format>
    <format dxfId="4818">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041"/>
          </reference>
          <reference field="82" count="1" selected="0">
            <x v="448"/>
          </reference>
          <reference field="85" count="1" selected="0">
            <x v="0"/>
          </reference>
          <reference field="87" count="1">
            <x v="1400"/>
          </reference>
        </references>
      </pivotArea>
    </format>
    <format dxfId="4817">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042"/>
          </reference>
          <reference field="82" count="1" selected="0">
            <x v="449"/>
          </reference>
          <reference field="85" count="1" selected="0">
            <x v="0"/>
          </reference>
          <reference field="87" count="1">
            <x v="1401"/>
          </reference>
        </references>
      </pivotArea>
    </format>
    <format dxfId="4816">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16"/>
          </reference>
          <reference field="82" count="1" selected="0">
            <x v="523"/>
          </reference>
          <reference field="85" count="1" selected="0">
            <x v="7"/>
          </reference>
          <reference field="87" count="1">
            <x v="1475"/>
          </reference>
        </references>
      </pivotArea>
    </format>
    <format dxfId="4815">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117"/>
          </reference>
          <reference field="82" count="1" selected="0">
            <x v="524"/>
          </reference>
          <reference field="85" count="1" selected="0">
            <x v="7"/>
          </reference>
          <reference field="87" count="1">
            <x v="1476"/>
          </reference>
        </references>
      </pivotArea>
    </format>
    <format dxfId="4814">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198"/>
          </reference>
          <reference field="82" count="1" selected="0">
            <x v="605"/>
          </reference>
          <reference field="85" count="1" selected="0">
            <x v="4"/>
          </reference>
          <reference field="87" count="1">
            <x v="1557"/>
          </reference>
        </references>
      </pivotArea>
    </format>
    <format dxfId="4813">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199"/>
          </reference>
          <reference field="82" count="1" selected="0">
            <x v="606"/>
          </reference>
          <reference field="85" count="1" selected="0">
            <x v="4"/>
          </reference>
          <reference field="87" count="1">
            <x v="1558"/>
          </reference>
        </references>
      </pivotArea>
    </format>
    <format dxfId="4812">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200"/>
          </reference>
          <reference field="82" count="1" selected="0">
            <x v="607"/>
          </reference>
          <reference field="85" count="1" selected="0">
            <x v="4"/>
          </reference>
          <reference field="87" count="1">
            <x v="1559"/>
          </reference>
        </references>
      </pivotArea>
    </format>
    <format dxfId="4811">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201"/>
          </reference>
          <reference field="82" count="1" selected="0">
            <x v="608"/>
          </reference>
          <reference field="85" count="1" selected="0">
            <x v="4"/>
          </reference>
          <reference field="87" count="1">
            <x v="1560"/>
          </reference>
        </references>
      </pivotArea>
    </format>
    <format dxfId="4810">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970"/>
          </reference>
          <reference field="82" count="1" selected="0">
            <x v="375"/>
          </reference>
          <reference field="85" count="1" selected="0">
            <x v="7"/>
          </reference>
          <reference field="87" count="1">
            <x v="1329"/>
          </reference>
        </references>
      </pivotArea>
    </format>
    <format dxfId="4809">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1960"/>
          </reference>
          <reference field="82" count="1" selected="0">
            <x v="365"/>
          </reference>
          <reference field="85" count="1" selected="0">
            <x v="7"/>
          </reference>
          <reference field="87" count="1">
            <x v="1319"/>
          </reference>
        </references>
      </pivotArea>
    </format>
    <format dxfId="480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015"/>
          </reference>
          <reference field="82" count="1" selected="0">
            <x v="421"/>
          </reference>
          <reference field="85" count="1" selected="0">
            <x v="4"/>
          </reference>
          <reference field="87" count="1">
            <x v="1374"/>
          </reference>
        </references>
      </pivotArea>
    </format>
    <format dxfId="480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017"/>
          </reference>
          <reference field="82" count="1" selected="0">
            <x v="423"/>
          </reference>
          <reference field="85" count="1" selected="0">
            <x v="4"/>
          </reference>
          <reference field="87" count="1">
            <x v="1376"/>
          </reference>
        </references>
      </pivotArea>
    </format>
    <format dxfId="480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018"/>
          </reference>
          <reference field="82" count="1" selected="0">
            <x v="424"/>
          </reference>
          <reference field="85" count="1" selected="0">
            <x v="4"/>
          </reference>
          <reference field="87" count="1">
            <x v="1377"/>
          </reference>
        </references>
      </pivotArea>
    </format>
    <format dxfId="480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014"/>
          </reference>
          <reference field="82" count="1" selected="0">
            <x v="420"/>
          </reference>
          <reference field="85" count="1" selected="0">
            <x v="4"/>
          </reference>
          <reference field="87" count="1">
            <x v="1373"/>
          </reference>
        </references>
      </pivotArea>
    </format>
    <format dxfId="480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019"/>
          </reference>
          <reference field="82" count="1" selected="0">
            <x v="425"/>
          </reference>
          <reference field="85" count="1" selected="0">
            <x v="4"/>
          </reference>
          <reference field="87" count="1">
            <x v="1378"/>
          </reference>
        </references>
      </pivotArea>
    </format>
    <format dxfId="480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020"/>
          </reference>
          <reference field="82" count="1" selected="0">
            <x v="426"/>
          </reference>
          <reference field="85" count="1" selected="0">
            <x v="4"/>
          </reference>
          <reference field="87" count="1">
            <x v="1379"/>
          </reference>
        </references>
      </pivotArea>
    </format>
    <format dxfId="480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021"/>
          </reference>
          <reference field="82" count="1" selected="0">
            <x v="427"/>
          </reference>
          <reference field="85" count="1" selected="0">
            <x v="4"/>
          </reference>
          <reference field="87" count="1">
            <x v="1380"/>
          </reference>
        </references>
      </pivotArea>
    </format>
    <format dxfId="480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016"/>
          </reference>
          <reference field="82" count="1" selected="0">
            <x v="422"/>
          </reference>
          <reference field="85" count="1" selected="0">
            <x v="4"/>
          </reference>
          <reference field="87" count="1">
            <x v="1375"/>
          </reference>
        </references>
      </pivotArea>
    </format>
    <format dxfId="4800">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48"/>
          </reference>
          <reference field="82" count="1" selected="0">
            <x v="455"/>
          </reference>
          <reference field="85" count="1" selected="0">
            <x v="0"/>
          </reference>
          <reference field="87" count="1">
            <x v="1407"/>
          </reference>
        </references>
      </pivotArea>
    </format>
    <format dxfId="4799">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49"/>
          </reference>
          <reference field="82" count="1" selected="0">
            <x v="456"/>
          </reference>
          <reference field="85" count="1" selected="0">
            <x v="0"/>
          </reference>
          <reference field="87" count="1">
            <x v="1408"/>
          </reference>
        </references>
      </pivotArea>
    </format>
    <format dxfId="4798">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50"/>
          </reference>
          <reference field="82" count="1" selected="0">
            <x v="457"/>
          </reference>
          <reference field="85" count="1" selected="0">
            <x v="0"/>
          </reference>
          <reference field="87" count="1">
            <x v="1409"/>
          </reference>
        </references>
      </pivotArea>
    </format>
    <format dxfId="4797">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47"/>
          </reference>
          <reference field="82" count="1" selected="0">
            <x v="454"/>
          </reference>
          <reference field="85" count="1" selected="0">
            <x v="0"/>
          </reference>
          <reference field="87" count="1">
            <x v="1406"/>
          </reference>
        </references>
      </pivotArea>
    </format>
    <format dxfId="4796">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969"/>
          </reference>
          <reference field="82" count="1" selected="0">
            <x v="374"/>
          </reference>
          <reference field="85" count="1" selected="0">
            <x v="7"/>
          </reference>
          <reference field="87" count="1">
            <x v="1328"/>
          </reference>
        </references>
      </pivotArea>
    </format>
    <format dxfId="4795">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18"/>
          </reference>
          <reference field="82" count="1" selected="0">
            <x v="525"/>
          </reference>
          <reference field="85" count="1" selected="0">
            <x v="7"/>
          </reference>
          <reference field="87" count="1">
            <x v="1477"/>
          </reference>
        </references>
      </pivotArea>
    </format>
    <format dxfId="4794">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119"/>
          </reference>
          <reference field="82" count="1" selected="0">
            <x v="526"/>
          </reference>
          <reference field="85" count="1" selected="0">
            <x v="7"/>
          </reference>
          <reference field="87" count="1">
            <x v="1478"/>
          </reference>
        </references>
      </pivotArea>
    </format>
    <format dxfId="4793">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046"/>
          </reference>
          <reference field="82" count="1" selected="0">
            <x v="453"/>
          </reference>
          <reference field="85" count="1" selected="0">
            <x v="0"/>
          </reference>
          <reference field="87" count="1">
            <x v="1405"/>
          </reference>
        </references>
      </pivotArea>
    </format>
    <format dxfId="4792">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044"/>
          </reference>
          <reference field="82" count="1" selected="0">
            <x v="451"/>
          </reference>
          <reference field="85" count="1" selected="0">
            <x v="0"/>
          </reference>
          <reference field="87" count="1">
            <x v="1403"/>
          </reference>
        </references>
      </pivotArea>
    </format>
    <format dxfId="4791">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045"/>
          </reference>
          <reference field="82" count="1" selected="0">
            <x v="452"/>
          </reference>
          <reference field="85" count="1" selected="0">
            <x v="0"/>
          </reference>
          <reference field="87" count="1">
            <x v="1404"/>
          </reference>
        </references>
      </pivotArea>
    </format>
    <format dxfId="4790">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22"/>
          </reference>
          <reference field="82" count="1" selected="0">
            <x v="529"/>
          </reference>
          <reference field="85" count="1" selected="0">
            <x v="7"/>
          </reference>
          <reference field="87" count="1">
            <x v="1481"/>
          </reference>
        </references>
      </pivotArea>
    </format>
    <format dxfId="4789">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123"/>
          </reference>
          <reference field="82" count="1" selected="0">
            <x v="530"/>
          </reference>
          <reference field="85" count="1" selected="0">
            <x v="7"/>
          </reference>
          <reference field="87" count="1">
            <x v="1482"/>
          </reference>
        </references>
      </pivotArea>
    </format>
    <format dxfId="4788">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202"/>
          </reference>
          <reference field="82" count="1" selected="0">
            <x v="609"/>
          </reference>
          <reference field="85" count="1" selected="0">
            <x v="4"/>
          </reference>
          <reference field="87" count="1">
            <x v="1561"/>
          </reference>
        </references>
      </pivotArea>
    </format>
    <format dxfId="4787">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203"/>
          </reference>
          <reference field="82" count="1" selected="0">
            <x v="610"/>
          </reference>
          <reference field="85" count="1" selected="0">
            <x v="4"/>
          </reference>
          <reference field="87" count="1">
            <x v="1562"/>
          </reference>
        </references>
      </pivotArea>
    </format>
    <format dxfId="4786">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204"/>
          </reference>
          <reference field="82" count="1" selected="0">
            <x v="611"/>
          </reference>
          <reference field="85" count="1" selected="0">
            <x v="4"/>
          </reference>
          <reference field="87" count="1">
            <x v="1563"/>
          </reference>
        </references>
      </pivotArea>
    </format>
    <format dxfId="4785">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205"/>
          </reference>
          <reference field="82" count="1" selected="0">
            <x v="612"/>
          </reference>
          <reference field="85" count="1" selected="0">
            <x v="4"/>
          </reference>
          <reference field="87" count="1">
            <x v="1564"/>
          </reference>
        </references>
      </pivotArea>
    </format>
    <format dxfId="4784">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26"/>
          </reference>
          <reference field="82" count="1" selected="0">
            <x v="533"/>
          </reference>
          <reference field="85" count="1" selected="0">
            <x v="7"/>
          </reference>
          <reference field="87" count="1">
            <x v="1485"/>
          </reference>
        </references>
      </pivotArea>
    </format>
    <format dxfId="4783">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127"/>
          </reference>
          <reference field="82" count="1" selected="0">
            <x v="534"/>
          </reference>
          <reference field="85" count="1" selected="0">
            <x v="7"/>
          </reference>
          <reference field="87" count="1">
            <x v="1486"/>
          </reference>
        </references>
      </pivotArea>
    </format>
    <format dxfId="4782">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55"/>
          </reference>
          <reference field="82" count="1" selected="0">
            <x v="462"/>
          </reference>
          <reference field="85" count="1" selected="0">
            <x v="0"/>
          </reference>
          <reference field="87" count="1">
            <x v="1414"/>
          </reference>
        </references>
      </pivotArea>
    </format>
    <format dxfId="4781">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062"/>
          </reference>
          <reference field="82" count="1" selected="0">
            <x v="469"/>
          </reference>
          <reference field="85" count="1" selected="0">
            <x v="0"/>
          </reference>
          <reference field="87" count="1">
            <x v="1421"/>
          </reference>
        </references>
      </pivotArea>
    </format>
    <format dxfId="4780">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063"/>
          </reference>
          <reference field="82" count="1" selected="0">
            <x v="470"/>
          </reference>
          <reference field="85" count="1" selected="0">
            <x v="0"/>
          </reference>
          <reference field="87" count="1">
            <x v="1422"/>
          </reference>
        </references>
      </pivotArea>
    </format>
    <format dxfId="4779">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064"/>
          </reference>
          <reference field="82" count="1" selected="0">
            <x v="471"/>
          </reference>
          <reference field="85" count="1" selected="0">
            <x v="0"/>
          </reference>
          <reference field="87" count="1">
            <x v="1423"/>
          </reference>
        </references>
      </pivotArea>
    </format>
    <format dxfId="4778">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1966"/>
          </reference>
          <reference field="82" count="1" selected="0">
            <x v="371"/>
          </reference>
          <reference field="85" count="1" selected="0">
            <x v="7"/>
          </reference>
          <reference field="87" count="1">
            <x v="1325"/>
          </reference>
        </references>
      </pivotArea>
    </format>
    <format dxfId="4777">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1950"/>
          </reference>
          <reference field="82" count="1" selected="0">
            <x v="354"/>
          </reference>
          <reference field="85" count="1" selected="0">
            <x v="7"/>
          </reference>
          <reference field="87" count="1">
            <x v="1309"/>
          </reference>
        </references>
      </pivotArea>
    </format>
    <format dxfId="4776">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951"/>
          </reference>
          <reference field="82" count="1" selected="0">
            <x v="355"/>
          </reference>
          <reference field="85" count="1" selected="0">
            <x v="7"/>
          </reference>
          <reference field="87" count="1">
            <x v="1310"/>
          </reference>
        </references>
      </pivotArea>
    </format>
    <format dxfId="4775">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056"/>
          </reference>
          <reference field="82" count="1" selected="0">
            <x v="463"/>
          </reference>
          <reference field="85" count="1" selected="0">
            <x v="0"/>
          </reference>
          <reference field="87" count="1">
            <x v="1415"/>
          </reference>
        </references>
      </pivotArea>
    </format>
    <format dxfId="4774">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057"/>
          </reference>
          <reference field="82" count="1" selected="0">
            <x v="464"/>
          </reference>
          <reference field="85" count="1" selected="0">
            <x v="0"/>
          </reference>
          <reference field="87" count="1">
            <x v="1416"/>
          </reference>
        </references>
      </pivotArea>
    </format>
    <format dxfId="4773">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058"/>
          </reference>
          <reference field="82" count="1" selected="0">
            <x v="465"/>
          </reference>
          <reference field="85" count="1" selected="0">
            <x v="0"/>
          </reference>
          <reference field="87" count="1">
            <x v="1417"/>
          </reference>
        </references>
      </pivotArea>
    </format>
    <format dxfId="4772">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128"/>
          </reference>
          <reference field="82" count="1" selected="0">
            <x v="535"/>
          </reference>
          <reference field="85" count="1" selected="0">
            <x v="7"/>
          </reference>
          <reference field="87" count="1">
            <x v="1487"/>
          </reference>
        </references>
      </pivotArea>
    </format>
    <format dxfId="4771">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129"/>
          </reference>
          <reference field="82" count="1" selected="0">
            <x v="536"/>
          </reference>
          <reference field="85" count="1" selected="0">
            <x v="7"/>
          </reference>
          <reference field="87" count="1">
            <x v="1488"/>
          </reference>
        </references>
      </pivotArea>
    </format>
    <format dxfId="4770">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1971"/>
          </reference>
          <reference field="82" count="1" selected="0">
            <x v="376"/>
          </reference>
          <reference field="85" count="1" selected="0">
            <x v="7"/>
          </reference>
          <reference field="87" count="1">
            <x v="1330"/>
          </reference>
        </references>
      </pivotArea>
    </format>
    <format dxfId="4769">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059"/>
          </reference>
          <reference field="82" count="1" selected="0">
            <x v="466"/>
          </reference>
          <reference field="85" count="1" selected="0">
            <x v="0"/>
          </reference>
          <reference field="87" count="1">
            <x v="1418"/>
          </reference>
        </references>
      </pivotArea>
    </format>
    <format dxfId="4768">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060"/>
          </reference>
          <reference field="82" count="1" selected="0">
            <x v="467"/>
          </reference>
          <reference field="85" count="1" selected="0">
            <x v="0"/>
          </reference>
          <reference field="87" count="1">
            <x v="1419"/>
          </reference>
        </references>
      </pivotArea>
    </format>
    <format dxfId="4767">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061"/>
          </reference>
          <reference field="82" count="1" selected="0">
            <x v="468"/>
          </reference>
          <reference field="85" count="1" selected="0">
            <x v="0"/>
          </reference>
          <reference field="87" count="1">
            <x v="1420"/>
          </reference>
        </references>
      </pivotArea>
    </format>
    <format dxfId="4766">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135"/>
          </reference>
          <reference field="82" count="1" selected="0">
            <x v="542"/>
          </reference>
          <reference field="85" count="1" selected="0">
            <x v="7"/>
          </reference>
          <reference field="87" count="1">
            <x v="1494"/>
          </reference>
        </references>
      </pivotArea>
    </format>
    <format dxfId="4765">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068"/>
          </reference>
          <reference field="82" count="1" selected="0">
            <x v="475"/>
          </reference>
          <reference field="85" count="1" selected="0">
            <x v="0"/>
          </reference>
          <reference field="87" count="1">
            <x v="1427"/>
          </reference>
        </references>
      </pivotArea>
    </format>
    <format dxfId="4764">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069"/>
          </reference>
          <reference field="82" count="1" selected="0">
            <x v="476"/>
          </reference>
          <reference field="85" count="1" selected="0">
            <x v="0"/>
          </reference>
          <reference field="87" count="1">
            <x v="1428"/>
          </reference>
        </references>
      </pivotArea>
    </format>
    <format dxfId="4763">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070"/>
          </reference>
          <reference field="82" count="1" selected="0">
            <x v="477"/>
          </reference>
          <reference field="85" count="1" selected="0">
            <x v="0"/>
          </reference>
          <reference field="87" count="1">
            <x v="1429"/>
          </reference>
        </references>
      </pivotArea>
    </format>
    <format dxfId="4762">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1943"/>
          </reference>
          <reference field="82" count="1" selected="0">
            <x v="347"/>
          </reference>
          <reference field="85" count="1" selected="0">
            <x v="7"/>
          </reference>
          <reference field="87" count="1">
            <x v="1302"/>
          </reference>
        </references>
      </pivotArea>
    </format>
    <format dxfId="4761">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944"/>
          </reference>
          <reference field="82" count="1" selected="0">
            <x v="348"/>
          </reference>
          <reference field="85" count="1" selected="0">
            <x v="7"/>
          </reference>
          <reference field="87" count="1">
            <x v="1303"/>
          </reference>
        </references>
      </pivotArea>
    </format>
    <format dxfId="4760">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006"/>
          </reference>
          <reference field="82" count="1" selected="0">
            <x v="412"/>
          </reference>
          <reference field="85" count="1" selected="0">
            <x v="4"/>
          </reference>
          <reference field="87" count="1">
            <x v="1365"/>
          </reference>
        </references>
      </pivotArea>
    </format>
    <format dxfId="4759">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007"/>
          </reference>
          <reference field="82" count="1" selected="0">
            <x v="413"/>
          </reference>
          <reference field="85" count="1" selected="0">
            <x v="4"/>
          </reference>
          <reference field="87" count="1">
            <x v="1366"/>
          </reference>
        </references>
      </pivotArea>
    </format>
    <format dxfId="4758">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004"/>
          </reference>
          <reference field="82" count="1" selected="0">
            <x v="410"/>
          </reference>
          <reference field="85" count="1" selected="0">
            <x v="4"/>
          </reference>
          <reference field="87" count="1">
            <x v="1363"/>
          </reference>
        </references>
      </pivotArea>
    </format>
    <format dxfId="4757">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005"/>
          </reference>
          <reference field="82" count="1" selected="0">
            <x v="411"/>
          </reference>
          <reference field="85" count="1" selected="0">
            <x v="4"/>
          </reference>
          <reference field="87" count="1">
            <x v="1364"/>
          </reference>
        </references>
      </pivotArea>
    </format>
    <format dxfId="4756">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065"/>
          </reference>
          <reference field="82" count="1" selected="0">
            <x v="472"/>
          </reference>
          <reference field="85" count="1" selected="0">
            <x v="0"/>
          </reference>
          <reference field="87" count="1">
            <x v="1424"/>
          </reference>
        </references>
      </pivotArea>
    </format>
    <format dxfId="4755">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066"/>
          </reference>
          <reference field="82" count="1" selected="0">
            <x v="473"/>
          </reference>
          <reference field="85" count="1" selected="0">
            <x v="0"/>
          </reference>
          <reference field="87" count="1">
            <x v="1425"/>
          </reference>
        </references>
      </pivotArea>
    </format>
    <format dxfId="4754">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067"/>
          </reference>
          <reference field="82" count="1" selected="0">
            <x v="474"/>
          </reference>
          <reference field="85" count="1" selected="0">
            <x v="0"/>
          </reference>
          <reference field="87" count="1">
            <x v="1426"/>
          </reference>
        </references>
      </pivotArea>
    </format>
    <format dxfId="4753">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149"/>
          </reference>
          <reference field="82" count="1" selected="0">
            <x v="556"/>
          </reference>
          <reference field="85" count="1" selected="0">
            <x v="7"/>
          </reference>
          <reference field="87" count="1">
            <x v="1508"/>
          </reference>
        </references>
      </pivotArea>
    </format>
    <format dxfId="4752">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1959"/>
          </reference>
          <reference field="82" count="1" selected="0">
            <x v="363"/>
          </reference>
          <reference field="85" count="1" selected="0">
            <x v="7"/>
          </reference>
          <reference field="87" count="1">
            <x v="1318"/>
          </reference>
        </references>
      </pivotArea>
    </format>
    <format dxfId="4751">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029"/>
          </reference>
          <reference field="82" count="1" selected="0">
            <x v="436"/>
          </reference>
          <reference field="85" count="1" selected="0">
            <x v="0"/>
          </reference>
          <reference field="87" count="1">
            <x v="1388"/>
          </reference>
        </references>
      </pivotArea>
    </format>
    <format dxfId="4750">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028"/>
          </reference>
          <reference field="82" count="1" selected="0">
            <x v="435"/>
          </reference>
          <reference field="85" count="1" selected="0">
            <x v="0"/>
          </reference>
          <reference field="87" count="1">
            <x v="1387"/>
          </reference>
        </references>
      </pivotArea>
    </format>
    <format dxfId="4749">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030"/>
          </reference>
          <reference field="82" count="1" selected="0">
            <x v="437"/>
          </reference>
          <reference field="85" count="1" selected="0">
            <x v="0"/>
          </reference>
          <reference field="87" count="1">
            <x v="1389"/>
          </reference>
        </references>
      </pivotArea>
    </format>
    <format dxfId="4748">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1967"/>
          </reference>
          <reference field="82" count="1" selected="0">
            <x v="372"/>
          </reference>
          <reference field="85" count="1" selected="0">
            <x v="7"/>
          </reference>
          <reference field="87" count="1">
            <x v="1326"/>
          </reference>
        </references>
      </pivotArea>
    </format>
    <format dxfId="4747">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1958"/>
          </reference>
          <reference field="82" count="1" selected="0">
            <x v="362"/>
          </reference>
          <reference field="85" count="1" selected="0">
            <x v="7"/>
          </reference>
          <reference field="87" count="1">
            <x v="1317"/>
          </reference>
        </references>
      </pivotArea>
    </format>
    <format dxfId="4746">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010"/>
          </reference>
          <reference field="82" count="1" selected="0">
            <x v="416"/>
          </reference>
          <reference field="85" count="1" selected="0">
            <x v="4"/>
          </reference>
          <reference field="87" count="1">
            <x v="1369"/>
          </reference>
        </references>
      </pivotArea>
    </format>
    <format dxfId="4745">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011"/>
          </reference>
          <reference field="82" count="1" selected="0">
            <x v="417"/>
          </reference>
          <reference field="85" count="1" selected="0">
            <x v="4"/>
          </reference>
          <reference field="87" count="1">
            <x v="1370"/>
          </reference>
        </references>
      </pivotArea>
    </format>
    <format dxfId="4744">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008"/>
          </reference>
          <reference field="82" count="1" selected="0">
            <x v="414"/>
          </reference>
          <reference field="85" count="1" selected="0">
            <x v="4"/>
          </reference>
          <reference field="87" count="1">
            <x v="1367"/>
          </reference>
        </references>
      </pivotArea>
    </format>
    <format dxfId="4743">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009"/>
          </reference>
          <reference field="82" count="1" selected="0">
            <x v="415"/>
          </reference>
          <reference field="85" count="1" selected="0">
            <x v="4"/>
          </reference>
          <reference field="87" count="1">
            <x v="1368"/>
          </reference>
        </references>
      </pivotArea>
    </format>
    <format dxfId="4742">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025"/>
          </reference>
          <reference field="82" count="1" selected="0">
            <x v="432"/>
          </reference>
          <reference field="85" count="1" selected="0">
            <x v="0"/>
          </reference>
          <reference field="87" count="1">
            <x v="1384"/>
          </reference>
        </references>
      </pivotArea>
    </format>
    <format dxfId="4741">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026"/>
          </reference>
          <reference field="82" count="1" selected="0">
            <x v="433"/>
          </reference>
          <reference field="85" count="1" selected="0">
            <x v="0"/>
          </reference>
          <reference field="87" count="1">
            <x v="1385"/>
          </reference>
        </references>
      </pivotArea>
    </format>
    <format dxfId="4740">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27"/>
          </reference>
          <reference field="82" count="1" selected="0">
            <x v="434"/>
          </reference>
          <reference field="85" count="1" selected="0">
            <x v="0"/>
          </reference>
          <reference field="87" count="1">
            <x v="1386"/>
          </reference>
        </references>
      </pivotArea>
    </format>
    <format dxfId="4739">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41"/>
          </reference>
          <reference field="82" count="1" selected="0">
            <x v="548"/>
          </reference>
          <reference field="85" count="1" selected="0">
            <x v="7"/>
          </reference>
          <reference field="87" count="1">
            <x v="1500"/>
          </reference>
        </references>
      </pivotArea>
    </format>
    <format dxfId="4738">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031"/>
          </reference>
          <reference field="82" count="1" selected="0">
            <x v="438"/>
          </reference>
          <reference field="85" count="1" selected="0">
            <x v="0"/>
          </reference>
          <reference field="87" count="1">
            <x v="1390"/>
          </reference>
        </references>
      </pivotArea>
    </format>
    <format dxfId="4737">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032"/>
          </reference>
          <reference field="82" count="1" selected="0">
            <x v="439"/>
          </reference>
          <reference field="85" count="1" selected="0">
            <x v="0"/>
          </reference>
          <reference field="87" count="1">
            <x v="1391"/>
          </reference>
        </references>
      </pivotArea>
    </format>
    <format dxfId="4736">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33"/>
          </reference>
          <reference field="82" count="1" selected="0">
            <x v="440"/>
          </reference>
          <reference field="85" count="1" selected="0">
            <x v="0"/>
          </reference>
          <reference field="87" count="1">
            <x v="1392"/>
          </reference>
        </references>
      </pivotArea>
    </format>
    <format dxfId="4735">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1952"/>
          </reference>
          <reference field="82" count="1" selected="0">
            <x v="356"/>
          </reference>
          <reference field="85" count="1" selected="0">
            <x v="7"/>
          </reference>
          <reference field="87" count="1">
            <x v="1311"/>
          </reference>
        </references>
      </pivotArea>
    </format>
    <format dxfId="4734">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953"/>
          </reference>
          <reference field="82" count="1" selected="0">
            <x v="357"/>
          </reference>
          <reference field="85" count="1" selected="0">
            <x v="7"/>
          </reference>
          <reference field="87" count="1">
            <x v="1312"/>
          </reference>
        </references>
      </pivotArea>
    </format>
    <format dxfId="4733">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034"/>
          </reference>
          <reference field="82" count="1" selected="0">
            <x v="441"/>
          </reference>
          <reference field="85" count="1" selected="0">
            <x v="0"/>
          </reference>
          <reference field="87" count="1">
            <x v="1393"/>
          </reference>
        </references>
      </pivotArea>
    </format>
    <format dxfId="4732">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035"/>
          </reference>
          <reference field="82" count="1" selected="0">
            <x v="442"/>
          </reference>
          <reference field="85" count="1" selected="0">
            <x v="0"/>
          </reference>
          <reference field="87" count="1">
            <x v="1394"/>
          </reference>
        </references>
      </pivotArea>
    </format>
    <format dxfId="4731">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036"/>
          </reference>
          <reference field="82" count="1" selected="0">
            <x v="443"/>
          </reference>
          <reference field="85" count="1" selected="0">
            <x v="0"/>
          </reference>
          <reference field="87" count="1">
            <x v="1395"/>
          </reference>
        </references>
      </pivotArea>
    </format>
    <format dxfId="4730">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095"/>
          </reference>
          <reference field="82" count="1" selected="0">
            <x v="502"/>
          </reference>
          <reference field="85" count="1" selected="0">
            <x v="2"/>
          </reference>
          <reference field="87" count="1">
            <x v="1454"/>
          </reference>
        </references>
      </pivotArea>
    </format>
    <format dxfId="4729">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094"/>
          </reference>
          <reference field="82" count="1" selected="0">
            <x v="501"/>
          </reference>
          <reference field="85" count="1" selected="0">
            <x v="2"/>
          </reference>
          <reference field="87" count="1">
            <x v="1453"/>
          </reference>
        </references>
      </pivotArea>
    </format>
    <format dxfId="4728">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096"/>
          </reference>
          <reference field="82" count="1" selected="0">
            <x v="503"/>
          </reference>
          <reference field="85" count="1" selected="0">
            <x v="2"/>
          </reference>
          <reference field="87" count="1">
            <x v="1455"/>
          </reference>
        </references>
      </pivotArea>
    </format>
    <format dxfId="4727">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037"/>
          </reference>
          <reference field="82" count="1" selected="0">
            <x v="444"/>
          </reference>
          <reference field="85" count="1" selected="0">
            <x v="0"/>
          </reference>
          <reference field="87" count="1">
            <x v="1396"/>
          </reference>
        </references>
      </pivotArea>
    </format>
    <format dxfId="4726">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038"/>
          </reference>
          <reference field="82" count="1" selected="0">
            <x v="445"/>
          </reference>
          <reference field="85" count="1" selected="0">
            <x v="0"/>
          </reference>
          <reference field="87" count="1">
            <x v="1397"/>
          </reference>
        </references>
      </pivotArea>
    </format>
    <format dxfId="4725">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039"/>
          </reference>
          <reference field="82" count="1" selected="0">
            <x v="446"/>
          </reference>
          <reference field="85" count="1" selected="0">
            <x v="0"/>
          </reference>
          <reference field="87" count="1">
            <x v="1398"/>
          </reference>
        </references>
      </pivotArea>
    </format>
    <format dxfId="4724">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132"/>
          </reference>
          <reference field="82" count="1" selected="0">
            <x v="539"/>
          </reference>
          <reference field="85" count="1" selected="0">
            <x v="7"/>
          </reference>
          <reference field="87" count="1">
            <x v="1491"/>
          </reference>
        </references>
      </pivotArea>
    </format>
    <format dxfId="4723">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236"/>
          </reference>
          <reference field="82" count="1" selected="0">
            <x v="643"/>
          </reference>
          <reference field="85" count="1" selected="0">
            <x v="4"/>
          </reference>
          <reference field="87" count="1">
            <x v="1595"/>
          </reference>
        </references>
      </pivotArea>
    </format>
    <format dxfId="4722">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237"/>
          </reference>
          <reference field="82" count="1" selected="0">
            <x v="644"/>
          </reference>
          <reference field="85" count="1" selected="0">
            <x v="4"/>
          </reference>
          <reference field="87" count="1">
            <x v="1596"/>
          </reference>
        </references>
      </pivotArea>
    </format>
    <format dxfId="4721">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238"/>
          </reference>
          <reference field="82" count="1" selected="0">
            <x v="645"/>
          </reference>
          <reference field="85" count="1" selected="0">
            <x v="4"/>
          </reference>
          <reference field="87" count="1">
            <x v="1597"/>
          </reference>
        </references>
      </pivotArea>
    </format>
    <format dxfId="4720">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239"/>
          </reference>
          <reference field="82" count="1" selected="0">
            <x v="646"/>
          </reference>
          <reference field="85" count="1" selected="0">
            <x v="4"/>
          </reference>
          <reference field="87" count="1">
            <x v="1598"/>
          </reference>
        </references>
      </pivotArea>
    </format>
    <format dxfId="4719">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159"/>
          </reference>
          <reference field="82" count="1" selected="0">
            <x v="566"/>
          </reference>
          <reference field="85" count="1" selected="0">
            <x v="4"/>
          </reference>
          <reference field="87" count="1">
            <x v="1518"/>
          </reference>
        </references>
      </pivotArea>
    </format>
    <format dxfId="4718">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160"/>
          </reference>
          <reference field="82" count="1" selected="0">
            <x v="567"/>
          </reference>
          <reference field="85" count="1" selected="0">
            <x v="4"/>
          </reference>
          <reference field="87" count="1">
            <x v="1519"/>
          </reference>
        </references>
      </pivotArea>
    </format>
    <format dxfId="4717">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161"/>
          </reference>
          <reference field="82" count="1" selected="0">
            <x v="568"/>
          </reference>
          <reference field="85" count="1" selected="0">
            <x v="4"/>
          </reference>
          <reference field="87" count="1">
            <x v="1520"/>
          </reference>
        </references>
      </pivotArea>
    </format>
    <format dxfId="4716">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162"/>
          </reference>
          <reference field="82" count="1" selected="0">
            <x v="569"/>
          </reference>
          <reference field="85" count="1" selected="0">
            <x v="4"/>
          </reference>
          <reference field="87" count="1">
            <x v="1521"/>
          </reference>
        </references>
      </pivotArea>
    </format>
    <format dxfId="4715">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1932"/>
          </reference>
          <reference field="82" count="1" selected="0">
            <x v="336"/>
          </reference>
          <reference field="85" count="1" selected="0">
            <x v="3"/>
          </reference>
          <reference field="87" count="1">
            <x v="1291"/>
          </reference>
        </references>
      </pivotArea>
    </format>
    <format dxfId="4714">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1931"/>
          </reference>
          <reference field="82" count="1" selected="0">
            <x v="335"/>
          </reference>
          <reference field="85" count="1" selected="0">
            <x v="3"/>
          </reference>
          <reference field="87" count="1">
            <x v="1290"/>
          </reference>
        </references>
      </pivotArea>
    </format>
    <format dxfId="4713">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155"/>
          </reference>
          <reference field="82" count="1" selected="0">
            <x v="562"/>
          </reference>
          <reference field="85" count="1" selected="0">
            <x v="4"/>
          </reference>
          <reference field="87" count="1">
            <x v="1514"/>
          </reference>
        </references>
      </pivotArea>
    </format>
    <format dxfId="4712">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156"/>
          </reference>
          <reference field="82" count="1" selected="0">
            <x v="563"/>
          </reference>
          <reference field="85" count="1" selected="0">
            <x v="4"/>
          </reference>
          <reference field="87" count="1">
            <x v="1515"/>
          </reference>
        </references>
      </pivotArea>
    </format>
    <format dxfId="4711">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157"/>
          </reference>
          <reference field="82" count="1" selected="0">
            <x v="564"/>
          </reference>
          <reference field="85" count="1" selected="0">
            <x v="4"/>
          </reference>
          <reference field="87" count="1">
            <x v="1516"/>
          </reference>
        </references>
      </pivotArea>
    </format>
    <format dxfId="4710">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158"/>
          </reference>
          <reference field="82" count="1" selected="0">
            <x v="565"/>
          </reference>
          <reference field="85" count="1" selected="0">
            <x v="4"/>
          </reference>
          <reference field="87" count="1">
            <x v="1517"/>
          </reference>
        </references>
      </pivotArea>
    </format>
    <format dxfId="4709">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151"/>
          </reference>
          <reference field="82" count="1" selected="0">
            <x v="558"/>
          </reference>
          <reference field="85" count="1" selected="0">
            <x v="4"/>
          </reference>
          <reference field="87" count="1">
            <x v="1510"/>
          </reference>
        </references>
      </pivotArea>
    </format>
    <format dxfId="4708">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152"/>
          </reference>
          <reference field="82" count="1" selected="0">
            <x v="559"/>
          </reference>
          <reference field="85" count="1" selected="0">
            <x v="4"/>
          </reference>
          <reference field="87" count="1">
            <x v="1511"/>
          </reference>
        </references>
      </pivotArea>
    </format>
    <format dxfId="4707">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153"/>
          </reference>
          <reference field="82" count="1" selected="0">
            <x v="560"/>
          </reference>
          <reference field="85" count="1" selected="0">
            <x v="4"/>
          </reference>
          <reference field="87" count="1">
            <x v="1512"/>
          </reference>
        </references>
      </pivotArea>
    </format>
    <format dxfId="4706">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154"/>
          </reference>
          <reference field="82" count="1" selected="0">
            <x v="561"/>
          </reference>
          <reference field="85" count="1" selected="0">
            <x v="4"/>
          </reference>
          <reference field="87" count="1">
            <x v="1513"/>
          </reference>
        </references>
      </pivotArea>
    </format>
    <format dxfId="4705">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072"/>
          </reference>
          <reference field="82" count="1" selected="0">
            <x v="479"/>
          </reference>
          <reference field="85" count="1" selected="0">
            <x v="0"/>
          </reference>
          <reference field="87" count="1">
            <x v="1431"/>
          </reference>
        </references>
      </pivotArea>
    </format>
    <format dxfId="4704">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073"/>
          </reference>
          <reference field="82" count="1" selected="0">
            <x v="480"/>
          </reference>
          <reference field="85" count="1" selected="0">
            <x v="0"/>
          </reference>
          <reference field="87" count="1">
            <x v="1432"/>
          </reference>
        </references>
      </pivotArea>
    </format>
    <format dxfId="4703">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071"/>
          </reference>
          <reference field="82" count="1" selected="0">
            <x v="478"/>
          </reference>
          <reference field="85" count="1" selected="0">
            <x v="0"/>
          </reference>
          <reference field="87" count="1">
            <x v="1430"/>
          </reference>
        </references>
      </pivotArea>
    </format>
    <format dxfId="4702">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945"/>
          </reference>
          <reference field="82" count="1" selected="0">
            <x v="349"/>
          </reference>
          <reference field="85" count="1" selected="0">
            <x v="7"/>
          </reference>
          <reference field="87" count="1">
            <x v="1304"/>
          </reference>
        </references>
      </pivotArea>
    </format>
    <format dxfId="4701">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1946"/>
          </reference>
          <reference field="82" count="1" selected="0">
            <x v="350"/>
          </reference>
          <reference field="85" count="1" selected="0">
            <x v="7"/>
          </reference>
          <reference field="87" count="1">
            <x v="1305"/>
          </reference>
        </references>
      </pivotArea>
    </format>
    <format dxfId="4700">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947"/>
          </reference>
          <reference field="82" count="1" selected="0">
            <x v="351"/>
          </reference>
          <reference field="85" count="1" selected="0">
            <x v="7"/>
          </reference>
          <reference field="87" count="1">
            <x v="1306"/>
          </reference>
        </references>
      </pivotArea>
    </format>
    <format dxfId="4699">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000"/>
          </reference>
          <reference field="82" count="1" selected="0">
            <x v="406"/>
          </reference>
          <reference field="85" count="1" selected="0">
            <x v="4"/>
          </reference>
          <reference field="87" count="1">
            <x v="1359"/>
          </reference>
        </references>
      </pivotArea>
    </format>
    <format dxfId="4698">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001"/>
          </reference>
          <reference field="82" count="1" selected="0">
            <x v="407"/>
          </reference>
          <reference field="85" count="1" selected="0">
            <x v="4"/>
          </reference>
          <reference field="87" count="1">
            <x v="1360"/>
          </reference>
        </references>
      </pivotArea>
    </format>
    <format dxfId="4697">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002"/>
          </reference>
          <reference field="82" count="1" selected="0">
            <x v="408"/>
          </reference>
          <reference field="85" count="1" selected="0">
            <x v="4"/>
          </reference>
          <reference field="87" count="1">
            <x v="1361"/>
          </reference>
        </references>
      </pivotArea>
    </format>
    <format dxfId="4696">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003"/>
          </reference>
          <reference field="82" count="1" selected="0">
            <x v="409"/>
          </reference>
          <reference field="85" count="1" selected="0">
            <x v="4"/>
          </reference>
          <reference field="87" count="1">
            <x v="1362"/>
          </reference>
        </references>
      </pivotArea>
    </format>
    <format dxfId="4695">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083"/>
          </reference>
          <reference field="82" count="1" selected="0">
            <x v="490"/>
          </reference>
          <reference field="85" count="1" selected="0">
            <x v="0"/>
          </reference>
          <reference field="87" count="1">
            <x v="1442"/>
          </reference>
        </references>
      </pivotArea>
    </format>
    <format dxfId="4694">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084"/>
          </reference>
          <reference field="82" count="1" selected="0">
            <x v="491"/>
          </reference>
          <reference field="85" count="1" selected="0">
            <x v="0"/>
          </reference>
          <reference field="87" count="1">
            <x v="1443"/>
          </reference>
        </references>
      </pivotArea>
    </format>
    <format dxfId="4693">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085"/>
          </reference>
          <reference field="82" count="1" selected="0">
            <x v="492"/>
          </reference>
          <reference field="85" count="1" selected="0">
            <x v="0"/>
          </reference>
          <reference field="87" count="1">
            <x v="1444"/>
          </reference>
        </references>
      </pivotArea>
    </format>
    <format dxfId="4692">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147"/>
          </reference>
          <reference field="82" count="1" selected="0">
            <x v="554"/>
          </reference>
          <reference field="85" count="1" selected="0">
            <x v="7"/>
          </reference>
          <reference field="87" count="1">
            <x v="1506"/>
          </reference>
        </references>
      </pivotArea>
    </format>
    <format dxfId="4691">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148"/>
          </reference>
          <reference field="82" count="1" selected="0">
            <x v="555"/>
          </reference>
          <reference field="85" count="1" selected="0">
            <x v="7"/>
          </reference>
          <reference field="87" count="1">
            <x v="1507"/>
          </reference>
        </references>
      </pivotArea>
    </format>
    <format dxfId="4690">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941"/>
          </reference>
          <reference field="82" count="1" selected="0">
            <x v="345"/>
          </reference>
          <reference field="85" count="1" selected="0">
            <x v="3"/>
          </reference>
          <reference field="87" count="1">
            <x v="1300"/>
          </reference>
        </references>
      </pivotArea>
    </format>
    <format dxfId="4689">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954"/>
          </reference>
          <reference field="82" count="1" selected="0">
            <x v="358"/>
          </reference>
          <reference field="85" count="1" selected="0">
            <x v="7"/>
          </reference>
          <reference field="87" count="1">
            <x v="1313"/>
          </reference>
        </references>
      </pivotArea>
    </format>
    <format dxfId="4688">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1955"/>
          </reference>
          <reference field="82" count="1" selected="0">
            <x v="359"/>
          </reference>
          <reference field="85" count="1" selected="0">
            <x v="7"/>
          </reference>
          <reference field="87" count="1">
            <x v="1314"/>
          </reference>
        </references>
      </pivotArea>
    </format>
    <format dxfId="4687">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948"/>
          </reference>
          <reference field="82" count="1" selected="0">
            <x v="352"/>
          </reference>
          <reference field="85" count="1" selected="0">
            <x v="7"/>
          </reference>
          <reference field="87" count="1">
            <x v="1307"/>
          </reference>
        </references>
      </pivotArea>
    </format>
    <format dxfId="4686">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1949"/>
          </reference>
          <reference field="82" count="1" selected="0">
            <x v="353"/>
          </reference>
          <reference field="85" count="1" selected="0">
            <x v="7"/>
          </reference>
          <reference field="87" count="1">
            <x v="1308"/>
          </reference>
        </references>
      </pivotArea>
    </format>
    <format dxfId="4685">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947"/>
          </reference>
          <reference field="82" count="1" selected="0">
            <x v="351"/>
          </reference>
          <reference field="85" count="1" selected="0">
            <x v="7"/>
          </reference>
          <reference field="87" count="1">
            <x v="1306"/>
          </reference>
        </references>
      </pivotArea>
    </format>
    <format dxfId="4684">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1997"/>
          </reference>
          <reference field="82" count="1" selected="0">
            <x v="402"/>
          </reference>
          <reference field="85" count="1" selected="0">
            <x v="4"/>
          </reference>
          <reference field="87" count="1">
            <x v="1356"/>
          </reference>
        </references>
      </pivotArea>
    </format>
    <format dxfId="4683">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1995"/>
          </reference>
          <reference field="82" count="1" selected="0">
            <x v="403"/>
          </reference>
          <reference field="85" count="1" selected="0">
            <x v="4"/>
          </reference>
          <reference field="87" count="1">
            <x v="1354"/>
          </reference>
        </references>
      </pivotArea>
    </format>
    <format dxfId="4682">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1998"/>
          </reference>
          <reference field="82" count="1" selected="0">
            <x v="404"/>
          </reference>
          <reference field="85" count="1" selected="0">
            <x v="4"/>
          </reference>
          <reference field="87" count="1">
            <x v="1357"/>
          </reference>
        </references>
      </pivotArea>
    </format>
    <format dxfId="4681">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1999"/>
          </reference>
          <reference field="82" count="1" selected="0">
            <x v="405"/>
          </reference>
          <reference field="85" count="1" selected="0">
            <x v="4"/>
          </reference>
          <reference field="87" count="1">
            <x v="1358"/>
          </reference>
        </references>
      </pivotArea>
    </format>
    <format dxfId="4680">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080"/>
          </reference>
          <reference field="82" count="1" selected="0">
            <x v="487"/>
          </reference>
          <reference field="85" count="1" selected="0">
            <x v="0"/>
          </reference>
          <reference field="87" count="1">
            <x v="1439"/>
          </reference>
        </references>
      </pivotArea>
    </format>
    <format dxfId="4679">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081"/>
          </reference>
          <reference field="82" count="1" selected="0">
            <x v="488"/>
          </reference>
          <reference field="85" count="1" selected="0">
            <x v="0"/>
          </reference>
          <reference field="87" count="1">
            <x v="1440"/>
          </reference>
        </references>
      </pivotArea>
    </format>
    <format dxfId="4678">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082"/>
          </reference>
          <reference field="82" count="1" selected="0">
            <x v="489"/>
          </reference>
          <reference field="85" count="1" selected="0">
            <x v="0"/>
          </reference>
          <reference field="87" count="1">
            <x v="1441"/>
          </reference>
        </references>
      </pivotArea>
    </format>
    <format dxfId="4677">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146"/>
          </reference>
          <reference field="82" count="1" selected="0">
            <x v="553"/>
          </reference>
          <reference field="85" count="1" selected="0">
            <x v="7"/>
          </reference>
          <reference field="87" count="1">
            <x v="1505"/>
          </reference>
        </references>
      </pivotArea>
    </format>
    <format dxfId="4676">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942"/>
          </reference>
          <reference field="82" count="1" selected="0">
            <x v="346"/>
          </reference>
          <reference field="85" count="1" selected="0">
            <x v="3"/>
          </reference>
          <reference field="87" count="1">
            <x v="1301"/>
          </reference>
        </references>
      </pivotArea>
    </format>
    <format dxfId="4675">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956"/>
          </reference>
          <reference field="82" count="1" selected="0">
            <x v="360"/>
          </reference>
          <reference field="85" count="1" selected="0">
            <x v="7"/>
          </reference>
          <reference field="87" count="1">
            <x v="1315"/>
          </reference>
        </references>
      </pivotArea>
    </format>
    <format dxfId="4674">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1957"/>
          </reference>
          <reference field="82" count="1" selected="0">
            <x v="361"/>
          </reference>
          <reference field="85" count="1" selected="0">
            <x v="7"/>
          </reference>
          <reference field="87" count="1">
            <x v="1316"/>
          </reference>
        </references>
      </pivotArea>
    </format>
    <format dxfId="4673">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1936"/>
          </reference>
          <reference field="82" count="1" selected="0">
            <x v="340"/>
          </reference>
          <reference field="85" count="1" selected="0">
            <x v="3"/>
          </reference>
          <reference field="87" count="1">
            <x v="1295"/>
          </reference>
        </references>
      </pivotArea>
    </format>
    <format dxfId="4672">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1935"/>
          </reference>
          <reference field="82" count="1" selected="0">
            <x v="339"/>
          </reference>
          <reference field="85" count="1" selected="0">
            <x v="3"/>
          </reference>
          <reference field="87" count="1">
            <x v="1294"/>
          </reference>
        </references>
      </pivotArea>
    </format>
    <format dxfId="4671">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1933"/>
          </reference>
          <reference field="82" count="1" selected="0">
            <x v="337"/>
          </reference>
          <reference field="85" count="1" selected="0">
            <x v="3"/>
          </reference>
          <reference field="87" count="1">
            <x v="1292"/>
          </reference>
        </references>
      </pivotArea>
    </format>
    <format dxfId="4670">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1934"/>
          </reference>
          <reference field="82" count="1" selected="0">
            <x v="338"/>
          </reference>
          <reference field="85" count="1" selected="0">
            <x v="3"/>
          </reference>
          <reference field="87" count="1">
            <x v="1293"/>
          </reference>
        </references>
      </pivotArea>
    </format>
    <format dxfId="4669">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12"/>
          </reference>
          <reference field="82" count="1" selected="0">
            <x v="418"/>
          </reference>
          <reference field="85" count="1" selected="0">
            <x v="4"/>
          </reference>
          <reference field="87" count="1">
            <x v="1371"/>
          </reference>
        </references>
      </pivotArea>
    </format>
    <format dxfId="4668">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074"/>
          </reference>
          <reference field="82" count="1" selected="0">
            <x v="481"/>
          </reference>
          <reference field="85" count="1" selected="0">
            <x v="0"/>
          </reference>
          <reference field="87" count="1">
            <x v="1433"/>
          </reference>
        </references>
      </pivotArea>
    </format>
    <format dxfId="4667">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075"/>
          </reference>
          <reference field="82" count="1" selected="0">
            <x v="482"/>
          </reference>
          <reference field="85" count="1" selected="0">
            <x v="0"/>
          </reference>
          <reference field="87" count="1">
            <x v="1434"/>
          </reference>
        </references>
      </pivotArea>
    </format>
    <format dxfId="4666">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076"/>
          </reference>
          <reference field="82" count="1" selected="0">
            <x v="483"/>
          </reference>
          <reference field="85" count="1" selected="0">
            <x v="0"/>
          </reference>
          <reference field="87" count="1">
            <x v="1435"/>
          </reference>
        </references>
      </pivotArea>
    </format>
    <format dxfId="4665">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087"/>
          </reference>
          <reference field="82" count="1" selected="0">
            <x v="494"/>
          </reference>
          <reference field="85" count="1" selected="0">
            <x v="2"/>
          </reference>
          <reference field="87" count="1">
            <x v="1446"/>
          </reference>
        </references>
      </pivotArea>
    </format>
    <format dxfId="4664">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088"/>
          </reference>
          <reference field="82" count="1" selected="0">
            <x v="495"/>
          </reference>
          <reference field="85" count="1" selected="0">
            <x v="2"/>
          </reference>
          <reference field="87" count="1">
            <x v="1447"/>
          </reference>
        </references>
      </pivotArea>
    </format>
    <format dxfId="4663">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086"/>
          </reference>
          <reference field="82" count="1" selected="0">
            <x v="493"/>
          </reference>
          <reference field="85" count="1" selected="0">
            <x v="2"/>
          </reference>
          <reference field="87" count="1">
            <x v="1445"/>
          </reference>
        </references>
      </pivotArea>
    </format>
    <format dxfId="4662">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13"/>
          </reference>
          <reference field="82" count="1" selected="0">
            <x v="419"/>
          </reference>
          <reference field="85" count="1" selected="0">
            <x v="4"/>
          </reference>
          <reference field="87" count="1">
            <x v="1372"/>
          </reference>
        </references>
      </pivotArea>
    </format>
    <format dxfId="4661">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077"/>
          </reference>
          <reference field="82" count="1" selected="0">
            <x v="484"/>
          </reference>
          <reference field="85" count="1" selected="0">
            <x v="0"/>
          </reference>
          <reference field="87" count="1">
            <x v="1436"/>
          </reference>
        </references>
      </pivotArea>
    </format>
    <format dxfId="4660">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078"/>
          </reference>
          <reference field="82" count="1" selected="0">
            <x v="485"/>
          </reference>
          <reference field="85" count="1" selected="0">
            <x v="0"/>
          </reference>
          <reference field="87" count="1">
            <x v="1437"/>
          </reference>
        </references>
      </pivotArea>
    </format>
    <format dxfId="4659">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079"/>
          </reference>
          <reference field="82" count="1" selected="0">
            <x v="486"/>
          </reference>
          <reference field="85" count="1" selected="0">
            <x v="0"/>
          </reference>
          <reference field="87" count="1">
            <x v="1438"/>
          </reference>
        </references>
      </pivotArea>
    </format>
    <format dxfId="4658">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090"/>
          </reference>
          <reference field="82" count="1" selected="0">
            <x v="497"/>
          </reference>
          <reference field="85" count="1" selected="0">
            <x v="2"/>
          </reference>
          <reference field="87" count="1">
            <x v="1449"/>
          </reference>
        </references>
      </pivotArea>
    </format>
    <format dxfId="4657">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091"/>
          </reference>
          <reference field="82" count="1" selected="0">
            <x v="498"/>
          </reference>
          <reference field="85" count="1" selected="0">
            <x v="2"/>
          </reference>
          <reference field="87" count="1">
            <x v="1450"/>
          </reference>
        </references>
      </pivotArea>
    </format>
    <format dxfId="4656">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092"/>
          </reference>
          <reference field="82" count="1" selected="0">
            <x v="499"/>
          </reference>
          <reference field="85" count="1" selected="0">
            <x v="2"/>
          </reference>
          <reference field="87" count="1">
            <x v="1451"/>
          </reference>
        </references>
      </pivotArea>
    </format>
    <format dxfId="4655">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089"/>
          </reference>
          <reference field="82" count="1" selected="0">
            <x v="496"/>
          </reference>
          <reference field="85" count="1" selected="0">
            <x v="2"/>
          </reference>
          <reference field="87" count="1">
            <x v="1448"/>
          </reference>
        </references>
      </pivotArea>
    </format>
    <format dxfId="4654">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093"/>
          </reference>
          <reference field="82" count="1" selected="0">
            <x v="500"/>
          </reference>
          <reference field="85" count="1" selected="0">
            <x v="2"/>
          </reference>
          <reference field="87" count="1">
            <x v="1452"/>
          </reference>
        </references>
      </pivotArea>
    </format>
    <format dxfId="4653">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144"/>
          </reference>
          <reference field="82" count="1" selected="0">
            <x v="551"/>
          </reference>
          <reference field="85" count="1" selected="0">
            <x v="7"/>
          </reference>
          <reference field="87" count="1">
            <x v="1503"/>
          </reference>
        </references>
      </pivotArea>
    </format>
    <format dxfId="4652">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145"/>
          </reference>
          <reference field="82" count="1" selected="0">
            <x v="552"/>
          </reference>
          <reference field="85" count="1" selected="0">
            <x v="7"/>
          </reference>
          <reference field="87" count="1">
            <x v="1504"/>
          </reference>
        </references>
      </pivotArea>
    </format>
    <format dxfId="4651">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215"/>
          </reference>
          <reference field="82" count="1" selected="0">
            <x v="622"/>
          </reference>
          <reference field="85" count="1" selected="0">
            <x v="4"/>
          </reference>
          <reference field="87" count="1">
            <x v="1574"/>
          </reference>
        </references>
      </pivotArea>
    </format>
    <format dxfId="4650">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216"/>
          </reference>
          <reference field="82" count="1" selected="0">
            <x v="623"/>
          </reference>
          <reference field="85" count="1" selected="0">
            <x v="4"/>
          </reference>
          <reference field="87" count="1">
            <x v="1575"/>
          </reference>
        </references>
      </pivotArea>
    </format>
    <format dxfId="4649">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217"/>
          </reference>
          <reference field="82" count="1" selected="0">
            <x v="624"/>
          </reference>
          <reference field="85" count="1" selected="0">
            <x v="4"/>
          </reference>
          <reference field="87" count="1">
            <x v="1576"/>
          </reference>
        </references>
      </pivotArea>
    </format>
    <format dxfId="4648">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214"/>
          </reference>
          <reference field="82" count="1" selected="0">
            <x v="621"/>
          </reference>
          <reference field="85" count="1" selected="0">
            <x v="4"/>
          </reference>
          <reference field="87" count="1">
            <x v="1573"/>
          </reference>
        </references>
      </pivotArea>
    </format>
    <format dxfId="4647">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223"/>
          </reference>
          <reference field="82" count="1" selected="0">
            <x v="630"/>
          </reference>
          <reference field="85" count="1" selected="0">
            <x v="4"/>
          </reference>
          <reference field="87" count="1">
            <x v="1582"/>
          </reference>
        </references>
      </pivotArea>
    </format>
    <format dxfId="4646">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224"/>
          </reference>
          <reference field="82" count="1" selected="0">
            <x v="631"/>
          </reference>
          <reference field="85" count="1" selected="0">
            <x v="4"/>
          </reference>
          <reference field="87" count="1">
            <x v="1583"/>
          </reference>
        </references>
      </pivotArea>
    </format>
    <format dxfId="4645">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225"/>
          </reference>
          <reference field="82" count="1" selected="0">
            <x v="632"/>
          </reference>
          <reference field="85" count="1" selected="0">
            <x v="4"/>
          </reference>
          <reference field="87" count="1">
            <x v="1584"/>
          </reference>
        </references>
      </pivotArea>
    </format>
    <format dxfId="4644">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222"/>
          </reference>
          <reference field="82" count="1" selected="0">
            <x v="629"/>
          </reference>
          <reference field="85" count="1" selected="0">
            <x v="4"/>
          </reference>
          <reference field="87" count="1">
            <x v="1581"/>
          </reference>
        </references>
      </pivotArea>
    </format>
    <format dxfId="4643">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220"/>
          </reference>
          <reference field="82" count="1" selected="0">
            <x v="627"/>
          </reference>
          <reference field="85" count="1" selected="0">
            <x v="4"/>
          </reference>
          <reference field="87" count="1">
            <x v="1579"/>
          </reference>
        </references>
      </pivotArea>
    </format>
    <format dxfId="4642">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2221"/>
          </reference>
          <reference field="82" count="1" selected="0">
            <x v="628"/>
          </reference>
          <reference field="85" count="1" selected="0">
            <x v="4"/>
          </reference>
          <reference field="87" count="1">
            <x v="1580"/>
          </reference>
        </references>
      </pivotArea>
    </format>
    <format dxfId="4641">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219"/>
          </reference>
          <reference field="82" count="1" selected="0">
            <x v="626"/>
          </reference>
          <reference field="85" count="1" selected="0">
            <x v="4"/>
          </reference>
          <reference field="87" count="1">
            <x v="1578"/>
          </reference>
        </references>
      </pivotArea>
    </format>
    <format dxfId="4640">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218"/>
          </reference>
          <reference field="82" count="1" selected="0">
            <x v="625"/>
          </reference>
          <reference field="85" count="1" selected="0">
            <x v="4"/>
          </reference>
          <reference field="87" count="1">
            <x v="1577"/>
          </reference>
        </references>
      </pivotArea>
    </format>
    <format dxfId="4639">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1962"/>
          </reference>
          <reference field="82" count="1" selected="0">
            <x v="367"/>
          </reference>
          <reference field="85" count="1" selected="0">
            <x v="7"/>
          </reference>
          <reference field="87" count="1">
            <x v="1321"/>
          </reference>
        </references>
      </pivotArea>
    </format>
    <format dxfId="4638">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1963"/>
          </reference>
          <reference field="82" count="1" selected="0">
            <x v="368"/>
          </reference>
          <reference field="85" count="1" selected="0">
            <x v="7"/>
          </reference>
          <reference field="87" count="1">
            <x v="1322"/>
          </reference>
        </references>
      </pivotArea>
    </format>
    <format dxfId="4637">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115"/>
          </reference>
          <reference field="82" count="1" selected="0">
            <x v="522"/>
          </reference>
          <reference field="85" count="1" selected="0">
            <x v="2"/>
          </reference>
          <reference field="87" count="1">
            <x v="1474"/>
          </reference>
        </references>
      </pivotArea>
    </format>
    <format dxfId="4636">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232"/>
          </reference>
          <reference field="82" count="1" selected="0">
            <x v="639"/>
          </reference>
          <reference field="85" count="1" selected="0">
            <x v="4"/>
          </reference>
          <reference field="87" count="1">
            <x v="1591"/>
          </reference>
        </references>
      </pivotArea>
    </format>
    <format dxfId="4635">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233"/>
          </reference>
          <reference field="82" count="1" selected="0">
            <x v="640"/>
          </reference>
          <reference field="85" count="1" selected="0">
            <x v="4"/>
          </reference>
          <reference field="87" count="1">
            <x v="1592"/>
          </reference>
        </references>
      </pivotArea>
    </format>
    <format dxfId="4634">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235"/>
          </reference>
          <reference field="82" count="1" selected="0">
            <x v="642"/>
          </reference>
          <reference field="85" count="1" selected="0">
            <x v="4"/>
          </reference>
          <reference field="87" count="1">
            <x v="1594"/>
          </reference>
        </references>
      </pivotArea>
    </format>
    <format dxfId="4633">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81"/>
          </reference>
          <reference field="82" count="1" selected="0">
            <x v="386"/>
          </reference>
          <reference field="85" count="1" selected="0">
            <x v="4"/>
          </reference>
          <reference field="87" count="1">
            <x v="1340"/>
          </reference>
        </references>
      </pivotArea>
    </format>
    <format dxfId="4632">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984"/>
          </reference>
          <reference field="82" count="1" selected="0">
            <x v="389"/>
          </reference>
          <reference field="85" count="1" selected="0">
            <x v="4"/>
          </reference>
          <reference field="87" count="1">
            <x v="1343"/>
          </reference>
        </references>
      </pivotArea>
    </format>
    <format dxfId="4631">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982"/>
          </reference>
          <reference field="82" count="1" selected="0">
            <x v="387"/>
          </reference>
          <reference field="85" count="1" selected="0">
            <x v="4"/>
          </reference>
          <reference field="87" count="1">
            <x v="1341"/>
          </reference>
        </references>
      </pivotArea>
    </format>
    <format dxfId="4630">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983"/>
          </reference>
          <reference field="82" count="1" selected="0">
            <x v="388"/>
          </reference>
          <reference field="85" count="1" selected="0">
            <x v="4"/>
          </reference>
          <reference field="87" count="1">
            <x v="1342"/>
          </reference>
        </references>
      </pivotArea>
    </format>
    <format dxfId="4629">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181"/>
          </reference>
          <reference field="82" count="1" selected="0">
            <x v="588"/>
          </reference>
          <reference field="85" count="1" selected="0">
            <x v="4"/>
          </reference>
          <reference field="87" count="1">
            <x v="1540"/>
          </reference>
        </references>
      </pivotArea>
    </format>
    <format dxfId="4628">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177"/>
          </reference>
          <reference field="82" count="1" selected="0">
            <x v="584"/>
          </reference>
          <reference field="85" count="1" selected="0">
            <x v="4"/>
          </reference>
          <reference field="87" count="1">
            <x v="1536"/>
          </reference>
        </references>
      </pivotArea>
    </format>
    <format dxfId="4627">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178"/>
          </reference>
          <reference field="82" count="1" selected="0">
            <x v="585"/>
          </reference>
          <reference field="85" count="1" selected="0">
            <x v="4"/>
          </reference>
          <reference field="87" count="1">
            <x v="1537"/>
          </reference>
        </references>
      </pivotArea>
    </format>
    <format dxfId="4626">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179"/>
          </reference>
          <reference field="82" count="1" selected="0">
            <x v="586"/>
          </reference>
          <reference field="85" count="1" selected="0">
            <x v="4"/>
          </reference>
          <reference field="87" count="1">
            <x v="1538"/>
          </reference>
        </references>
      </pivotArea>
    </format>
    <format dxfId="4625">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180"/>
          </reference>
          <reference field="82" count="1" selected="0">
            <x v="587"/>
          </reference>
          <reference field="85" count="1" selected="0">
            <x v="4"/>
          </reference>
          <reference field="87" count="1">
            <x v="1539"/>
          </reference>
        </references>
      </pivotArea>
    </format>
    <format dxfId="4624">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77"/>
          </reference>
          <reference field="82" count="1" selected="0">
            <x v="382"/>
          </reference>
          <reference field="85" count="1" selected="0">
            <x v="4"/>
          </reference>
          <reference field="87" count="1">
            <x v="1336"/>
          </reference>
        </references>
      </pivotArea>
    </format>
    <format dxfId="4623">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980"/>
          </reference>
          <reference field="82" count="1" selected="0">
            <x v="385"/>
          </reference>
          <reference field="85" count="1" selected="0">
            <x v="4"/>
          </reference>
          <reference field="87" count="1">
            <x v="1339"/>
          </reference>
        </references>
      </pivotArea>
    </format>
    <format dxfId="4622">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978"/>
          </reference>
          <reference field="82" count="1" selected="0">
            <x v="383"/>
          </reference>
          <reference field="85" count="1" selected="0">
            <x v="4"/>
          </reference>
          <reference field="87" count="1">
            <x v="1337"/>
          </reference>
        </references>
      </pivotArea>
    </format>
    <format dxfId="4621">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979"/>
          </reference>
          <reference field="82" count="1" selected="0">
            <x v="384"/>
          </reference>
          <reference field="85" count="1" selected="0">
            <x v="4"/>
          </reference>
          <reference field="87" count="1">
            <x v="1338"/>
          </reference>
        </references>
      </pivotArea>
    </format>
    <format dxfId="4620">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176"/>
          </reference>
          <reference field="82" count="1" selected="0">
            <x v="583"/>
          </reference>
          <reference field="85" count="1" selected="0">
            <x v="4"/>
          </reference>
          <reference field="87" count="1">
            <x v="1535"/>
          </reference>
        </references>
      </pivotArea>
    </format>
    <format dxfId="4619">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172"/>
          </reference>
          <reference field="82" count="1" selected="0">
            <x v="579"/>
          </reference>
          <reference field="85" count="1" selected="0">
            <x v="4"/>
          </reference>
          <reference field="87" count="1">
            <x v="1531"/>
          </reference>
        </references>
      </pivotArea>
    </format>
    <format dxfId="4618">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173"/>
          </reference>
          <reference field="82" count="1" selected="0">
            <x v="580"/>
          </reference>
          <reference field="85" count="1" selected="0">
            <x v="4"/>
          </reference>
          <reference field="87" count="1">
            <x v="1532"/>
          </reference>
        </references>
      </pivotArea>
    </format>
    <format dxfId="4617">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174"/>
          </reference>
          <reference field="82" count="1" selected="0">
            <x v="581"/>
          </reference>
          <reference field="85" count="1" selected="0">
            <x v="4"/>
          </reference>
          <reference field="87" count="1">
            <x v="1533"/>
          </reference>
        </references>
      </pivotArea>
    </format>
    <format dxfId="4616">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175"/>
          </reference>
          <reference field="82" count="1" selected="0">
            <x v="582"/>
          </reference>
          <reference field="85" count="1" selected="0">
            <x v="4"/>
          </reference>
          <reference field="87" count="1">
            <x v="1534"/>
          </reference>
        </references>
      </pivotArea>
    </format>
    <format dxfId="4615">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22"/>
          </reference>
          <reference field="82" count="1" selected="0">
            <x v="428"/>
          </reference>
          <reference field="85" count="1" selected="0">
            <x v="4"/>
          </reference>
          <reference field="87" count="1">
            <x v="1381"/>
          </reference>
        </references>
      </pivotArea>
    </format>
    <format dxfId="4614">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17"/>
          </reference>
          <reference field="82" count="1" selected="0">
            <x v="431"/>
          </reference>
          <reference field="85" count="1" selected="0">
            <x v="4"/>
          </reference>
          <reference field="87" count="1">
            <x v="1376"/>
          </reference>
        </references>
      </pivotArea>
    </format>
    <format dxfId="4613">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23"/>
          </reference>
          <reference field="82" count="1" selected="0">
            <x v="429"/>
          </reference>
          <reference field="85" count="1" selected="0">
            <x v="4"/>
          </reference>
          <reference field="87" count="1">
            <x v="1382"/>
          </reference>
        </references>
      </pivotArea>
    </format>
    <format dxfId="4612">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24"/>
          </reference>
          <reference field="82" count="1" selected="0">
            <x v="430"/>
          </reference>
          <reference field="85" count="1" selected="0">
            <x v="4"/>
          </reference>
          <reference field="87" count="1">
            <x v="1383"/>
          </reference>
        </references>
      </pivotArea>
    </format>
    <format dxfId="4611">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171"/>
          </reference>
          <reference field="82" count="1" selected="0">
            <x v="578"/>
          </reference>
          <reference field="85" count="1" selected="0">
            <x v="4"/>
          </reference>
          <reference field="87" count="1">
            <x v="1530"/>
          </reference>
        </references>
      </pivotArea>
    </format>
    <format dxfId="4610">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167"/>
          </reference>
          <reference field="82" count="1" selected="0">
            <x v="574"/>
          </reference>
          <reference field="85" count="1" selected="0">
            <x v="4"/>
          </reference>
          <reference field="87" count="1">
            <x v="1526"/>
          </reference>
        </references>
      </pivotArea>
    </format>
    <format dxfId="4609">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168"/>
          </reference>
          <reference field="82" count="1" selected="0">
            <x v="575"/>
          </reference>
          <reference field="85" count="1" selected="0">
            <x v="4"/>
          </reference>
          <reference field="87" count="1">
            <x v="1527"/>
          </reference>
        </references>
      </pivotArea>
    </format>
    <format dxfId="4608">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169"/>
          </reference>
          <reference field="82" count="1" selected="0">
            <x v="576"/>
          </reference>
          <reference field="85" count="1" selected="0">
            <x v="4"/>
          </reference>
          <reference field="87" count="1">
            <x v="1528"/>
          </reference>
        </references>
      </pivotArea>
    </format>
    <format dxfId="4607">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170"/>
          </reference>
          <reference field="82" count="1" selected="0">
            <x v="577"/>
          </reference>
          <reference field="85" count="1" selected="0">
            <x v="4"/>
          </reference>
          <reference field="87" count="1">
            <x v="1529"/>
          </reference>
        </references>
      </pivotArea>
    </format>
    <format dxfId="4606">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228"/>
          </reference>
          <reference field="82" count="1" selected="0">
            <x v="635"/>
          </reference>
          <reference field="85" count="1" selected="0">
            <x v="4"/>
          </reference>
          <reference field="87" count="1">
            <x v="1587"/>
          </reference>
        </references>
      </pivotArea>
    </format>
    <format dxfId="4605">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231"/>
          </reference>
          <reference field="82" count="1" selected="0">
            <x v="638"/>
          </reference>
          <reference field="85" count="1" selected="0">
            <x v="4"/>
          </reference>
          <reference field="87" count="1">
            <x v="1590"/>
          </reference>
        </references>
      </pivotArea>
    </format>
    <format dxfId="4604">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229"/>
          </reference>
          <reference field="82" count="1" selected="0">
            <x v="636"/>
          </reference>
          <reference field="85" count="1" selected="0">
            <x v="4"/>
          </reference>
          <reference field="87" count="1">
            <x v="1588"/>
          </reference>
        </references>
      </pivotArea>
    </format>
    <format dxfId="4603">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230"/>
          </reference>
          <reference field="82" count="1" selected="0">
            <x v="637"/>
          </reference>
          <reference field="85" count="1" selected="0">
            <x v="4"/>
          </reference>
          <reference field="87" count="1">
            <x v="1589"/>
          </reference>
        </references>
      </pivotArea>
    </format>
    <format dxfId="4602">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190"/>
          </reference>
          <reference field="82" count="1" selected="0">
            <x v="597"/>
          </reference>
          <reference field="85" count="1" selected="0">
            <x v="4"/>
          </reference>
          <reference field="87" count="1">
            <x v="1549"/>
          </reference>
        </references>
      </pivotArea>
    </format>
    <format dxfId="4601">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191"/>
          </reference>
          <reference field="82" count="1" selected="0">
            <x v="598"/>
          </reference>
          <reference field="85" count="1" selected="0">
            <x v="4"/>
          </reference>
          <reference field="87" count="1">
            <x v="1550"/>
          </reference>
        </references>
      </pivotArea>
    </format>
    <format dxfId="4600">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192"/>
          </reference>
          <reference field="82" count="1" selected="0">
            <x v="599"/>
          </reference>
          <reference field="85" count="1" selected="0">
            <x v="4"/>
          </reference>
          <reference field="87" count="1">
            <x v="1551"/>
          </reference>
        </references>
      </pivotArea>
    </format>
    <format dxfId="4599">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193"/>
          </reference>
          <reference field="82" count="1" selected="0">
            <x v="600"/>
          </reference>
          <reference field="85" count="1" selected="0">
            <x v="4"/>
          </reference>
          <reference field="87" count="1">
            <x v="1552"/>
          </reference>
        </references>
      </pivotArea>
    </format>
    <format dxfId="4598">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194"/>
          </reference>
          <reference field="82" count="1" selected="0">
            <x v="601"/>
          </reference>
          <reference field="85" count="1" selected="0">
            <x v="4"/>
          </reference>
          <reference field="87" count="1">
            <x v="1553"/>
          </reference>
        </references>
      </pivotArea>
    </format>
    <format dxfId="4597">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195"/>
          </reference>
          <reference field="82" count="1" selected="0">
            <x v="602"/>
          </reference>
          <reference field="85" count="1" selected="0">
            <x v="4"/>
          </reference>
          <reference field="87" count="1">
            <x v="1554"/>
          </reference>
        </references>
      </pivotArea>
    </format>
    <format dxfId="4596">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196"/>
          </reference>
          <reference field="82" count="1" selected="0">
            <x v="603"/>
          </reference>
          <reference field="85" count="1" selected="0">
            <x v="4"/>
          </reference>
          <reference field="87" count="1">
            <x v="1555"/>
          </reference>
        </references>
      </pivotArea>
    </format>
    <format dxfId="4595">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197"/>
          </reference>
          <reference field="82" count="1" selected="0">
            <x v="604"/>
          </reference>
          <reference field="85" count="1" selected="0">
            <x v="4"/>
          </reference>
          <reference field="87" count="1">
            <x v="1556"/>
          </reference>
        </references>
      </pivotArea>
    </format>
    <format dxfId="4594">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2163"/>
          </reference>
          <reference field="82" count="1" selected="0">
            <x v="570"/>
          </reference>
          <reference field="85" count="1" selected="0">
            <x v="4"/>
          </reference>
          <reference field="87" count="1">
            <x v="1522"/>
          </reference>
        </references>
      </pivotArea>
    </format>
    <format dxfId="4593">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2165"/>
          </reference>
          <reference field="82" count="1" selected="0">
            <x v="572"/>
          </reference>
          <reference field="85" count="1" selected="0">
            <x v="4"/>
          </reference>
          <reference field="87" count="1">
            <x v="1524"/>
          </reference>
        </references>
      </pivotArea>
    </format>
    <format dxfId="4592">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166"/>
          </reference>
          <reference field="82" count="1" selected="0">
            <x v="573"/>
          </reference>
          <reference field="85" count="1" selected="0">
            <x v="4"/>
          </reference>
          <reference field="87" count="1">
            <x v="1525"/>
          </reference>
        </references>
      </pivotArea>
    </format>
    <format dxfId="4591">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2164"/>
          </reference>
          <reference field="82" count="1" selected="0">
            <x v="571"/>
          </reference>
          <reference field="85" count="1" selected="0">
            <x v="4"/>
          </reference>
          <reference field="87" count="1">
            <x v="1523"/>
          </reference>
        </references>
      </pivotArea>
    </format>
    <format dxfId="4590">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113"/>
          </reference>
          <reference field="82" count="1" selected="0">
            <x v="520"/>
          </reference>
          <reference field="85" count="1" selected="0">
            <x v="2"/>
          </reference>
          <reference field="87" count="1">
            <x v="1472"/>
          </reference>
        </references>
      </pivotArea>
    </format>
    <format dxfId="4589">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114"/>
          </reference>
          <reference field="82" count="1" selected="0">
            <x v="521"/>
          </reference>
          <reference field="85" count="1" selected="0">
            <x v="2"/>
          </reference>
          <reference field="87" count="1">
            <x v="1473"/>
          </reference>
        </references>
      </pivotArea>
    </format>
    <format dxfId="4588">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112"/>
          </reference>
          <reference field="82" count="1" selected="0">
            <x v="519"/>
          </reference>
          <reference field="85" count="1" selected="0">
            <x v="2"/>
          </reference>
          <reference field="87" count="1">
            <x v="1471"/>
          </reference>
        </references>
      </pivotArea>
    </format>
    <format dxfId="4587">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85"/>
          </reference>
          <reference field="82" count="1" selected="0">
            <x v="390"/>
          </reference>
          <reference field="85" count="1" selected="0">
            <x v="4"/>
          </reference>
          <reference field="87" count="1">
            <x v="1344"/>
          </reference>
        </references>
      </pivotArea>
    </format>
    <format dxfId="4586">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988"/>
          </reference>
          <reference field="82" count="1" selected="0">
            <x v="393"/>
          </reference>
          <reference field="85" count="1" selected="0">
            <x v="4"/>
          </reference>
          <reference field="87" count="1">
            <x v="1347"/>
          </reference>
        </references>
      </pivotArea>
    </format>
    <format dxfId="4585">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986"/>
          </reference>
          <reference field="82" count="1" selected="0">
            <x v="391"/>
          </reference>
          <reference field="85" count="1" selected="0">
            <x v="4"/>
          </reference>
          <reference field="87" count="1">
            <x v="1345"/>
          </reference>
        </references>
      </pivotArea>
    </format>
    <format dxfId="4584">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987"/>
          </reference>
          <reference field="82" count="1" selected="0">
            <x v="392"/>
          </reference>
          <reference field="85" count="1" selected="0">
            <x v="4"/>
          </reference>
          <reference field="87" count="1">
            <x v="1346"/>
          </reference>
        </references>
      </pivotArea>
    </format>
    <format dxfId="4583">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182"/>
          </reference>
          <reference field="82" count="1" selected="0">
            <x v="589"/>
          </reference>
          <reference field="85" count="1" selected="0">
            <x v="4"/>
          </reference>
          <reference field="87" count="1">
            <x v="1541"/>
          </reference>
        </references>
      </pivotArea>
    </format>
    <format dxfId="4582">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183"/>
          </reference>
          <reference field="82" count="1" selected="0">
            <x v="590"/>
          </reference>
          <reference field="85" count="1" selected="0">
            <x v="4"/>
          </reference>
          <reference field="87" count="1">
            <x v="1542"/>
          </reference>
        </references>
      </pivotArea>
    </format>
    <format dxfId="4581">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184"/>
          </reference>
          <reference field="82" count="1" selected="0">
            <x v="591"/>
          </reference>
          <reference field="85" count="1" selected="0">
            <x v="4"/>
          </reference>
          <reference field="87" count="1">
            <x v="1543"/>
          </reference>
        </references>
      </pivotArea>
    </format>
    <format dxfId="4580">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185"/>
          </reference>
          <reference field="82" count="1" selected="0">
            <x v="592"/>
          </reference>
          <reference field="85" count="1" selected="0">
            <x v="4"/>
          </reference>
          <reference field="87" count="1">
            <x v="1544"/>
          </reference>
        </references>
      </pivotArea>
    </format>
    <format dxfId="4579">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186"/>
          </reference>
          <reference field="82" count="1" selected="0">
            <x v="593"/>
          </reference>
          <reference field="85" count="1" selected="0">
            <x v="4"/>
          </reference>
          <reference field="87" count="1">
            <x v="1545"/>
          </reference>
        </references>
      </pivotArea>
    </format>
    <format dxfId="4578">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187"/>
          </reference>
          <reference field="82" count="1" selected="0">
            <x v="594"/>
          </reference>
          <reference field="85" count="1" selected="0">
            <x v="4"/>
          </reference>
          <reference field="87" count="1">
            <x v="1546"/>
          </reference>
        </references>
      </pivotArea>
    </format>
    <format dxfId="4577">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188"/>
          </reference>
          <reference field="82" count="1" selected="0">
            <x v="595"/>
          </reference>
          <reference field="85" count="1" selected="0">
            <x v="4"/>
          </reference>
          <reference field="87" count="1">
            <x v="1547"/>
          </reference>
        </references>
      </pivotArea>
    </format>
    <format dxfId="4576">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189"/>
          </reference>
          <reference field="82" count="1" selected="0">
            <x v="596"/>
          </reference>
          <reference field="85" count="1" selected="0">
            <x v="4"/>
          </reference>
          <reference field="87" count="1">
            <x v="1548"/>
          </reference>
        </references>
      </pivotArea>
    </format>
    <format dxfId="4575">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1938"/>
          </reference>
          <reference field="82" count="1" selected="0">
            <x v="342"/>
          </reference>
          <reference field="85" count="1" selected="0">
            <x v="3"/>
          </reference>
          <reference field="87" count="1">
            <x v="1297"/>
          </reference>
        </references>
      </pivotArea>
    </format>
    <format dxfId="4574">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240"/>
          </reference>
          <reference field="82" count="1" selected="0">
            <x v="647"/>
          </reference>
          <reference field="85" count="1" selected="0">
            <x v="4"/>
          </reference>
          <reference field="87" count="1">
            <x v="1599"/>
          </reference>
        </references>
      </pivotArea>
    </format>
    <format dxfId="4573">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975"/>
          </reference>
          <reference field="82" count="1" selected="0">
            <x v="380"/>
          </reference>
          <reference field="85" count="1" selected="0">
            <x v="7"/>
          </reference>
          <reference field="87" count="1">
            <x v="1334"/>
          </reference>
        </references>
      </pivotArea>
    </format>
    <format dxfId="4572">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1939"/>
          </reference>
          <reference field="82" count="1" selected="0">
            <x v="343"/>
          </reference>
          <reference field="85" count="1" selected="0">
            <x v="3"/>
          </reference>
          <reference field="87" count="1">
            <x v="1298"/>
          </reference>
        </references>
      </pivotArea>
    </format>
    <format dxfId="4571">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976"/>
          </reference>
          <reference field="82" count="1" selected="0">
            <x v="381"/>
          </reference>
          <reference field="85" count="1" selected="0">
            <x v="7"/>
          </reference>
          <reference field="87" count="1">
            <x v="1335"/>
          </reference>
        </references>
      </pivotArea>
    </format>
    <format dxfId="4570">
      <pivotArea dataOnly="0" labelOnly="1" outline="0" fieldPosition="0">
        <references count="13">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x v="14"/>
          </reference>
        </references>
      </pivotArea>
    </format>
    <format dxfId="4569">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242"/>
          </reference>
          <reference field="82" count="1" selected="0">
            <x v="649"/>
          </reference>
          <reference field="85" count="1" selected="0">
            <x v="7"/>
          </reference>
          <reference field="87" count="1">
            <x v="1601"/>
          </reference>
        </references>
      </pivotArea>
    </format>
    <format dxfId="4568">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244"/>
          </reference>
          <reference field="82" count="1" selected="0">
            <x v="651"/>
          </reference>
          <reference field="85" count="1" selected="0">
            <x v="7"/>
          </reference>
          <reference field="87" count="1">
            <x v="1603"/>
          </reference>
        </references>
      </pivotArea>
    </format>
    <format dxfId="4567">
      <pivotArea dataOnly="0" labelOnly="1" outline="0" fieldPosition="0">
        <references count="13">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x v="17"/>
          </reference>
        </references>
      </pivotArea>
    </format>
    <format dxfId="4566">
      <pivotArea dataOnly="0" labelOnly="1" outline="0" fieldPosition="0">
        <references count="13">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4565">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243"/>
          </reference>
          <reference field="82" count="1" selected="0">
            <x v="650"/>
          </reference>
          <reference field="85" count="1" selected="0">
            <x v="7"/>
          </reference>
          <reference field="87" count="1">
            <x v="1602"/>
          </reference>
        </references>
      </pivotArea>
    </format>
    <format dxfId="4564">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1968"/>
          </reference>
          <reference field="82" count="1" selected="0">
            <x v="373"/>
          </reference>
          <reference field="85" count="1" selected="0">
            <x v="2"/>
          </reference>
          <reference field="87" count="1">
            <x v="1327"/>
          </reference>
        </references>
      </pivotArea>
    </format>
    <format dxfId="4563">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245"/>
          </reference>
          <reference field="82" count="1" selected="0">
            <x v="652"/>
          </reference>
          <reference field="85" count="1" selected="0">
            <x v="7"/>
          </reference>
          <reference field="87" count="1">
            <x v="1604"/>
          </reference>
        </references>
      </pivotArea>
    </format>
    <format dxfId="4562">
      <pivotArea dataOnly="0" labelOnly="1" outline="0" fieldPosition="0">
        <references count="13">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4561">
      <pivotArea dataOnly="0" labelOnly="1" outline="0" fieldPosition="0">
        <references count="13">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x v="18"/>
          </reference>
        </references>
      </pivotArea>
    </format>
    <format dxfId="4560">
      <pivotArea dataOnly="0" labelOnly="1" outline="0" fieldPosition="0">
        <references count="13">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x v="16"/>
          </reference>
        </references>
      </pivotArea>
    </format>
    <format dxfId="4559">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1937"/>
          </reference>
          <reference field="82" count="1" selected="0">
            <x v="341"/>
          </reference>
          <reference field="85" count="1" selected="0">
            <x v="3"/>
          </reference>
          <reference field="87" count="1">
            <x v="1296"/>
          </reference>
        </references>
      </pivotArea>
    </format>
    <format dxfId="4558">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234"/>
          </reference>
          <reference field="82" count="1" selected="0">
            <x v="641"/>
          </reference>
          <reference field="85" count="1" selected="0">
            <x v="4"/>
          </reference>
          <reference field="87" count="1">
            <x v="1593"/>
          </reference>
        </references>
      </pivotArea>
    </format>
    <format dxfId="455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098"/>
          </reference>
          <reference field="82" count="1" selected="0">
            <x v="505"/>
          </reference>
          <reference field="85" count="1" selected="0">
            <x v="2"/>
          </reference>
          <reference field="87" count="1">
            <x v="1457"/>
          </reference>
        </references>
      </pivotArea>
    </format>
    <format dxfId="455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101"/>
          </reference>
          <reference field="82" count="1" selected="0">
            <x v="508"/>
          </reference>
          <reference field="85" count="1" selected="0">
            <x v="2"/>
          </reference>
          <reference field="87" count="1">
            <x v="1460"/>
          </reference>
        </references>
      </pivotArea>
    </format>
    <format dxfId="455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099"/>
          </reference>
          <reference field="82" count="1" selected="0">
            <x v="506"/>
          </reference>
          <reference field="85" count="1" selected="0">
            <x v="2"/>
          </reference>
          <reference field="87" count="1">
            <x v="1458"/>
          </reference>
        </references>
      </pivotArea>
    </format>
    <format dxfId="455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102"/>
          </reference>
          <reference field="82" count="1" selected="0">
            <x v="509"/>
          </reference>
          <reference field="85" count="1" selected="0">
            <x v="2"/>
          </reference>
          <reference field="87" count="1">
            <x v="1461"/>
          </reference>
        </references>
      </pivotArea>
    </format>
    <format dxfId="455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107"/>
          </reference>
          <reference field="82" count="1" selected="0">
            <x v="514"/>
          </reference>
          <reference field="85" count="1" selected="0">
            <x v="2"/>
          </reference>
          <reference field="87" count="1">
            <x v="1466"/>
          </reference>
        </references>
      </pivotArea>
    </format>
    <format dxfId="455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105"/>
          </reference>
          <reference field="82" count="1" selected="0">
            <x v="512"/>
          </reference>
          <reference field="85" count="1" selected="0">
            <x v="2"/>
          </reference>
          <reference field="87" count="1">
            <x v="1464"/>
          </reference>
        </references>
      </pivotArea>
    </format>
    <format dxfId="455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104"/>
          </reference>
          <reference field="82" count="1" selected="0">
            <x v="511"/>
          </reference>
          <reference field="85" count="1" selected="0">
            <x v="2"/>
          </reference>
          <reference field="87" count="1">
            <x v="1463"/>
          </reference>
        </references>
      </pivotArea>
    </format>
    <format dxfId="455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103"/>
          </reference>
          <reference field="82" count="1" selected="0">
            <x v="510"/>
          </reference>
          <reference field="85" count="1" selected="0">
            <x v="2"/>
          </reference>
          <reference field="87" count="1">
            <x v="1462"/>
          </reference>
        </references>
      </pivotArea>
    </format>
    <format dxfId="454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097"/>
          </reference>
          <reference field="82" count="1" selected="0">
            <x v="504"/>
          </reference>
          <reference field="85" count="1" selected="0">
            <x v="2"/>
          </reference>
          <reference field="87" count="1">
            <x v="1456"/>
          </reference>
        </references>
      </pivotArea>
    </format>
    <format dxfId="454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100"/>
          </reference>
          <reference field="82" count="1" selected="0">
            <x v="507"/>
          </reference>
          <reference field="85" count="1" selected="0">
            <x v="2"/>
          </reference>
          <reference field="87" count="1">
            <x v="1459"/>
          </reference>
        </references>
      </pivotArea>
    </format>
    <format dxfId="454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106"/>
          </reference>
          <reference field="82" count="1" selected="0">
            <x v="513"/>
          </reference>
          <reference field="85" count="1" selected="0">
            <x v="2"/>
          </reference>
          <reference field="87" count="1">
            <x v="1465"/>
          </reference>
        </references>
      </pivotArea>
    </format>
    <format dxfId="4546">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241"/>
          </reference>
          <reference field="82" count="1" selected="0">
            <x v="648"/>
          </reference>
          <reference field="85" count="1" selected="0">
            <x v="4"/>
          </reference>
          <reference field="87" count="1">
            <x v="1600"/>
          </reference>
        </references>
      </pivotArea>
    </format>
    <format dxfId="4545">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1974"/>
          </reference>
          <reference field="82" count="1" selected="0">
            <x v="379"/>
          </reference>
          <reference field="85" count="1" selected="0">
            <x v="2"/>
          </reference>
          <reference field="87" count="1">
            <x v="1333"/>
          </reference>
        </references>
      </pivotArea>
    </format>
    <format dxfId="4544">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972"/>
          </reference>
          <reference field="82" count="1" selected="0">
            <x v="377"/>
          </reference>
          <reference field="85" count="1" selected="0">
            <x v="7"/>
          </reference>
          <reference field="87" count="1">
            <x v="1331"/>
          </reference>
        </references>
      </pivotArea>
    </format>
    <format dxfId="4543">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109"/>
          </reference>
          <reference field="82" count="1" selected="0">
            <x v="516"/>
          </reference>
          <reference field="85" count="1" selected="0">
            <x v="2"/>
          </reference>
          <reference field="87" count="1">
            <x v="1468"/>
          </reference>
        </references>
      </pivotArea>
    </format>
    <format dxfId="4542">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111"/>
          </reference>
          <reference field="82" count="1" selected="0">
            <x v="518"/>
          </reference>
          <reference field="85" count="1" selected="0">
            <x v="2"/>
          </reference>
          <reference field="87" count="1">
            <x v="1470"/>
          </reference>
        </references>
      </pivotArea>
    </format>
    <format dxfId="4541">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108"/>
          </reference>
          <reference field="82" count="1" selected="0">
            <x v="515"/>
          </reference>
          <reference field="85" count="1" selected="0">
            <x v="2"/>
          </reference>
          <reference field="87" count="1">
            <x v="1467"/>
          </reference>
        </references>
      </pivotArea>
    </format>
    <format dxfId="4540">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110"/>
          </reference>
          <reference field="82" count="1" selected="0">
            <x v="517"/>
          </reference>
          <reference field="85" count="1" selected="0">
            <x v="2"/>
          </reference>
          <reference field="87" count="1">
            <x v="1469"/>
          </reference>
        </references>
      </pivotArea>
    </format>
    <format dxfId="4539">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973"/>
          </reference>
          <reference field="82" count="1" selected="0">
            <x v="378"/>
          </reference>
          <reference field="85" count="1" selected="0">
            <x v="7"/>
          </reference>
          <reference field="87" count="1">
            <x v="1332"/>
          </reference>
        </references>
      </pivotArea>
    </format>
    <format dxfId="4538">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226"/>
          </reference>
          <reference field="82" count="1" selected="0">
            <x v="633"/>
          </reference>
          <reference field="85" count="1" selected="0">
            <x v="4"/>
          </reference>
          <reference field="87" count="1">
            <x v="1585"/>
          </reference>
        </references>
      </pivotArea>
    </format>
    <format dxfId="4537">
      <pivotArea dataOnly="0" labelOnly="1" outline="0" fieldPosition="0">
        <references count="13">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227"/>
          </reference>
          <reference field="82" count="1" selected="0">
            <x v="634"/>
          </reference>
          <reference field="85" count="1" selected="0">
            <x v="4"/>
          </reference>
          <reference field="87" count="1">
            <x v="1586"/>
          </reference>
        </references>
      </pivotArea>
    </format>
    <format dxfId="4536">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134"/>
          </reference>
          <reference field="82" count="1" selected="0">
            <x v="541"/>
          </reference>
          <reference field="85" count="1" selected="0">
            <x v="7"/>
          </reference>
          <reference field="87" count="1">
            <x v="1493"/>
          </reference>
        </references>
      </pivotArea>
    </format>
    <format dxfId="4535">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140"/>
          </reference>
          <reference field="82" count="1" selected="0">
            <x v="547"/>
          </reference>
          <reference field="85" count="1" selected="0">
            <x v="7"/>
          </reference>
          <reference field="87" count="1">
            <x v="1499"/>
          </reference>
        </references>
      </pivotArea>
    </format>
    <format dxfId="4534">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1965"/>
          </reference>
          <reference field="82" count="1" selected="0">
            <x v="370"/>
          </reference>
          <reference field="85" count="1" selected="0">
            <x v="7"/>
          </reference>
          <reference field="87" count="1">
            <x v="1324"/>
          </reference>
        </references>
      </pivotArea>
    </format>
    <format dxfId="4533">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1964"/>
          </reference>
          <reference field="82" count="1" selected="0">
            <x v="369"/>
          </reference>
          <reference field="85" count="1" selected="0">
            <x v="7"/>
          </reference>
          <reference field="87" count="1">
            <x v="1323"/>
          </reference>
        </references>
      </pivotArea>
    </format>
    <format dxfId="4532">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210"/>
          </reference>
          <reference field="82" count="1" selected="0">
            <x v="617"/>
          </reference>
          <reference field="85" count="1" selected="0">
            <x v="4"/>
          </reference>
          <reference field="87" count="1">
            <x v="1569"/>
          </reference>
        </references>
      </pivotArea>
    </format>
    <format dxfId="4531">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211"/>
          </reference>
          <reference field="82" count="1" selected="0">
            <x v="618"/>
          </reference>
          <reference field="85" count="1" selected="0">
            <x v="4"/>
          </reference>
          <reference field="87" count="1">
            <x v="1570"/>
          </reference>
        </references>
      </pivotArea>
    </format>
    <format dxfId="4530">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212"/>
          </reference>
          <reference field="82" count="1" selected="0">
            <x v="619"/>
          </reference>
          <reference field="85" count="1" selected="0">
            <x v="4"/>
          </reference>
          <reference field="87" count="1">
            <x v="1571"/>
          </reference>
        </references>
      </pivotArea>
    </format>
    <format dxfId="4529">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2213"/>
          </reference>
          <reference field="82" count="1" selected="0">
            <x v="620"/>
          </reference>
          <reference field="85" count="1" selected="0">
            <x v="4"/>
          </reference>
          <reference field="87" count="1">
            <x v="1572"/>
          </reference>
        </references>
      </pivotArea>
    </format>
    <format dxfId="4528">
      <pivotArea dataOnly="0" labelOnly="1" outline="0" fieldPosition="0">
        <references count="13">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135"/>
          </reference>
          <reference field="82" count="1" selected="0">
            <x v="542"/>
          </reference>
          <reference field="85" count="1" selected="0">
            <x v="7"/>
          </reference>
          <reference field="87" count="1">
            <x v="1494"/>
          </reference>
        </references>
      </pivotArea>
    </format>
    <format dxfId="4527">
      <pivotArea dataOnly="0" labelOnly="1" outline="0" fieldPosition="0">
        <references count="13">
          <reference field="1" count="1" selected="0">
            <x v="50"/>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150"/>
          </reference>
          <reference field="82" count="1" selected="0">
            <x v="557"/>
          </reference>
          <reference field="85" count="1" selected="0">
            <x v="7"/>
          </reference>
          <reference field="87" count="1">
            <x v="1509"/>
          </reference>
        </references>
      </pivotArea>
    </format>
    <format dxfId="4526">
      <pivotArea field="88" type="button" dataOnly="0" labelOnly="1" outline="0" axis="axisRow" fieldPosition="13"/>
    </format>
    <format dxfId="4525">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20"/>
          </reference>
          <reference field="82" count="1" selected="0">
            <x v="527"/>
          </reference>
          <reference field="85" count="1" selected="0">
            <x v="7"/>
          </reference>
          <reference field="87" count="1" selected="0">
            <x v="1479"/>
          </reference>
          <reference field="88" count="1">
            <x v="300"/>
          </reference>
        </references>
      </pivotArea>
    </format>
    <format dxfId="4524">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121"/>
          </reference>
          <reference field="82" count="1" selected="0">
            <x v="528"/>
          </reference>
          <reference field="85" count="1" selected="0">
            <x v="7"/>
          </reference>
          <reference field="87" count="1" selected="0">
            <x v="1480"/>
          </reference>
          <reference field="88" count="1">
            <x v="301"/>
          </reference>
        </references>
      </pivotArea>
    </format>
    <format dxfId="4523">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206"/>
          </reference>
          <reference field="82" count="1" selected="0">
            <x v="613"/>
          </reference>
          <reference field="85" count="1" selected="0">
            <x v="4"/>
          </reference>
          <reference field="87" count="1" selected="0">
            <x v="1565"/>
          </reference>
          <reference field="88" count="1">
            <x v="386"/>
          </reference>
        </references>
      </pivotArea>
    </format>
    <format dxfId="4522">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207"/>
          </reference>
          <reference field="82" count="1" selected="0">
            <x v="614"/>
          </reference>
          <reference field="85" count="1" selected="0">
            <x v="4"/>
          </reference>
          <reference field="87" count="1" selected="0">
            <x v="1566"/>
          </reference>
          <reference field="88" count="1">
            <x v="387"/>
          </reference>
        </references>
      </pivotArea>
    </format>
    <format dxfId="4521">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208"/>
          </reference>
          <reference field="82" count="1" selected="0">
            <x v="615"/>
          </reference>
          <reference field="85" count="1" selected="0">
            <x v="4"/>
          </reference>
          <reference field="87" count="1" selected="0">
            <x v="1567"/>
          </reference>
          <reference field="88" count="1">
            <x v="388"/>
          </reference>
        </references>
      </pivotArea>
    </format>
    <format dxfId="4520">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209"/>
          </reference>
          <reference field="82" count="1" selected="0">
            <x v="616"/>
          </reference>
          <reference field="85" count="1" selected="0">
            <x v="4"/>
          </reference>
          <reference field="87" count="1" selected="0">
            <x v="1568"/>
          </reference>
          <reference field="88" count="1">
            <x v="389"/>
          </reference>
        </references>
      </pivotArea>
    </format>
    <format dxfId="4519">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26"/>
          </reference>
          <reference field="82" count="1" selected="0">
            <x v="533"/>
          </reference>
          <reference field="85" count="1" selected="0">
            <x v="7"/>
          </reference>
          <reference field="87" count="1" selected="0">
            <x v="1485"/>
          </reference>
          <reference field="88" count="1">
            <x v="306"/>
          </reference>
        </references>
      </pivotArea>
    </format>
    <format dxfId="4518">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125"/>
          </reference>
          <reference field="82" count="1" selected="0">
            <x v="532"/>
          </reference>
          <reference field="85" count="1" selected="0">
            <x v="7"/>
          </reference>
          <reference field="87" count="1" selected="0">
            <x v="1484"/>
          </reference>
          <reference field="88" count="1">
            <x v="305"/>
          </reference>
        </references>
      </pivotArea>
    </format>
    <format dxfId="4517">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53"/>
          </reference>
          <reference field="82" count="1" selected="0">
            <x v="460"/>
          </reference>
          <reference field="85" count="1" selected="0">
            <x v="0"/>
          </reference>
          <reference field="87" count="1" selected="0">
            <x v="1412"/>
          </reference>
          <reference field="88" count="1">
            <x v="233"/>
          </reference>
        </references>
      </pivotArea>
    </format>
    <format dxfId="4516">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54"/>
          </reference>
          <reference field="82" count="1" selected="0">
            <x v="461"/>
          </reference>
          <reference field="85" count="1" selected="0">
            <x v="0"/>
          </reference>
          <reference field="87" count="1" selected="0">
            <x v="1413"/>
          </reference>
          <reference field="88" count="1">
            <x v="234"/>
          </reference>
        </references>
      </pivotArea>
    </format>
    <format dxfId="4515">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51"/>
          </reference>
          <reference field="82" count="1" selected="0">
            <x v="458"/>
          </reference>
          <reference field="85" count="1" selected="0">
            <x v="0"/>
          </reference>
          <reference field="87" count="1" selected="0">
            <x v="1410"/>
          </reference>
          <reference field="88" count="1">
            <x v="231"/>
          </reference>
        </references>
      </pivotArea>
    </format>
    <format dxfId="4514">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52"/>
          </reference>
          <reference field="82" count="1" selected="0">
            <x v="459"/>
          </reference>
          <reference field="85" count="1" selected="0">
            <x v="0"/>
          </reference>
          <reference field="87" count="1" selected="0">
            <x v="1411"/>
          </reference>
          <reference field="88" count="1">
            <x v="232"/>
          </reference>
        </references>
      </pivotArea>
    </format>
    <format dxfId="4513">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26"/>
          </reference>
          <reference field="82" count="1" selected="0">
            <x v="533"/>
          </reference>
          <reference field="85" count="1" selected="0">
            <x v="7"/>
          </reference>
          <reference field="87" count="1" selected="0">
            <x v="1485"/>
          </reference>
          <reference field="88" count="1">
            <x v="306"/>
          </reference>
        </references>
      </pivotArea>
    </format>
    <format dxfId="4512">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125"/>
          </reference>
          <reference field="82" count="1" selected="0">
            <x v="532"/>
          </reference>
          <reference field="85" count="1" selected="0">
            <x v="7"/>
          </reference>
          <reference field="87" count="1" selected="0">
            <x v="1484"/>
          </reference>
          <reference field="88" count="1">
            <x v="305"/>
          </reference>
        </references>
      </pivotArea>
    </format>
    <format dxfId="4511">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48"/>
          </reference>
          <reference field="82" count="1" selected="0">
            <x v="455"/>
          </reference>
          <reference field="85" count="1" selected="0">
            <x v="0"/>
          </reference>
          <reference field="87" count="1" selected="0">
            <x v="1407"/>
          </reference>
          <reference field="88" count="1">
            <x v="228"/>
          </reference>
        </references>
      </pivotArea>
    </format>
    <format dxfId="4510">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49"/>
          </reference>
          <reference field="82" count="1" selected="0">
            <x v="456"/>
          </reference>
          <reference field="85" count="1" selected="0">
            <x v="0"/>
          </reference>
          <reference field="87" count="1" selected="0">
            <x v="1408"/>
          </reference>
          <reference field="88" count="1">
            <x v="229"/>
          </reference>
        </references>
      </pivotArea>
    </format>
    <format dxfId="4509">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51"/>
          </reference>
          <reference field="82" count="1" selected="0">
            <x v="458"/>
          </reference>
          <reference field="85" count="1" selected="0">
            <x v="0"/>
          </reference>
          <reference field="87" count="1" selected="0">
            <x v="1410"/>
          </reference>
          <reference field="88" count="1">
            <x v="231"/>
          </reference>
        </references>
      </pivotArea>
    </format>
    <format dxfId="4508">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47"/>
          </reference>
          <reference field="82" count="1" selected="0">
            <x v="454"/>
          </reference>
          <reference field="85" count="1" selected="0">
            <x v="0"/>
          </reference>
          <reference field="87" count="1" selected="0">
            <x v="1406"/>
          </reference>
          <reference field="88" count="1">
            <x v="227"/>
          </reference>
        </references>
      </pivotArea>
    </format>
    <format dxfId="4507">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24"/>
          </reference>
          <reference field="82" count="1" selected="0">
            <x v="531"/>
          </reference>
          <reference field="85" count="1" selected="0">
            <x v="7"/>
          </reference>
          <reference field="87" count="1" selected="0">
            <x v="1483"/>
          </reference>
          <reference field="88" count="1">
            <x v="304"/>
          </reference>
        </references>
      </pivotArea>
    </format>
    <format dxfId="4506">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125"/>
          </reference>
          <reference field="82" count="1" selected="0">
            <x v="532"/>
          </reference>
          <reference field="85" count="1" selected="0">
            <x v="7"/>
          </reference>
          <reference field="87" count="1" selected="0">
            <x v="1484"/>
          </reference>
          <reference field="88" count="1">
            <x v="305"/>
          </reference>
        </references>
      </pivotArea>
    </format>
    <format dxfId="4505">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1960"/>
          </reference>
          <reference field="82" count="1" selected="0">
            <x v="364"/>
          </reference>
          <reference field="85" count="1" selected="0">
            <x v="7"/>
          </reference>
          <reference field="87" count="1" selected="0">
            <x v="1319"/>
          </reference>
          <reference field="88" count="1">
            <x v="137"/>
          </reference>
        </references>
      </pivotArea>
    </format>
    <format dxfId="4504">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961"/>
          </reference>
          <reference field="82" count="1" selected="0">
            <x v="366"/>
          </reference>
          <reference field="85" count="1" selected="0">
            <x v="7"/>
          </reference>
          <reference field="87" count="1" selected="0">
            <x v="1320"/>
          </reference>
          <reference field="88" count="1">
            <x v="139"/>
          </reference>
        </references>
      </pivotArea>
    </format>
    <format dxfId="4503">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040"/>
          </reference>
          <reference field="82" count="1" selected="0">
            <x v="447"/>
          </reference>
          <reference field="85" count="1" selected="0">
            <x v="0"/>
          </reference>
          <reference field="87" count="1" selected="0">
            <x v="1399"/>
          </reference>
          <reference field="88" count="1">
            <x v="220"/>
          </reference>
        </references>
      </pivotArea>
    </format>
    <format dxfId="4502">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043"/>
          </reference>
          <reference field="82" count="1" selected="0">
            <x v="450"/>
          </reference>
          <reference field="85" count="1" selected="0">
            <x v="0"/>
          </reference>
          <reference field="87" count="1" selected="0">
            <x v="1402"/>
          </reference>
          <reference field="88" count="1">
            <x v="223"/>
          </reference>
        </references>
      </pivotArea>
    </format>
    <format dxfId="4501">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041"/>
          </reference>
          <reference field="82" count="1" selected="0">
            <x v="448"/>
          </reference>
          <reference field="85" count="1" selected="0">
            <x v="0"/>
          </reference>
          <reference field="87" count="1" selected="0">
            <x v="1400"/>
          </reference>
          <reference field="88" count="1">
            <x v="221"/>
          </reference>
        </references>
      </pivotArea>
    </format>
    <format dxfId="4500">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042"/>
          </reference>
          <reference field="82" count="1" selected="0">
            <x v="449"/>
          </reference>
          <reference field="85" count="1" selected="0">
            <x v="0"/>
          </reference>
          <reference field="87" count="1" selected="0">
            <x v="1401"/>
          </reference>
          <reference field="88" count="1">
            <x v="222"/>
          </reference>
        </references>
      </pivotArea>
    </format>
    <format dxfId="4499">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16"/>
          </reference>
          <reference field="82" count="1" selected="0">
            <x v="523"/>
          </reference>
          <reference field="85" count="1" selected="0">
            <x v="7"/>
          </reference>
          <reference field="87" count="1" selected="0">
            <x v="1475"/>
          </reference>
          <reference field="88" count="1">
            <x v="296"/>
          </reference>
        </references>
      </pivotArea>
    </format>
    <format dxfId="4498">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117"/>
          </reference>
          <reference field="82" count="1" selected="0">
            <x v="524"/>
          </reference>
          <reference field="85" count="1" selected="0">
            <x v="7"/>
          </reference>
          <reference field="87" count="1" selected="0">
            <x v="1476"/>
          </reference>
          <reference field="88" count="1">
            <x v="297"/>
          </reference>
        </references>
      </pivotArea>
    </format>
    <format dxfId="4497">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198"/>
          </reference>
          <reference field="82" count="1" selected="0">
            <x v="605"/>
          </reference>
          <reference field="85" count="1" selected="0">
            <x v="4"/>
          </reference>
          <reference field="87" count="1" selected="0">
            <x v="1557"/>
          </reference>
          <reference field="88" count="1">
            <x v="378"/>
          </reference>
        </references>
      </pivotArea>
    </format>
    <format dxfId="4496">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199"/>
          </reference>
          <reference field="82" count="1" selected="0">
            <x v="606"/>
          </reference>
          <reference field="85" count="1" selected="0">
            <x v="4"/>
          </reference>
          <reference field="87" count="1" selected="0">
            <x v="1558"/>
          </reference>
          <reference field="88" count="1">
            <x v="379"/>
          </reference>
        </references>
      </pivotArea>
    </format>
    <format dxfId="4495">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200"/>
          </reference>
          <reference field="82" count="1" selected="0">
            <x v="607"/>
          </reference>
          <reference field="85" count="1" selected="0">
            <x v="4"/>
          </reference>
          <reference field="87" count="1" selected="0">
            <x v="1559"/>
          </reference>
          <reference field="88" count="1">
            <x v="380"/>
          </reference>
        </references>
      </pivotArea>
    </format>
    <format dxfId="4494">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201"/>
          </reference>
          <reference field="82" count="1" selected="0">
            <x v="608"/>
          </reference>
          <reference field="85" count="1" selected="0">
            <x v="4"/>
          </reference>
          <reference field="87" count="1" selected="0">
            <x v="1560"/>
          </reference>
          <reference field="88" count="1">
            <x v="381"/>
          </reference>
        </references>
      </pivotArea>
    </format>
    <format dxfId="4493">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970"/>
          </reference>
          <reference field="82" count="1" selected="0">
            <x v="375"/>
          </reference>
          <reference field="85" count="1" selected="0">
            <x v="7"/>
          </reference>
          <reference field="87" count="1" selected="0">
            <x v="1329"/>
          </reference>
          <reference field="88" count="1">
            <x v="148"/>
          </reference>
        </references>
      </pivotArea>
    </format>
    <format dxfId="4492">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1960"/>
          </reference>
          <reference field="82" count="1" selected="0">
            <x v="365"/>
          </reference>
          <reference field="85" count="1" selected="0">
            <x v="7"/>
          </reference>
          <reference field="87" count="1" selected="0">
            <x v="1319"/>
          </reference>
          <reference field="88" count="1">
            <x v="138"/>
          </reference>
        </references>
      </pivotArea>
    </format>
    <format dxfId="449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015"/>
          </reference>
          <reference field="82" count="1" selected="0">
            <x v="421"/>
          </reference>
          <reference field="85" count="1" selected="0">
            <x v="4"/>
          </reference>
          <reference field="87" count="1" selected="0">
            <x v="1374"/>
          </reference>
          <reference field="88" count="1">
            <x v="194"/>
          </reference>
        </references>
      </pivotArea>
    </format>
    <format dxfId="449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017"/>
          </reference>
          <reference field="82" count="1" selected="0">
            <x v="423"/>
          </reference>
          <reference field="85" count="1" selected="0">
            <x v="4"/>
          </reference>
          <reference field="87" count="1" selected="0">
            <x v="1376"/>
          </reference>
          <reference field="88" count="1">
            <x v="196"/>
          </reference>
        </references>
      </pivotArea>
    </format>
    <format dxfId="448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018"/>
          </reference>
          <reference field="82" count="1" selected="0">
            <x v="424"/>
          </reference>
          <reference field="85" count="1" selected="0">
            <x v="4"/>
          </reference>
          <reference field="87" count="1" selected="0">
            <x v="1377"/>
          </reference>
          <reference field="88" count="1">
            <x v="197"/>
          </reference>
        </references>
      </pivotArea>
    </format>
    <format dxfId="448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014"/>
          </reference>
          <reference field="82" count="1" selected="0">
            <x v="420"/>
          </reference>
          <reference field="85" count="1" selected="0">
            <x v="4"/>
          </reference>
          <reference field="87" count="1" selected="0">
            <x v="1373"/>
          </reference>
          <reference field="88" count="1">
            <x v="193"/>
          </reference>
        </references>
      </pivotArea>
    </format>
    <format dxfId="448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019"/>
          </reference>
          <reference field="82" count="1" selected="0">
            <x v="425"/>
          </reference>
          <reference field="85" count="1" selected="0">
            <x v="4"/>
          </reference>
          <reference field="87" count="1" selected="0">
            <x v="1378"/>
          </reference>
          <reference field="88" count="1">
            <x v="198"/>
          </reference>
        </references>
      </pivotArea>
    </format>
    <format dxfId="448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020"/>
          </reference>
          <reference field="82" count="1" selected="0">
            <x v="426"/>
          </reference>
          <reference field="85" count="1" selected="0">
            <x v="4"/>
          </reference>
          <reference field="87" count="1" selected="0">
            <x v="1379"/>
          </reference>
          <reference field="88" count="1">
            <x v="199"/>
          </reference>
        </references>
      </pivotArea>
    </format>
    <format dxfId="448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021"/>
          </reference>
          <reference field="82" count="1" selected="0">
            <x v="427"/>
          </reference>
          <reference field="85" count="1" selected="0">
            <x v="4"/>
          </reference>
          <reference field="87" count="1" selected="0">
            <x v="1380"/>
          </reference>
          <reference field="88" count="1">
            <x v="200"/>
          </reference>
        </references>
      </pivotArea>
    </format>
    <format dxfId="448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016"/>
          </reference>
          <reference field="82" count="1" selected="0">
            <x v="422"/>
          </reference>
          <reference field="85" count="1" selected="0">
            <x v="4"/>
          </reference>
          <reference field="87" count="1" selected="0">
            <x v="1375"/>
          </reference>
          <reference field="88" count="1">
            <x v="195"/>
          </reference>
        </references>
      </pivotArea>
    </format>
    <format dxfId="4483">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48"/>
          </reference>
          <reference field="82" count="1" selected="0">
            <x v="455"/>
          </reference>
          <reference field="85" count="1" selected="0">
            <x v="0"/>
          </reference>
          <reference field="87" count="1" selected="0">
            <x v="1407"/>
          </reference>
          <reference field="88" count="1">
            <x v="228"/>
          </reference>
        </references>
      </pivotArea>
    </format>
    <format dxfId="4482">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49"/>
          </reference>
          <reference field="82" count="1" selected="0">
            <x v="456"/>
          </reference>
          <reference field="85" count="1" selected="0">
            <x v="0"/>
          </reference>
          <reference field="87" count="1" selected="0">
            <x v="1408"/>
          </reference>
          <reference field="88" count="1">
            <x v="229"/>
          </reference>
        </references>
      </pivotArea>
    </format>
    <format dxfId="4481">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50"/>
          </reference>
          <reference field="82" count="1" selected="0">
            <x v="457"/>
          </reference>
          <reference field="85" count="1" selected="0">
            <x v="0"/>
          </reference>
          <reference field="87" count="1" selected="0">
            <x v="1409"/>
          </reference>
          <reference field="88" count="1">
            <x v="230"/>
          </reference>
        </references>
      </pivotArea>
    </format>
    <format dxfId="4480">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47"/>
          </reference>
          <reference field="82" count="1" selected="0">
            <x v="454"/>
          </reference>
          <reference field="85" count="1" selected="0">
            <x v="0"/>
          </reference>
          <reference field="87" count="1" selected="0">
            <x v="1406"/>
          </reference>
          <reference field="88" count="1">
            <x v="227"/>
          </reference>
        </references>
      </pivotArea>
    </format>
    <format dxfId="4479">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969"/>
          </reference>
          <reference field="82" count="1" selected="0">
            <x v="374"/>
          </reference>
          <reference field="85" count="1" selected="0">
            <x v="7"/>
          </reference>
          <reference field="87" count="1" selected="0">
            <x v="1328"/>
          </reference>
          <reference field="88" count="1">
            <x v="147"/>
          </reference>
        </references>
      </pivotArea>
    </format>
    <format dxfId="4478">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18"/>
          </reference>
          <reference field="82" count="1" selected="0">
            <x v="525"/>
          </reference>
          <reference field="85" count="1" selected="0">
            <x v="7"/>
          </reference>
          <reference field="87" count="1" selected="0">
            <x v="1477"/>
          </reference>
          <reference field="88" count="1">
            <x v="298"/>
          </reference>
        </references>
      </pivotArea>
    </format>
    <format dxfId="4477">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119"/>
          </reference>
          <reference field="82" count="1" selected="0">
            <x v="526"/>
          </reference>
          <reference field="85" count="1" selected="0">
            <x v="7"/>
          </reference>
          <reference field="87" count="1" selected="0">
            <x v="1478"/>
          </reference>
          <reference field="88" count="1">
            <x v="299"/>
          </reference>
        </references>
      </pivotArea>
    </format>
    <format dxfId="4476">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046"/>
          </reference>
          <reference field="82" count="1" selected="0">
            <x v="453"/>
          </reference>
          <reference field="85" count="1" selected="0">
            <x v="0"/>
          </reference>
          <reference field="87" count="1" selected="0">
            <x v="1405"/>
          </reference>
          <reference field="88" count="1">
            <x v="226"/>
          </reference>
        </references>
      </pivotArea>
    </format>
    <format dxfId="4475">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044"/>
          </reference>
          <reference field="82" count="1" selected="0">
            <x v="451"/>
          </reference>
          <reference field="85" count="1" selected="0">
            <x v="0"/>
          </reference>
          <reference field="87" count="1" selected="0">
            <x v="1403"/>
          </reference>
          <reference field="88" count="1">
            <x v="224"/>
          </reference>
        </references>
      </pivotArea>
    </format>
    <format dxfId="4474">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045"/>
          </reference>
          <reference field="82" count="1" selected="0">
            <x v="452"/>
          </reference>
          <reference field="85" count="1" selected="0">
            <x v="0"/>
          </reference>
          <reference field="87" count="1" selected="0">
            <x v="1404"/>
          </reference>
          <reference field="88" count="1">
            <x v="225"/>
          </reference>
        </references>
      </pivotArea>
    </format>
    <format dxfId="4473">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22"/>
          </reference>
          <reference field="82" count="1" selected="0">
            <x v="529"/>
          </reference>
          <reference field="85" count="1" selected="0">
            <x v="7"/>
          </reference>
          <reference field="87" count="1" selected="0">
            <x v="1481"/>
          </reference>
          <reference field="88" count="1">
            <x v="302"/>
          </reference>
        </references>
      </pivotArea>
    </format>
    <format dxfId="4472">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123"/>
          </reference>
          <reference field="82" count="1" selected="0">
            <x v="530"/>
          </reference>
          <reference field="85" count="1" selected="0">
            <x v="7"/>
          </reference>
          <reference field="87" count="1" selected="0">
            <x v="1482"/>
          </reference>
          <reference field="88" count="1">
            <x v="303"/>
          </reference>
        </references>
      </pivotArea>
    </format>
    <format dxfId="4471">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202"/>
          </reference>
          <reference field="82" count="1" selected="0">
            <x v="609"/>
          </reference>
          <reference field="85" count="1" selected="0">
            <x v="4"/>
          </reference>
          <reference field="87" count="1" selected="0">
            <x v="1561"/>
          </reference>
          <reference field="88" count="1">
            <x v="382"/>
          </reference>
        </references>
      </pivotArea>
    </format>
    <format dxfId="4470">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203"/>
          </reference>
          <reference field="82" count="1" selected="0">
            <x v="610"/>
          </reference>
          <reference field="85" count="1" selected="0">
            <x v="4"/>
          </reference>
          <reference field="87" count="1" selected="0">
            <x v="1562"/>
          </reference>
          <reference field="88" count="1">
            <x v="383"/>
          </reference>
        </references>
      </pivotArea>
    </format>
    <format dxfId="4469">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204"/>
          </reference>
          <reference field="82" count="1" selected="0">
            <x v="611"/>
          </reference>
          <reference field="85" count="1" selected="0">
            <x v="4"/>
          </reference>
          <reference field="87" count="1" selected="0">
            <x v="1563"/>
          </reference>
          <reference field="88" count="1">
            <x v="384"/>
          </reference>
        </references>
      </pivotArea>
    </format>
    <format dxfId="4468">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205"/>
          </reference>
          <reference field="82" count="1" selected="0">
            <x v="612"/>
          </reference>
          <reference field="85" count="1" selected="0">
            <x v="4"/>
          </reference>
          <reference field="87" count="1" selected="0">
            <x v="1564"/>
          </reference>
          <reference field="88" count="1">
            <x v="385"/>
          </reference>
        </references>
      </pivotArea>
    </format>
    <format dxfId="4467">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26"/>
          </reference>
          <reference field="82" count="1" selected="0">
            <x v="533"/>
          </reference>
          <reference field="85" count="1" selected="0">
            <x v="7"/>
          </reference>
          <reference field="87" count="1" selected="0">
            <x v="1485"/>
          </reference>
          <reference field="88" count="1">
            <x v="306"/>
          </reference>
        </references>
      </pivotArea>
    </format>
    <format dxfId="4466">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127"/>
          </reference>
          <reference field="82" count="1" selected="0">
            <x v="534"/>
          </reference>
          <reference field="85" count="1" selected="0">
            <x v="7"/>
          </reference>
          <reference field="87" count="1" selected="0">
            <x v="1486"/>
          </reference>
          <reference field="88" count="1">
            <x v="307"/>
          </reference>
        </references>
      </pivotArea>
    </format>
    <format dxfId="4465">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55"/>
          </reference>
          <reference field="82" count="1" selected="0">
            <x v="462"/>
          </reference>
          <reference field="85" count="1" selected="0">
            <x v="0"/>
          </reference>
          <reference field="87" count="1" selected="0">
            <x v="1414"/>
          </reference>
          <reference field="88" count="1">
            <x v="235"/>
          </reference>
        </references>
      </pivotArea>
    </format>
    <format dxfId="4464">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062"/>
          </reference>
          <reference field="82" count="1" selected="0">
            <x v="469"/>
          </reference>
          <reference field="85" count="1" selected="0">
            <x v="0"/>
          </reference>
          <reference field="87" count="1" selected="0">
            <x v="1421"/>
          </reference>
          <reference field="88" count="1">
            <x v="242"/>
          </reference>
        </references>
      </pivotArea>
    </format>
    <format dxfId="4463">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063"/>
          </reference>
          <reference field="82" count="1" selected="0">
            <x v="470"/>
          </reference>
          <reference field="85" count="1" selected="0">
            <x v="0"/>
          </reference>
          <reference field="87" count="1" selected="0">
            <x v="1422"/>
          </reference>
          <reference field="88" count="1">
            <x v="243"/>
          </reference>
        </references>
      </pivotArea>
    </format>
    <format dxfId="4462">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064"/>
          </reference>
          <reference field="82" count="1" selected="0">
            <x v="471"/>
          </reference>
          <reference field="85" count="1" selected="0">
            <x v="0"/>
          </reference>
          <reference field="87" count="1" selected="0">
            <x v="1423"/>
          </reference>
          <reference field="88" count="1">
            <x v="244"/>
          </reference>
        </references>
      </pivotArea>
    </format>
    <format dxfId="4461">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1966"/>
          </reference>
          <reference field="82" count="1" selected="0">
            <x v="371"/>
          </reference>
          <reference field="85" count="1" selected="0">
            <x v="7"/>
          </reference>
          <reference field="87" count="1" selected="0">
            <x v="1325"/>
          </reference>
          <reference field="88" count="1">
            <x v="144"/>
          </reference>
        </references>
      </pivotArea>
    </format>
    <format dxfId="4460">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1950"/>
          </reference>
          <reference field="82" count="1" selected="0">
            <x v="354"/>
          </reference>
          <reference field="85" count="1" selected="0">
            <x v="7"/>
          </reference>
          <reference field="87" count="1" selected="0">
            <x v="1309"/>
          </reference>
          <reference field="88" count="1">
            <x v="127"/>
          </reference>
        </references>
      </pivotArea>
    </format>
    <format dxfId="4459">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951"/>
          </reference>
          <reference field="82" count="1" selected="0">
            <x v="355"/>
          </reference>
          <reference field="85" count="1" selected="0">
            <x v="7"/>
          </reference>
          <reference field="87" count="1" selected="0">
            <x v="1310"/>
          </reference>
          <reference field="88" count="1">
            <x v="128"/>
          </reference>
        </references>
      </pivotArea>
    </format>
    <format dxfId="4458">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056"/>
          </reference>
          <reference field="82" count="1" selected="0">
            <x v="463"/>
          </reference>
          <reference field="85" count="1" selected="0">
            <x v="0"/>
          </reference>
          <reference field="87" count="1" selected="0">
            <x v="1415"/>
          </reference>
          <reference field="88" count="1">
            <x v="236"/>
          </reference>
        </references>
      </pivotArea>
    </format>
    <format dxfId="4457">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057"/>
          </reference>
          <reference field="82" count="1" selected="0">
            <x v="464"/>
          </reference>
          <reference field="85" count="1" selected="0">
            <x v="0"/>
          </reference>
          <reference field="87" count="1" selected="0">
            <x v="1416"/>
          </reference>
          <reference field="88" count="1">
            <x v="237"/>
          </reference>
        </references>
      </pivotArea>
    </format>
    <format dxfId="4456">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058"/>
          </reference>
          <reference field="82" count="1" selected="0">
            <x v="465"/>
          </reference>
          <reference field="85" count="1" selected="0">
            <x v="0"/>
          </reference>
          <reference field="87" count="1" selected="0">
            <x v="1417"/>
          </reference>
          <reference field="88" count="1">
            <x v="238"/>
          </reference>
        </references>
      </pivotArea>
    </format>
    <format dxfId="4455">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128"/>
          </reference>
          <reference field="82" count="1" selected="0">
            <x v="535"/>
          </reference>
          <reference field="85" count="1" selected="0">
            <x v="7"/>
          </reference>
          <reference field="87" count="1" selected="0">
            <x v="1487"/>
          </reference>
          <reference field="88" count="1">
            <x v="308"/>
          </reference>
        </references>
      </pivotArea>
    </format>
    <format dxfId="4454">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129"/>
          </reference>
          <reference field="82" count="1" selected="0">
            <x v="536"/>
          </reference>
          <reference field="85" count="1" selected="0">
            <x v="7"/>
          </reference>
          <reference field="87" count="1" selected="0">
            <x v="1488"/>
          </reference>
          <reference field="88" count="1">
            <x v="309"/>
          </reference>
        </references>
      </pivotArea>
    </format>
    <format dxfId="4453">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1971"/>
          </reference>
          <reference field="82" count="1" selected="0">
            <x v="376"/>
          </reference>
          <reference field="85" count="1" selected="0">
            <x v="7"/>
          </reference>
          <reference field="87" count="1" selected="0">
            <x v="1330"/>
          </reference>
          <reference field="88" count="1">
            <x v="149"/>
          </reference>
        </references>
      </pivotArea>
    </format>
    <format dxfId="4452">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059"/>
          </reference>
          <reference field="82" count="1" selected="0">
            <x v="466"/>
          </reference>
          <reference field="85" count="1" selected="0">
            <x v="0"/>
          </reference>
          <reference field="87" count="1" selected="0">
            <x v="1418"/>
          </reference>
          <reference field="88" count="1">
            <x v="239"/>
          </reference>
        </references>
      </pivotArea>
    </format>
    <format dxfId="4451">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060"/>
          </reference>
          <reference field="82" count="1" selected="0">
            <x v="467"/>
          </reference>
          <reference field="85" count="1" selected="0">
            <x v="0"/>
          </reference>
          <reference field="87" count="1" selected="0">
            <x v="1419"/>
          </reference>
          <reference field="88" count="1">
            <x v="240"/>
          </reference>
        </references>
      </pivotArea>
    </format>
    <format dxfId="4450">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061"/>
          </reference>
          <reference field="82" count="1" selected="0">
            <x v="468"/>
          </reference>
          <reference field="85" count="1" selected="0">
            <x v="0"/>
          </reference>
          <reference field="87" count="1" selected="0">
            <x v="1420"/>
          </reference>
          <reference field="88" count="1">
            <x v="241"/>
          </reference>
        </references>
      </pivotArea>
    </format>
    <format dxfId="4449">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135"/>
          </reference>
          <reference field="82" count="1" selected="0">
            <x v="542"/>
          </reference>
          <reference field="85" count="1" selected="0">
            <x v="7"/>
          </reference>
          <reference field="87" count="1" selected="0">
            <x v="1494"/>
          </reference>
          <reference field="88" count="1">
            <x v="315"/>
          </reference>
        </references>
      </pivotArea>
    </format>
    <format dxfId="4448">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068"/>
          </reference>
          <reference field="82" count="1" selected="0">
            <x v="475"/>
          </reference>
          <reference field="85" count="1" selected="0">
            <x v="0"/>
          </reference>
          <reference field="87" count="1" selected="0">
            <x v="1427"/>
          </reference>
          <reference field="88" count="1">
            <x v="248"/>
          </reference>
        </references>
      </pivotArea>
    </format>
    <format dxfId="4447">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069"/>
          </reference>
          <reference field="82" count="1" selected="0">
            <x v="476"/>
          </reference>
          <reference field="85" count="1" selected="0">
            <x v="0"/>
          </reference>
          <reference field="87" count="1" selected="0">
            <x v="1428"/>
          </reference>
          <reference field="88" count="1">
            <x v="249"/>
          </reference>
        </references>
      </pivotArea>
    </format>
    <format dxfId="4446">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070"/>
          </reference>
          <reference field="82" count="1" selected="0">
            <x v="477"/>
          </reference>
          <reference field="85" count="1" selected="0">
            <x v="0"/>
          </reference>
          <reference field="87" count="1" selected="0">
            <x v="1429"/>
          </reference>
          <reference field="88" count="1">
            <x v="250"/>
          </reference>
        </references>
      </pivotArea>
    </format>
    <format dxfId="4445">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1943"/>
          </reference>
          <reference field="82" count="1" selected="0">
            <x v="347"/>
          </reference>
          <reference field="85" count="1" selected="0">
            <x v="7"/>
          </reference>
          <reference field="87" count="1" selected="0">
            <x v="1302"/>
          </reference>
          <reference field="88" count="1">
            <x v="120"/>
          </reference>
        </references>
      </pivotArea>
    </format>
    <format dxfId="4444">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944"/>
          </reference>
          <reference field="82" count="1" selected="0">
            <x v="348"/>
          </reference>
          <reference field="85" count="1" selected="0">
            <x v="7"/>
          </reference>
          <reference field="87" count="1" selected="0">
            <x v="1303"/>
          </reference>
          <reference field="88" count="1">
            <x v="121"/>
          </reference>
        </references>
      </pivotArea>
    </format>
    <format dxfId="4443">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006"/>
          </reference>
          <reference field="82" count="1" selected="0">
            <x v="412"/>
          </reference>
          <reference field="85" count="1" selected="0">
            <x v="4"/>
          </reference>
          <reference field="87" count="1" selected="0">
            <x v="1365"/>
          </reference>
          <reference field="88" count="1">
            <x v="185"/>
          </reference>
        </references>
      </pivotArea>
    </format>
    <format dxfId="4442">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007"/>
          </reference>
          <reference field="82" count="1" selected="0">
            <x v="413"/>
          </reference>
          <reference field="85" count="1" selected="0">
            <x v="4"/>
          </reference>
          <reference field="87" count="1" selected="0">
            <x v="1366"/>
          </reference>
          <reference field="88" count="1">
            <x v="186"/>
          </reference>
        </references>
      </pivotArea>
    </format>
    <format dxfId="4441">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004"/>
          </reference>
          <reference field="82" count="1" selected="0">
            <x v="410"/>
          </reference>
          <reference field="85" count="1" selected="0">
            <x v="4"/>
          </reference>
          <reference field="87" count="1" selected="0">
            <x v="1363"/>
          </reference>
          <reference field="88" count="1">
            <x v="183"/>
          </reference>
        </references>
      </pivotArea>
    </format>
    <format dxfId="4440">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005"/>
          </reference>
          <reference field="82" count="1" selected="0">
            <x v="411"/>
          </reference>
          <reference field="85" count="1" selected="0">
            <x v="4"/>
          </reference>
          <reference field="87" count="1" selected="0">
            <x v="1364"/>
          </reference>
          <reference field="88" count="1">
            <x v="184"/>
          </reference>
        </references>
      </pivotArea>
    </format>
    <format dxfId="4439">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065"/>
          </reference>
          <reference field="82" count="1" selected="0">
            <x v="472"/>
          </reference>
          <reference field="85" count="1" selected="0">
            <x v="0"/>
          </reference>
          <reference field="87" count="1" selected="0">
            <x v="1424"/>
          </reference>
          <reference field="88" count="1">
            <x v="245"/>
          </reference>
        </references>
      </pivotArea>
    </format>
    <format dxfId="4438">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066"/>
          </reference>
          <reference field="82" count="1" selected="0">
            <x v="473"/>
          </reference>
          <reference field="85" count="1" selected="0">
            <x v="0"/>
          </reference>
          <reference field="87" count="1" selected="0">
            <x v="1425"/>
          </reference>
          <reference field="88" count="1">
            <x v="246"/>
          </reference>
        </references>
      </pivotArea>
    </format>
    <format dxfId="4437">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067"/>
          </reference>
          <reference field="82" count="1" selected="0">
            <x v="474"/>
          </reference>
          <reference field="85" count="1" selected="0">
            <x v="0"/>
          </reference>
          <reference field="87" count="1" selected="0">
            <x v="1426"/>
          </reference>
          <reference field="88" count="1">
            <x v="247"/>
          </reference>
        </references>
      </pivotArea>
    </format>
    <format dxfId="4436">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149"/>
          </reference>
          <reference field="82" count="1" selected="0">
            <x v="556"/>
          </reference>
          <reference field="85" count="1" selected="0">
            <x v="7"/>
          </reference>
          <reference field="87" count="1" selected="0">
            <x v="1508"/>
          </reference>
          <reference field="88" count="1">
            <x v="329"/>
          </reference>
        </references>
      </pivotArea>
    </format>
    <format dxfId="4435">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1959"/>
          </reference>
          <reference field="82" count="1" selected="0">
            <x v="363"/>
          </reference>
          <reference field="85" count="1" selected="0">
            <x v="7"/>
          </reference>
          <reference field="87" count="1" selected="0">
            <x v="1318"/>
          </reference>
          <reference field="88" count="1">
            <x v="136"/>
          </reference>
        </references>
      </pivotArea>
    </format>
    <format dxfId="4434">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029"/>
          </reference>
          <reference field="82" count="1" selected="0">
            <x v="436"/>
          </reference>
          <reference field="85" count="1" selected="0">
            <x v="0"/>
          </reference>
          <reference field="87" count="1" selected="0">
            <x v="1388"/>
          </reference>
          <reference field="88" count="1">
            <x v="209"/>
          </reference>
        </references>
      </pivotArea>
    </format>
    <format dxfId="4433">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028"/>
          </reference>
          <reference field="82" count="1" selected="0">
            <x v="435"/>
          </reference>
          <reference field="85" count="1" selected="0">
            <x v="0"/>
          </reference>
          <reference field="87" count="1" selected="0">
            <x v="1387"/>
          </reference>
          <reference field="88" count="1">
            <x v="208"/>
          </reference>
        </references>
      </pivotArea>
    </format>
    <format dxfId="4432">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030"/>
          </reference>
          <reference field="82" count="1" selected="0">
            <x v="437"/>
          </reference>
          <reference field="85" count="1" selected="0">
            <x v="0"/>
          </reference>
          <reference field="87" count="1" selected="0">
            <x v="1389"/>
          </reference>
          <reference field="88" count="1">
            <x v="210"/>
          </reference>
        </references>
      </pivotArea>
    </format>
    <format dxfId="4431">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1967"/>
          </reference>
          <reference field="82" count="1" selected="0">
            <x v="372"/>
          </reference>
          <reference field="85" count="1" selected="0">
            <x v="7"/>
          </reference>
          <reference field="87" count="1" selected="0">
            <x v="1326"/>
          </reference>
          <reference field="88" count="1">
            <x v="145"/>
          </reference>
        </references>
      </pivotArea>
    </format>
    <format dxfId="4430">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1958"/>
          </reference>
          <reference field="82" count="1" selected="0">
            <x v="362"/>
          </reference>
          <reference field="85" count="1" selected="0">
            <x v="7"/>
          </reference>
          <reference field="87" count="1" selected="0">
            <x v="1317"/>
          </reference>
          <reference field="88" count="1">
            <x v="135"/>
          </reference>
        </references>
      </pivotArea>
    </format>
    <format dxfId="4429">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010"/>
          </reference>
          <reference field="82" count="1" selected="0">
            <x v="416"/>
          </reference>
          <reference field="85" count="1" selected="0">
            <x v="4"/>
          </reference>
          <reference field="87" count="1" selected="0">
            <x v="1369"/>
          </reference>
          <reference field="88" count="1">
            <x v="189"/>
          </reference>
        </references>
      </pivotArea>
    </format>
    <format dxfId="4428">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011"/>
          </reference>
          <reference field="82" count="1" selected="0">
            <x v="417"/>
          </reference>
          <reference field="85" count="1" selected="0">
            <x v="4"/>
          </reference>
          <reference field="87" count="1" selected="0">
            <x v="1370"/>
          </reference>
          <reference field="88" count="1">
            <x v="190"/>
          </reference>
        </references>
      </pivotArea>
    </format>
    <format dxfId="4427">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008"/>
          </reference>
          <reference field="82" count="1" selected="0">
            <x v="414"/>
          </reference>
          <reference field="85" count="1" selected="0">
            <x v="4"/>
          </reference>
          <reference field="87" count="1" selected="0">
            <x v="1367"/>
          </reference>
          <reference field="88" count="1">
            <x v="187"/>
          </reference>
        </references>
      </pivotArea>
    </format>
    <format dxfId="4426">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009"/>
          </reference>
          <reference field="82" count="1" selected="0">
            <x v="415"/>
          </reference>
          <reference field="85" count="1" selected="0">
            <x v="4"/>
          </reference>
          <reference field="87" count="1" selected="0">
            <x v="1368"/>
          </reference>
          <reference field="88" count="1">
            <x v="188"/>
          </reference>
        </references>
      </pivotArea>
    </format>
    <format dxfId="4425">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025"/>
          </reference>
          <reference field="82" count="1" selected="0">
            <x v="432"/>
          </reference>
          <reference field="85" count="1" selected="0">
            <x v="0"/>
          </reference>
          <reference field="87" count="1" selected="0">
            <x v="1384"/>
          </reference>
          <reference field="88" count="1">
            <x v="205"/>
          </reference>
        </references>
      </pivotArea>
    </format>
    <format dxfId="4424">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026"/>
          </reference>
          <reference field="82" count="1" selected="0">
            <x v="433"/>
          </reference>
          <reference field="85" count="1" selected="0">
            <x v="0"/>
          </reference>
          <reference field="87" count="1" selected="0">
            <x v="1385"/>
          </reference>
          <reference field="88" count="1">
            <x v="206"/>
          </reference>
        </references>
      </pivotArea>
    </format>
    <format dxfId="4423">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27"/>
          </reference>
          <reference field="82" count="1" selected="0">
            <x v="434"/>
          </reference>
          <reference field="85" count="1" selected="0">
            <x v="0"/>
          </reference>
          <reference field="87" count="1" selected="0">
            <x v="1386"/>
          </reference>
          <reference field="88" count="1">
            <x v="207"/>
          </reference>
        </references>
      </pivotArea>
    </format>
    <format dxfId="4422">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41"/>
          </reference>
          <reference field="82" count="1" selected="0">
            <x v="548"/>
          </reference>
          <reference field="85" count="1" selected="0">
            <x v="7"/>
          </reference>
          <reference field="87" count="1" selected="0">
            <x v="1500"/>
          </reference>
          <reference field="88" count="1">
            <x v="321"/>
          </reference>
        </references>
      </pivotArea>
    </format>
    <format dxfId="4421">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031"/>
          </reference>
          <reference field="82" count="1" selected="0">
            <x v="438"/>
          </reference>
          <reference field="85" count="1" selected="0">
            <x v="0"/>
          </reference>
          <reference field="87" count="1" selected="0">
            <x v="1390"/>
          </reference>
          <reference field="88" count="1">
            <x v="211"/>
          </reference>
        </references>
      </pivotArea>
    </format>
    <format dxfId="4420">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032"/>
          </reference>
          <reference field="82" count="1" selected="0">
            <x v="439"/>
          </reference>
          <reference field="85" count="1" selected="0">
            <x v="0"/>
          </reference>
          <reference field="87" count="1" selected="0">
            <x v="1391"/>
          </reference>
          <reference field="88" count="1">
            <x v="212"/>
          </reference>
        </references>
      </pivotArea>
    </format>
    <format dxfId="4419">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33"/>
          </reference>
          <reference field="82" count="1" selected="0">
            <x v="440"/>
          </reference>
          <reference field="85" count="1" selected="0">
            <x v="0"/>
          </reference>
          <reference field="87" count="1" selected="0">
            <x v="1392"/>
          </reference>
          <reference field="88" count="1">
            <x v="213"/>
          </reference>
        </references>
      </pivotArea>
    </format>
    <format dxfId="4418">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1952"/>
          </reference>
          <reference field="82" count="1" selected="0">
            <x v="356"/>
          </reference>
          <reference field="85" count="1" selected="0">
            <x v="7"/>
          </reference>
          <reference field="87" count="1" selected="0">
            <x v="1311"/>
          </reference>
          <reference field="88" count="1">
            <x v="129"/>
          </reference>
        </references>
      </pivotArea>
    </format>
    <format dxfId="4417">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953"/>
          </reference>
          <reference field="82" count="1" selected="0">
            <x v="357"/>
          </reference>
          <reference field="85" count="1" selected="0">
            <x v="7"/>
          </reference>
          <reference field="87" count="1" selected="0">
            <x v="1312"/>
          </reference>
          <reference field="88" count="1">
            <x v="130"/>
          </reference>
        </references>
      </pivotArea>
    </format>
    <format dxfId="4416">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034"/>
          </reference>
          <reference field="82" count="1" selected="0">
            <x v="441"/>
          </reference>
          <reference field="85" count="1" selected="0">
            <x v="0"/>
          </reference>
          <reference field="87" count="1" selected="0">
            <x v="1393"/>
          </reference>
          <reference field="88" count="1">
            <x v="214"/>
          </reference>
        </references>
      </pivotArea>
    </format>
    <format dxfId="4415">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035"/>
          </reference>
          <reference field="82" count="1" selected="0">
            <x v="442"/>
          </reference>
          <reference field="85" count="1" selected="0">
            <x v="0"/>
          </reference>
          <reference field="87" count="1" selected="0">
            <x v="1394"/>
          </reference>
          <reference field="88" count="1">
            <x v="215"/>
          </reference>
        </references>
      </pivotArea>
    </format>
    <format dxfId="4414">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036"/>
          </reference>
          <reference field="82" count="1" selected="0">
            <x v="443"/>
          </reference>
          <reference field="85" count="1" selected="0">
            <x v="0"/>
          </reference>
          <reference field="87" count="1" selected="0">
            <x v="1395"/>
          </reference>
          <reference field="88" count="1">
            <x v="216"/>
          </reference>
        </references>
      </pivotArea>
    </format>
    <format dxfId="4413">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095"/>
          </reference>
          <reference field="82" count="1" selected="0">
            <x v="502"/>
          </reference>
          <reference field="85" count="1" selected="0">
            <x v="2"/>
          </reference>
          <reference field="87" count="1" selected="0">
            <x v="1454"/>
          </reference>
          <reference field="88" count="1">
            <x v="275"/>
          </reference>
        </references>
      </pivotArea>
    </format>
    <format dxfId="4412">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094"/>
          </reference>
          <reference field="82" count="1" selected="0">
            <x v="501"/>
          </reference>
          <reference field="85" count="1" selected="0">
            <x v="2"/>
          </reference>
          <reference field="87" count="1" selected="0">
            <x v="1453"/>
          </reference>
          <reference field="88" count="1">
            <x v="274"/>
          </reference>
        </references>
      </pivotArea>
    </format>
    <format dxfId="4411">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096"/>
          </reference>
          <reference field="82" count="1" selected="0">
            <x v="503"/>
          </reference>
          <reference field="85" count="1" selected="0">
            <x v="2"/>
          </reference>
          <reference field="87" count="1" selected="0">
            <x v="1455"/>
          </reference>
          <reference field="88" count="1">
            <x v="276"/>
          </reference>
        </references>
      </pivotArea>
    </format>
    <format dxfId="4410">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037"/>
          </reference>
          <reference field="82" count="1" selected="0">
            <x v="444"/>
          </reference>
          <reference field="85" count="1" selected="0">
            <x v="0"/>
          </reference>
          <reference field="87" count="1" selected="0">
            <x v="1396"/>
          </reference>
          <reference field="88" count="1">
            <x v="217"/>
          </reference>
        </references>
      </pivotArea>
    </format>
    <format dxfId="4409">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038"/>
          </reference>
          <reference field="82" count="1" selected="0">
            <x v="445"/>
          </reference>
          <reference field="85" count="1" selected="0">
            <x v="0"/>
          </reference>
          <reference field="87" count="1" selected="0">
            <x v="1397"/>
          </reference>
          <reference field="88" count="1">
            <x v="218"/>
          </reference>
        </references>
      </pivotArea>
    </format>
    <format dxfId="4408">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039"/>
          </reference>
          <reference field="82" count="1" selected="0">
            <x v="446"/>
          </reference>
          <reference field="85" count="1" selected="0">
            <x v="0"/>
          </reference>
          <reference field="87" count="1" selected="0">
            <x v="1398"/>
          </reference>
          <reference field="88" count="1">
            <x v="219"/>
          </reference>
        </references>
      </pivotArea>
    </format>
    <format dxfId="4407">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132"/>
          </reference>
          <reference field="82" count="1" selected="0">
            <x v="539"/>
          </reference>
          <reference field="85" count="1" selected="0">
            <x v="7"/>
          </reference>
          <reference field="87" count="1" selected="0">
            <x v="1491"/>
          </reference>
          <reference field="88" count="1">
            <x v="312"/>
          </reference>
        </references>
      </pivotArea>
    </format>
    <format dxfId="4406">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236"/>
          </reference>
          <reference field="82" count="1" selected="0">
            <x v="643"/>
          </reference>
          <reference field="85" count="1" selected="0">
            <x v="4"/>
          </reference>
          <reference field="87" count="1" selected="0">
            <x v="1595"/>
          </reference>
          <reference field="88" count="1">
            <x v="416"/>
          </reference>
        </references>
      </pivotArea>
    </format>
    <format dxfId="4405">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237"/>
          </reference>
          <reference field="82" count="1" selected="0">
            <x v="644"/>
          </reference>
          <reference field="85" count="1" selected="0">
            <x v="4"/>
          </reference>
          <reference field="87" count="1" selected="0">
            <x v="1596"/>
          </reference>
          <reference field="88" count="1">
            <x v="417"/>
          </reference>
        </references>
      </pivotArea>
    </format>
    <format dxfId="4404">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238"/>
          </reference>
          <reference field="82" count="1" selected="0">
            <x v="645"/>
          </reference>
          <reference field="85" count="1" selected="0">
            <x v="4"/>
          </reference>
          <reference field="87" count="1" selected="0">
            <x v="1597"/>
          </reference>
          <reference field="88" count="1">
            <x v="418"/>
          </reference>
        </references>
      </pivotArea>
    </format>
    <format dxfId="4403">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239"/>
          </reference>
          <reference field="82" count="1" selected="0">
            <x v="646"/>
          </reference>
          <reference field="85" count="1" selected="0">
            <x v="4"/>
          </reference>
          <reference field="87" count="1" selected="0">
            <x v="1598"/>
          </reference>
          <reference field="88" count="1">
            <x v="419"/>
          </reference>
        </references>
      </pivotArea>
    </format>
    <format dxfId="4402">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159"/>
          </reference>
          <reference field="82" count="1" selected="0">
            <x v="566"/>
          </reference>
          <reference field="85" count="1" selected="0">
            <x v="4"/>
          </reference>
          <reference field="87" count="1" selected="0">
            <x v="1518"/>
          </reference>
          <reference field="88" count="1">
            <x v="339"/>
          </reference>
        </references>
      </pivotArea>
    </format>
    <format dxfId="4401">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160"/>
          </reference>
          <reference field="82" count="1" selected="0">
            <x v="567"/>
          </reference>
          <reference field="85" count="1" selected="0">
            <x v="4"/>
          </reference>
          <reference field="87" count="1" selected="0">
            <x v="1519"/>
          </reference>
          <reference field="88" count="1">
            <x v="340"/>
          </reference>
        </references>
      </pivotArea>
    </format>
    <format dxfId="4400">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161"/>
          </reference>
          <reference field="82" count="1" selected="0">
            <x v="568"/>
          </reference>
          <reference field="85" count="1" selected="0">
            <x v="4"/>
          </reference>
          <reference field="87" count="1" selected="0">
            <x v="1520"/>
          </reference>
          <reference field="88" count="1">
            <x v="341"/>
          </reference>
        </references>
      </pivotArea>
    </format>
    <format dxfId="4399">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162"/>
          </reference>
          <reference field="82" count="1" selected="0">
            <x v="569"/>
          </reference>
          <reference field="85" count="1" selected="0">
            <x v="4"/>
          </reference>
          <reference field="87" count="1" selected="0">
            <x v="1521"/>
          </reference>
          <reference field="88" count="1">
            <x v="342"/>
          </reference>
        </references>
      </pivotArea>
    </format>
    <format dxfId="4398">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1932"/>
          </reference>
          <reference field="82" count="1" selected="0">
            <x v="336"/>
          </reference>
          <reference field="85" count="1" selected="0">
            <x v="3"/>
          </reference>
          <reference field="87" count="1" selected="0">
            <x v="1291"/>
          </reference>
          <reference field="88" count="1">
            <x v="109"/>
          </reference>
        </references>
      </pivotArea>
    </format>
    <format dxfId="4397">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1931"/>
          </reference>
          <reference field="82" count="1" selected="0">
            <x v="335"/>
          </reference>
          <reference field="85" count="1" selected="0">
            <x v="3"/>
          </reference>
          <reference field="87" count="1" selected="0">
            <x v="1290"/>
          </reference>
          <reference field="88" count="1">
            <x v="108"/>
          </reference>
        </references>
      </pivotArea>
    </format>
    <format dxfId="4396">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155"/>
          </reference>
          <reference field="82" count="1" selected="0">
            <x v="562"/>
          </reference>
          <reference field="85" count="1" selected="0">
            <x v="4"/>
          </reference>
          <reference field="87" count="1" selected="0">
            <x v="1514"/>
          </reference>
          <reference field="88" count="1">
            <x v="335"/>
          </reference>
        </references>
      </pivotArea>
    </format>
    <format dxfId="4395">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156"/>
          </reference>
          <reference field="82" count="1" selected="0">
            <x v="563"/>
          </reference>
          <reference field="85" count="1" selected="0">
            <x v="4"/>
          </reference>
          <reference field="87" count="1" selected="0">
            <x v="1515"/>
          </reference>
          <reference field="88" count="1">
            <x v="336"/>
          </reference>
        </references>
      </pivotArea>
    </format>
    <format dxfId="4394">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157"/>
          </reference>
          <reference field="82" count="1" selected="0">
            <x v="564"/>
          </reference>
          <reference field="85" count="1" selected="0">
            <x v="4"/>
          </reference>
          <reference field="87" count="1" selected="0">
            <x v="1516"/>
          </reference>
          <reference field="88" count="1">
            <x v="337"/>
          </reference>
        </references>
      </pivotArea>
    </format>
    <format dxfId="4393">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158"/>
          </reference>
          <reference field="82" count="1" selected="0">
            <x v="565"/>
          </reference>
          <reference field="85" count="1" selected="0">
            <x v="4"/>
          </reference>
          <reference field="87" count="1" selected="0">
            <x v="1517"/>
          </reference>
          <reference field="88" count="1">
            <x v="338"/>
          </reference>
        </references>
      </pivotArea>
    </format>
    <format dxfId="4392">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151"/>
          </reference>
          <reference field="82" count="1" selected="0">
            <x v="558"/>
          </reference>
          <reference field="85" count="1" selected="0">
            <x v="4"/>
          </reference>
          <reference field="87" count="1" selected="0">
            <x v="1510"/>
          </reference>
          <reference field="88" count="1">
            <x v="331"/>
          </reference>
        </references>
      </pivotArea>
    </format>
    <format dxfId="4391">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152"/>
          </reference>
          <reference field="82" count="1" selected="0">
            <x v="559"/>
          </reference>
          <reference field="85" count="1" selected="0">
            <x v="4"/>
          </reference>
          <reference field="87" count="1" selected="0">
            <x v="1511"/>
          </reference>
          <reference field="88" count="1">
            <x v="332"/>
          </reference>
        </references>
      </pivotArea>
    </format>
    <format dxfId="4390">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153"/>
          </reference>
          <reference field="82" count="1" selected="0">
            <x v="560"/>
          </reference>
          <reference field="85" count="1" selected="0">
            <x v="4"/>
          </reference>
          <reference field="87" count="1" selected="0">
            <x v="1512"/>
          </reference>
          <reference field="88" count="1">
            <x v="333"/>
          </reference>
        </references>
      </pivotArea>
    </format>
    <format dxfId="4389">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154"/>
          </reference>
          <reference field="82" count="1" selected="0">
            <x v="561"/>
          </reference>
          <reference field="85" count="1" selected="0">
            <x v="4"/>
          </reference>
          <reference field="87" count="1" selected="0">
            <x v="1513"/>
          </reference>
          <reference field="88" count="1">
            <x v="334"/>
          </reference>
        </references>
      </pivotArea>
    </format>
    <format dxfId="4388">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072"/>
          </reference>
          <reference field="82" count="1" selected="0">
            <x v="479"/>
          </reference>
          <reference field="85" count="1" selected="0">
            <x v="0"/>
          </reference>
          <reference field="87" count="1" selected="0">
            <x v="1431"/>
          </reference>
          <reference field="88" count="1">
            <x v="252"/>
          </reference>
        </references>
      </pivotArea>
    </format>
    <format dxfId="4387">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073"/>
          </reference>
          <reference field="82" count="1" selected="0">
            <x v="480"/>
          </reference>
          <reference field="85" count="1" selected="0">
            <x v="0"/>
          </reference>
          <reference field="87" count="1" selected="0">
            <x v="1432"/>
          </reference>
          <reference field="88" count="1">
            <x v="253"/>
          </reference>
        </references>
      </pivotArea>
    </format>
    <format dxfId="4386">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071"/>
          </reference>
          <reference field="82" count="1" selected="0">
            <x v="478"/>
          </reference>
          <reference field="85" count="1" selected="0">
            <x v="0"/>
          </reference>
          <reference field="87" count="1" selected="0">
            <x v="1430"/>
          </reference>
          <reference field="88" count="1">
            <x v="251"/>
          </reference>
        </references>
      </pivotArea>
    </format>
    <format dxfId="4385">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945"/>
          </reference>
          <reference field="82" count="1" selected="0">
            <x v="349"/>
          </reference>
          <reference field="85" count="1" selected="0">
            <x v="7"/>
          </reference>
          <reference field="87" count="1" selected="0">
            <x v="1304"/>
          </reference>
          <reference field="88" count="1">
            <x v="122"/>
          </reference>
        </references>
      </pivotArea>
    </format>
    <format dxfId="4384">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1946"/>
          </reference>
          <reference field="82" count="1" selected="0">
            <x v="350"/>
          </reference>
          <reference field="85" count="1" selected="0">
            <x v="7"/>
          </reference>
          <reference field="87" count="1" selected="0">
            <x v="1305"/>
          </reference>
          <reference field="88" count="1">
            <x v="123"/>
          </reference>
        </references>
      </pivotArea>
    </format>
    <format dxfId="4383">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947"/>
          </reference>
          <reference field="82" count="1" selected="0">
            <x v="351"/>
          </reference>
          <reference field="85" count="1" selected="0">
            <x v="7"/>
          </reference>
          <reference field="87" count="1" selected="0">
            <x v="1306"/>
          </reference>
          <reference field="88" count="1">
            <x v="124"/>
          </reference>
        </references>
      </pivotArea>
    </format>
    <format dxfId="4382">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000"/>
          </reference>
          <reference field="82" count="1" selected="0">
            <x v="406"/>
          </reference>
          <reference field="85" count="1" selected="0">
            <x v="4"/>
          </reference>
          <reference field="87" count="1" selected="0">
            <x v="1359"/>
          </reference>
          <reference field="88" count="1">
            <x v="179"/>
          </reference>
        </references>
      </pivotArea>
    </format>
    <format dxfId="4381">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001"/>
          </reference>
          <reference field="82" count="1" selected="0">
            <x v="407"/>
          </reference>
          <reference field="85" count="1" selected="0">
            <x v="4"/>
          </reference>
          <reference field="87" count="1" selected="0">
            <x v="1360"/>
          </reference>
          <reference field="88" count="1">
            <x v="180"/>
          </reference>
        </references>
      </pivotArea>
    </format>
    <format dxfId="4380">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002"/>
          </reference>
          <reference field="82" count="1" selected="0">
            <x v="408"/>
          </reference>
          <reference field="85" count="1" selected="0">
            <x v="4"/>
          </reference>
          <reference field="87" count="1" selected="0">
            <x v="1361"/>
          </reference>
          <reference field="88" count="1">
            <x v="181"/>
          </reference>
        </references>
      </pivotArea>
    </format>
    <format dxfId="4379">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003"/>
          </reference>
          <reference field="82" count="1" selected="0">
            <x v="409"/>
          </reference>
          <reference field="85" count="1" selected="0">
            <x v="4"/>
          </reference>
          <reference field="87" count="1" selected="0">
            <x v="1362"/>
          </reference>
          <reference field="88" count="1">
            <x v="182"/>
          </reference>
        </references>
      </pivotArea>
    </format>
    <format dxfId="4378">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083"/>
          </reference>
          <reference field="82" count="1" selected="0">
            <x v="490"/>
          </reference>
          <reference field="85" count="1" selected="0">
            <x v="0"/>
          </reference>
          <reference field="87" count="1" selected="0">
            <x v="1442"/>
          </reference>
          <reference field="88" count="1">
            <x v="263"/>
          </reference>
        </references>
      </pivotArea>
    </format>
    <format dxfId="4377">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084"/>
          </reference>
          <reference field="82" count="1" selected="0">
            <x v="491"/>
          </reference>
          <reference field="85" count="1" selected="0">
            <x v="0"/>
          </reference>
          <reference field="87" count="1" selected="0">
            <x v="1443"/>
          </reference>
          <reference field="88" count="1">
            <x v="264"/>
          </reference>
        </references>
      </pivotArea>
    </format>
    <format dxfId="4376">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085"/>
          </reference>
          <reference field="82" count="1" selected="0">
            <x v="492"/>
          </reference>
          <reference field="85" count="1" selected="0">
            <x v="0"/>
          </reference>
          <reference field="87" count="1" selected="0">
            <x v="1444"/>
          </reference>
          <reference field="88" count="1">
            <x v="265"/>
          </reference>
        </references>
      </pivotArea>
    </format>
    <format dxfId="4375">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147"/>
          </reference>
          <reference field="82" count="1" selected="0">
            <x v="554"/>
          </reference>
          <reference field="85" count="1" selected="0">
            <x v="7"/>
          </reference>
          <reference field="87" count="1" selected="0">
            <x v="1506"/>
          </reference>
          <reference field="88" count="1">
            <x v="327"/>
          </reference>
        </references>
      </pivotArea>
    </format>
    <format dxfId="4374">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148"/>
          </reference>
          <reference field="82" count="1" selected="0">
            <x v="555"/>
          </reference>
          <reference field="85" count="1" selected="0">
            <x v="7"/>
          </reference>
          <reference field="87" count="1" selected="0">
            <x v="1507"/>
          </reference>
          <reference field="88" count="1">
            <x v="328"/>
          </reference>
        </references>
      </pivotArea>
    </format>
    <format dxfId="4373">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941"/>
          </reference>
          <reference field="82" count="1" selected="0">
            <x v="345"/>
          </reference>
          <reference field="85" count="1" selected="0">
            <x v="3"/>
          </reference>
          <reference field="87" count="1" selected="0">
            <x v="1300"/>
          </reference>
          <reference field="88" count="1">
            <x v="118"/>
          </reference>
        </references>
      </pivotArea>
    </format>
    <format dxfId="4372">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954"/>
          </reference>
          <reference field="82" count="1" selected="0">
            <x v="358"/>
          </reference>
          <reference field="85" count="1" selected="0">
            <x v="7"/>
          </reference>
          <reference field="87" count="1" selected="0">
            <x v="1313"/>
          </reference>
          <reference field="88" count="1">
            <x v="131"/>
          </reference>
        </references>
      </pivotArea>
    </format>
    <format dxfId="4371">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1955"/>
          </reference>
          <reference field="82" count="1" selected="0">
            <x v="359"/>
          </reference>
          <reference field="85" count="1" selected="0">
            <x v="7"/>
          </reference>
          <reference field="87" count="1" selected="0">
            <x v="1314"/>
          </reference>
          <reference field="88" count="1">
            <x v="132"/>
          </reference>
        </references>
      </pivotArea>
    </format>
    <format dxfId="4370">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948"/>
          </reference>
          <reference field="82" count="1" selected="0">
            <x v="352"/>
          </reference>
          <reference field="85" count="1" selected="0">
            <x v="7"/>
          </reference>
          <reference field="87" count="1" selected="0">
            <x v="1307"/>
          </reference>
          <reference field="88" count="1">
            <x v="125"/>
          </reference>
        </references>
      </pivotArea>
    </format>
    <format dxfId="4369">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1949"/>
          </reference>
          <reference field="82" count="1" selected="0">
            <x v="353"/>
          </reference>
          <reference field="85" count="1" selected="0">
            <x v="7"/>
          </reference>
          <reference field="87" count="1" selected="0">
            <x v="1308"/>
          </reference>
          <reference field="88" count="1">
            <x v="126"/>
          </reference>
        </references>
      </pivotArea>
    </format>
    <format dxfId="4368">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947"/>
          </reference>
          <reference field="82" count="1" selected="0">
            <x v="351"/>
          </reference>
          <reference field="85" count="1" selected="0">
            <x v="7"/>
          </reference>
          <reference field="87" count="1" selected="0">
            <x v="1306"/>
          </reference>
          <reference field="88" count="1">
            <x v="124"/>
          </reference>
        </references>
      </pivotArea>
    </format>
    <format dxfId="4367">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1997"/>
          </reference>
          <reference field="82" count="1" selected="0">
            <x v="402"/>
          </reference>
          <reference field="85" count="1" selected="0">
            <x v="4"/>
          </reference>
          <reference field="87" count="1" selected="0">
            <x v="1356"/>
          </reference>
          <reference field="88" count="1">
            <x v="175"/>
          </reference>
        </references>
      </pivotArea>
    </format>
    <format dxfId="4366">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1995"/>
          </reference>
          <reference field="82" count="1" selected="0">
            <x v="403"/>
          </reference>
          <reference field="85" count="1" selected="0">
            <x v="4"/>
          </reference>
          <reference field="87" count="1" selected="0">
            <x v="1354"/>
          </reference>
          <reference field="88" count="1">
            <x v="176"/>
          </reference>
        </references>
      </pivotArea>
    </format>
    <format dxfId="4365">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1998"/>
          </reference>
          <reference field="82" count="1" selected="0">
            <x v="404"/>
          </reference>
          <reference field="85" count="1" selected="0">
            <x v="4"/>
          </reference>
          <reference field="87" count="1" selected="0">
            <x v="1357"/>
          </reference>
          <reference field="88" count="1">
            <x v="177"/>
          </reference>
        </references>
      </pivotArea>
    </format>
    <format dxfId="4364">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1999"/>
          </reference>
          <reference field="82" count="1" selected="0">
            <x v="405"/>
          </reference>
          <reference field="85" count="1" selected="0">
            <x v="4"/>
          </reference>
          <reference field="87" count="1" selected="0">
            <x v="1358"/>
          </reference>
          <reference field="88" count="1">
            <x v="178"/>
          </reference>
        </references>
      </pivotArea>
    </format>
    <format dxfId="4363">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080"/>
          </reference>
          <reference field="82" count="1" selected="0">
            <x v="487"/>
          </reference>
          <reference field="85" count="1" selected="0">
            <x v="0"/>
          </reference>
          <reference field="87" count="1" selected="0">
            <x v="1439"/>
          </reference>
          <reference field="88" count="1">
            <x v="260"/>
          </reference>
        </references>
      </pivotArea>
    </format>
    <format dxfId="4362">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081"/>
          </reference>
          <reference field="82" count="1" selected="0">
            <x v="488"/>
          </reference>
          <reference field="85" count="1" selected="0">
            <x v="0"/>
          </reference>
          <reference field="87" count="1" selected="0">
            <x v="1440"/>
          </reference>
          <reference field="88" count="1">
            <x v="261"/>
          </reference>
        </references>
      </pivotArea>
    </format>
    <format dxfId="4361">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082"/>
          </reference>
          <reference field="82" count="1" selected="0">
            <x v="489"/>
          </reference>
          <reference field="85" count="1" selected="0">
            <x v="0"/>
          </reference>
          <reference field="87" count="1" selected="0">
            <x v="1441"/>
          </reference>
          <reference field="88" count="1">
            <x v="262"/>
          </reference>
        </references>
      </pivotArea>
    </format>
    <format dxfId="4360">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146"/>
          </reference>
          <reference field="82" count="1" selected="0">
            <x v="553"/>
          </reference>
          <reference field="85" count="1" selected="0">
            <x v="7"/>
          </reference>
          <reference field="87" count="1" selected="0">
            <x v="1505"/>
          </reference>
          <reference field="88" count="1">
            <x v="326"/>
          </reference>
        </references>
      </pivotArea>
    </format>
    <format dxfId="4359">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942"/>
          </reference>
          <reference field="82" count="1" selected="0">
            <x v="346"/>
          </reference>
          <reference field="85" count="1" selected="0">
            <x v="3"/>
          </reference>
          <reference field="87" count="1" selected="0">
            <x v="1301"/>
          </reference>
          <reference field="88" count="1">
            <x v="119"/>
          </reference>
        </references>
      </pivotArea>
    </format>
    <format dxfId="4358">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956"/>
          </reference>
          <reference field="82" count="1" selected="0">
            <x v="360"/>
          </reference>
          <reference field="85" count="1" selected="0">
            <x v="7"/>
          </reference>
          <reference field="87" count="1" selected="0">
            <x v="1315"/>
          </reference>
          <reference field="88" count="1">
            <x v="133"/>
          </reference>
        </references>
      </pivotArea>
    </format>
    <format dxfId="4357">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1957"/>
          </reference>
          <reference field="82" count="1" selected="0">
            <x v="361"/>
          </reference>
          <reference field="85" count="1" selected="0">
            <x v="7"/>
          </reference>
          <reference field="87" count="1" selected="0">
            <x v="1316"/>
          </reference>
          <reference field="88" count="1">
            <x v="134"/>
          </reference>
        </references>
      </pivotArea>
    </format>
    <format dxfId="4356">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1936"/>
          </reference>
          <reference field="82" count="1" selected="0">
            <x v="340"/>
          </reference>
          <reference field="85" count="1" selected="0">
            <x v="3"/>
          </reference>
          <reference field="87" count="1" selected="0">
            <x v="1295"/>
          </reference>
          <reference field="88" count="1">
            <x v="113"/>
          </reference>
        </references>
      </pivotArea>
    </format>
    <format dxfId="4355">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1935"/>
          </reference>
          <reference field="82" count="1" selected="0">
            <x v="339"/>
          </reference>
          <reference field="85" count="1" selected="0">
            <x v="3"/>
          </reference>
          <reference field="87" count="1" selected="0">
            <x v="1294"/>
          </reference>
          <reference field="88" count="1">
            <x v="112"/>
          </reference>
        </references>
      </pivotArea>
    </format>
    <format dxfId="4354">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1933"/>
          </reference>
          <reference field="82" count="1" selected="0">
            <x v="337"/>
          </reference>
          <reference field="85" count="1" selected="0">
            <x v="3"/>
          </reference>
          <reference field="87" count="1" selected="0">
            <x v="1292"/>
          </reference>
          <reference field="88" count="1">
            <x v="110"/>
          </reference>
        </references>
      </pivotArea>
    </format>
    <format dxfId="4353">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1934"/>
          </reference>
          <reference field="82" count="1" selected="0">
            <x v="338"/>
          </reference>
          <reference field="85" count="1" selected="0">
            <x v="3"/>
          </reference>
          <reference field="87" count="1" selected="0">
            <x v="1293"/>
          </reference>
          <reference field="88" count="1">
            <x v="111"/>
          </reference>
        </references>
      </pivotArea>
    </format>
    <format dxfId="4352">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12"/>
          </reference>
          <reference field="82" count="1" selected="0">
            <x v="418"/>
          </reference>
          <reference field="85" count="1" selected="0">
            <x v="4"/>
          </reference>
          <reference field="87" count="1" selected="0">
            <x v="1371"/>
          </reference>
          <reference field="88" count="1">
            <x v="191"/>
          </reference>
        </references>
      </pivotArea>
    </format>
    <format dxfId="4351">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074"/>
          </reference>
          <reference field="82" count="1" selected="0">
            <x v="481"/>
          </reference>
          <reference field="85" count="1" selected="0">
            <x v="0"/>
          </reference>
          <reference field="87" count="1" selected="0">
            <x v="1433"/>
          </reference>
          <reference field="88" count="1">
            <x v="254"/>
          </reference>
        </references>
      </pivotArea>
    </format>
    <format dxfId="4350">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075"/>
          </reference>
          <reference field="82" count="1" selected="0">
            <x v="482"/>
          </reference>
          <reference field="85" count="1" selected="0">
            <x v="0"/>
          </reference>
          <reference field="87" count="1" selected="0">
            <x v="1434"/>
          </reference>
          <reference field="88" count="1">
            <x v="255"/>
          </reference>
        </references>
      </pivotArea>
    </format>
    <format dxfId="4349">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076"/>
          </reference>
          <reference field="82" count="1" selected="0">
            <x v="483"/>
          </reference>
          <reference field="85" count="1" selected="0">
            <x v="0"/>
          </reference>
          <reference field="87" count="1" selected="0">
            <x v="1435"/>
          </reference>
          <reference field="88" count="1">
            <x v="256"/>
          </reference>
        </references>
      </pivotArea>
    </format>
    <format dxfId="4348">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087"/>
          </reference>
          <reference field="82" count="1" selected="0">
            <x v="494"/>
          </reference>
          <reference field="85" count="1" selected="0">
            <x v="2"/>
          </reference>
          <reference field="87" count="1" selected="0">
            <x v="1446"/>
          </reference>
          <reference field="88" count="1">
            <x v="267"/>
          </reference>
        </references>
      </pivotArea>
    </format>
    <format dxfId="4347">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088"/>
          </reference>
          <reference field="82" count="1" selected="0">
            <x v="495"/>
          </reference>
          <reference field="85" count="1" selected="0">
            <x v="2"/>
          </reference>
          <reference field="87" count="1" selected="0">
            <x v="1447"/>
          </reference>
          <reference field="88" count="1">
            <x v="268"/>
          </reference>
        </references>
      </pivotArea>
    </format>
    <format dxfId="4346">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086"/>
          </reference>
          <reference field="82" count="1" selected="0">
            <x v="493"/>
          </reference>
          <reference field="85" count="1" selected="0">
            <x v="2"/>
          </reference>
          <reference field="87" count="1" selected="0">
            <x v="1445"/>
          </reference>
          <reference field="88" count="1">
            <x v="266"/>
          </reference>
        </references>
      </pivotArea>
    </format>
    <format dxfId="4345">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13"/>
          </reference>
          <reference field="82" count="1" selected="0">
            <x v="419"/>
          </reference>
          <reference field="85" count="1" selected="0">
            <x v="4"/>
          </reference>
          <reference field="87" count="1" selected="0">
            <x v="1372"/>
          </reference>
          <reference field="88" count="1">
            <x v="192"/>
          </reference>
        </references>
      </pivotArea>
    </format>
    <format dxfId="4344">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077"/>
          </reference>
          <reference field="82" count="1" selected="0">
            <x v="484"/>
          </reference>
          <reference field="85" count="1" selected="0">
            <x v="0"/>
          </reference>
          <reference field="87" count="1" selected="0">
            <x v="1436"/>
          </reference>
          <reference field="88" count="1">
            <x v="257"/>
          </reference>
        </references>
      </pivotArea>
    </format>
    <format dxfId="4343">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078"/>
          </reference>
          <reference field="82" count="1" selected="0">
            <x v="485"/>
          </reference>
          <reference field="85" count="1" selected="0">
            <x v="0"/>
          </reference>
          <reference field="87" count="1" selected="0">
            <x v="1437"/>
          </reference>
          <reference field="88" count="1">
            <x v="258"/>
          </reference>
        </references>
      </pivotArea>
    </format>
    <format dxfId="4342">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079"/>
          </reference>
          <reference field="82" count="1" selected="0">
            <x v="486"/>
          </reference>
          <reference field="85" count="1" selected="0">
            <x v="0"/>
          </reference>
          <reference field="87" count="1" selected="0">
            <x v="1438"/>
          </reference>
          <reference field="88" count="1">
            <x v="259"/>
          </reference>
        </references>
      </pivotArea>
    </format>
    <format dxfId="4341">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090"/>
          </reference>
          <reference field="82" count="1" selected="0">
            <x v="497"/>
          </reference>
          <reference field="85" count="1" selected="0">
            <x v="2"/>
          </reference>
          <reference field="87" count="1" selected="0">
            <x v="1449"/>
          </reference>
          <reference field="88" count="1">
            <x v="270"/>
          </reference>
        </references>
      </pivotArea>
    </format>
    <format dxfId="4340">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091"/>
          </reference>
          <reference field="82" count="1" selected="0">
            <x v="498"/>
          </reference>
          <reference field="85" count="1" selected="0">
            <x v="2"/>
          </reference>
          <reference field="87" count="1" selected="0">
            <x v="1450"/>
          </reference>
          <reference field="88" count="1">
            <x v="271"/>
          </reference>
        </references>
      </pivotArea>
    </format>
    <format dxfId="4339">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092"/>
          </reference>
          <reference field="82" count="1" selected="0">
            <x v="499"/>
          </reference>
          <reference field="85" count="1" selected="0">
            <x v="2"/>
          </reference>
          <reference field="87" count="1" selected="0">
            <x v="1451"/>
          </reference>
          <reference field="88" count="1">
            <x v="272"/>
          </reference>
        </references>
      </pivotArea>
    </format>
    <format dxfId="4338">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089"/>
          </reference>
          <reference field="82" count="1" selected="0">
            <x v="496"/>
          </reference>
          <reference field="85" count="1" selected="0">
            <x v="2"/>
          </reference>
          <reference field="87" count="1" selected="0">
            <x v="1448"/>
          </reference>
          <reference field="88" count="1">
            <x v="269"/>
          </reference>
        </references>
      </pivotArea>
    </format>
    <format dxfId="4337">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093"/>
          </reference>
          <reference field="82" count="1" selected="0">
            <x v="500"/>
          </reference>
          <reference field="85" count="1" selected="0">
            <x v="2"/>
          </reference>
          <reference field="87" count="1" selected="0">
            <x v="1452"/>
          </reference>
          <reference field="88" count="1">
            <x v="273"/>
          </reference>
        </references>
      </pivotArea>
    </format>
    <format dxfId="4336">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144"/>
          </reference>
          <reference field="82" count="1" selected="0">
            <x v="551"/>
          </reference>
          <reference field="85" count="1" selected="0">
            <x v="7"/>
          </reference>
          <reference field="87" count="1" selected="0">
            <x v="1503"/>
          </reference>
          <reference field="88" count="1">
            <x v="324"/>
          </reference>
        </references>
      </pivotArea>
    </format>
    <format dxfId="4335">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145"/>
          </reference>
          <reference field="82" count="1" selected="0">
            <x v="552"/>
          </reference>
          <reference field="85" count="1" selected="0">
            <x v="7"/>
          </reference>
          <reference field="87" count="1" selected="0">
            <x v="1504"/>
          </reference>
          <reference field="88" count="1">
            <x v="325"/>
          </reference>
        </references>
      </pivotArea>
    </format>
    <format dxfId="4334">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215"/>
          </reference>
          <reference field="82" count="1" selected="0">
            <x v="622"/>
          </reference>
          <reference field="85" count="1" selected="0">
            <x v="4"/>
          </reference>
          <reference field="87" count="1" selected="0">
            <x v="1574"/>
          </reference>
          <reference field="88" count="1">
            <x v="395"/>
          </reference>
        </references>
      </pivotArea>
    </format>
    <format dxfId="4333">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216"/>
          </reference>
          <reference field="82" count="1" selected="0">
            <x v="623"/>
          </reference>
          <reference field="85" count="1" selected="0">
            <x v="4"/>
          </reference>
          <reference field="87" count="1" selected="0">
            <x v="1575"/>
          </reference>
          <reference field="88" count="1">
            <x v="396"/>
          </reference>
        </references>
      </pivotArea>
    </format>
    <format dxfId="4332">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217"/>
          </reference>
          <reference field="82" count="1" selected="0">
            <x v="624"/>
          </reference>
          <reference field="85" count="1" selected="0">
            <x v="4"/>
          </reference>
          <reference field="87" count="1" selected="0">
            <x v="1576"/>
          </reference>
          <reference field="88" count="1">
            <x v="397"/>
          </reference>
        </references>
      </pivotArea>
    </format>
    <format dxfId="4331">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214"/>
          </reference>
          <reference field="82" count="1" selected="0">
            <x v="621"/>
          </reference>
          <reference field="85" count="1" selected="0">
            <x v="4"/>
          </reference>
          <reference field="87" count="1" selected="0">
            <x v="1573"/>
          </reference>
          <reference field="88" count="1">
            <x v="394"/>
          </reference>
        </references>
      </pivotArea>
    </format>
    <format dxfId="4330">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223"/>
          </reference>
          <reference field="82" count="1" selected="0">
            <x v="630"/>
          </reference>
          <reference field="85" count="1" selected="0">
            <x v="4"/>
          </reference>
          <reference field="87" count="1" selected="0">
            <x v="1582"/>
          </reference>
          <reference field="88" count="1">
            <x v="403"/>
          </reference>
        </references>
      </pivotArea>
    </format>
    <format dxfId="4329">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224"/>
          </reference>
          <reference field="82" count="1" selected="0">
            <x v="631"/>
          </reference>
          <reference field="85" count="1" selected="0">
            <x v="4"/>
          </reference>
          <reference field="87" count="1" selected="0">
            <x v="1583"/>
          </reference>
          <reference field="88" count="1">
            <x v="404"/>
          </reference>
        </references>
      </pivotArea>
    </format>
    <format dxfId="4328">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225"/>
          </reference>
          <reference field="82" count="1" selected="0">
            <x v="632"/>
          </reference>
          <reference field="85" count="1" selected="0">
            <x v="4"/>
          </reference>
          <reference field="87" count="1" selected="0">
            <x v="1584"/>
          </reference>
          <reference field="88" count="1">
            <x v="405"/>
          </reference>
        </references>
      </pivotArea>
    </format>
    <format dxfId="4327">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222"/>
          </reference>
          <reference field="82" count="1" selected="0">
            <x v="629"/>
          </reference>
          <reference field="85" count="1" selected="0">
            <x v="4"/>
          </reference>
          <reference field="87" count="1" selected="0">
            <x v="1581"/>
          </reference>
          <reference field="88" count="1">
            <x v="402"/>
          </reference>
        </references>
      </pivotArea>
    </format>
    <format dxfId="4326">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220"/>
          </reference>
          <reference field="82" count="1" selected="0">
            <x v="627"/>
          </reference>
          <reference field="85" count="1" selected="0">
            <x v="4"/>
          </reference>
          <reference field="87" count="1" selected="0">
            <x v="1579"/>
          </reference>
          <reference field="88" count="1">
            <x v="400"/>
          </reference>
        </references>
      </pivotArea>
    </format>
    <format dxfId="4325">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2221"/>
          </reference>
          <reference field="82" count="1" selected="0">
            <x v="628"/>
          </reference>
          <reference field="85" count="1" selected="0">
            <x v="4"/>
          </reference>
          <reference field="87" count="1" selected="0">
            <x v="1580"/>
          </reference>
          <reference field="88" count="1">
            <x v="401"/>
          </reference>
        </references>
      </pivotArea>
    </format>
    <format dxfId="4324">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219"/>
          </reference>
          <reference field="82" count="1" selected="0">
            <x v="626"/>
          </reference>
          <reference field="85" count="1" selected="0">
            <x v="4"/>
          </reference>
          <reference field="87" count="1" selected="0">
            <x v="1578"/>
          </reference>
          <reference field="88" count="1">
            <x v="399"/>
          </reference>
        </references>
      </pivotArea>
    </format>
    <format dxfId="4323">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218"/>
          </reference>
          <reference field="82" count="1" selected="0">
            <x v="625"/>
          </reference>
          <reference field="85" count="1" selected="0">
            <x v="4"/>
          </reference>
          <reference field="87" count="1" selected="0">
            <x v="1577"/>
          </reference>
          <reference field="88" count="1">
            <x v="398"/>
          </reference>
        </references>
      </pivotArea>
    </format>
    <format dxfId="4322">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1962"/>
          </reference>
          <reference field="82" count="1" selected="0">
            <x v="367"/>
          </reference>
          <reference field="85" count="1" selected="0">
            <x v="7"/>
          </reference>
          <reference field="87" count="1" selected="0">
            <x v="1321"/>
          </reference>
          <reference field="88" count="1">
            <x v="140"/>
          </reference>
        </references>
      </pivotArea>
    </format>
    <format dxfId="4321">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1963"/>
          </reference>
          <reference field="82" count="1" selected="0">
            <x v="368"/>
          </reference>
          <reference field="85" count="1" selected="0">
            <x v="7"/>
          </reference>
          <reference field="87" count="1" selected="0">
            <x v="1322"/>
          </reference>
          <reference field="88" count="1">
            <x v="141"/>
          </reference>
        </references>
      </pivotArea>
    </format>
    <format dxfId="4320">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115"/>
          </reference>
          <reference field="82" count="1" selected="0">
            <x v="522"/>
          </reference>
          <reference field="85" count="1" selected="0">
            <x v="2"/>
          </reference>
          <reference field="87" count="1" selected="0">
            <x v="1474"/>
          </reference>
          <reference field="88" count="1">
            <x v="295"/>
          </reference>
        </references>
      </pivotArea>
    </format>
    <format dxfId="4319">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232"/>
          </reference>
          <reference field="82" count="1" selected="0">
            <x v="639"/>
          </reference>
          <reference field="85" count="1" selected="0">
            <x v="4"/>
          </reference>
          <reference field="87" count="1" selected="0">
            <x v="1591"/>
          </reference>
          <reference field="88" count="1">
            <x v="412"/>
          </reference>
        </references>
      </pivotArea>
    </format>
    <format dxfId="4318">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233"/>
          </reference>
          <reference field="82" count="1" selected="0">
            <x v="640"/>
          </reference>
          <reference field="85" count="1" selected="0">
            <x v="4"/>
          </reference>
          <reference field="87" count="1" selected="0">
            <x v="1592"/>
          </reference>
          <reference field="88" count="1">
            <x v="413"/>
          </reference>
        </references>
      </pivotArea>
    </format>
    <format dxfId="4317">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235"/>
          </reference>
          <reference field="82" count="1" selected="0">
            <x v="642"/>
          </reference>
          <reference field="85" count="1" selected="0">
            <x v="4"/>
          </reference>
          <reference field="87" count="1" selected="0">
            <x v="1594"/>
          </reference>
          <reference field="88" count="1">
            <x v="415"/>
          </reference>
        </references>
      </pivotArea>
    </format>
    <format dxfId="4316">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81"/>
          </reference>
          <reference field="82" count="1" selected="0">
            <x v="386"/>
          </reference>
          <reference field="85" count="1" selected="0">
            <x v="4"/>
          </reference>
          <reference field="87" count="1" selected="0">
            <x v="1340"/>
          </reference>
          <reference field="88" count="1">
            <x v="159"/>
          </reference>
        </references>
      </pivotArea>
    </format>
    <format dxfId="4315">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984"/>
          </reference>
          <reference field="82" count="1" selected="0">
            <x v="389"/>
          </reference>
          <reference field="85" count="1" selected="0">
            <x v="4"/>
          </reference>
          <reference field="87" count="1" selected="0">
            <x v="1343"/>
          </reference>
          <reference field="88" count="1">
            <x v="162"/>
          </reference>
        </references>
      </pivotArea>
    </format>
    <format dxfId="4314">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982"/>
          </reference>
          <reference field="82" count="1" selected="0">
            <x v="387"/>
          </reference>
          <reference field="85" count="1" selected="0">
            <x v="4"/>
          </reference>
          <reference field="87" count="1" selected="0">
            <x v="1341"/>
          </reference>
          <reference field="88" count="1">
            <x v="160"/>
          </reference>
        </references>
      </pivotArea>
    </format>
    <format dxfId="4313">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983"/>
          </reference>
          <reference field="82" count="1" selected="0">
            <x v="388"/>
          </reference>
          <reference field="85" count="1" selected="0">
            <x v="4"/>
          </reference>
          <reference field="87" count="1" selected="0">
            <x v="1342"/>
          </reference>
          <reference field="88" count="1">
            <x v="161"/>
          </reference>
        </references>
      </pivotArea>
    </format>
    <format dxfId="4312">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181"/>
          </reference>
          <reference field="82" count="1" selected="0">
            <x v="588"/>
          </reference>
          <reference field="85" count="1" selected="0">
            <x v="4"/>
          </reference>
          <reference field="87" count="1" selected="0">
            <x v="1540"/>
          </reference>
          <reference field="88" count="1">
            <x v="361"/>
          </reference>
        </references>
      </pivotArea>
    </format>
    <format dxfId="4311">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177"/>
          </reference>
          <reference field="82" count="1" selected="0">
            <x v="584"/>
          </reference>
          <reference field="85" count="1" selected="0">
            <x v="4"/>
          </reference>
          <reference field="87" count="1" selected="0">
            <x v="1536"/>
          </reference>
          <reference field="88" count="1">
            <x v="357"/>
          </reference>
        </references>
      </pivotArea>
    </format>
    <format dxfId="4310">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178"/>
          </reference>
          <reference field="82" count="1" selected="0">
            <x v="585"/>
          </reference>
          <reference field="85" count="1" selected="0">
            <x v="4"/>
          </reference>
          <reference field="87" count="1" selected="0">
            <x v="1537"/>
          </reference>
          <reference field="88" count="1">
            <x v="358"/>
          </reference>
        </references>
      </pivotArea>
    </format>
    <format dxfId="4309">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179"/>
          </reference>
          <reference field="82" count="1" selected="0">
            <x v="586"/>
          </reference>
          <reference field="85" count="1" selected="0">
            <x v="4"/>
          </reference>
          <reference field="87" count="1" selected="0">
            <x v="1538"/>
          </reference>
          <reference field="88" count="1">
            <x v="359"/>
          </reference>
        </references>
      </pivotArea>
    </format>
    <format dxfId="4308">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180"/>
          </reference>
          <reference field="82" count="1" selected="0">
            <x v="587"/>
          </reference>
          <reference field="85" count="1" selected="0">
            <x v="4"/>
          </reference>
          <reference field="87" count="1" selected="0">
            <x v="1539"/>
          </reference>
          <reference field="88" count="1">
            <x v="360"/>
          </reference>
        </references>
      </pivotArea>
    </format>
    <format dxfId="4307">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77"/>
          </reference>
          <reference field="82" count="1" selected="0">
            <x v="382"/>
          </reference>
          <reference field="85" count="1" selected="0">
            <x v="4"/>
          </reference>
          <reference field="87" count="1" selected="0">
            <x v="1336"/>
          </reference>
          <reference field="88" count="1">
            <x v="155"/>
          </reference>
        </references>
      </pivotArea>
    </format>
    <format dxfId="4306">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980"/>
          </reference>
          <reference field="82" count="1" selected="0">
            <x v="385"/>
          </reference>
          <reference field="85" count="1" selected="0">
            <x v="4"/>
          </reference>
          <reference field="87" count="1" selected="0">
            <x v="1339"/>
          </reference>
          <reference field="88" count="1">
            <x v="158"/>
          </reference>
        </references>
      </pivotArea>
    </format>
    <format dxfId="4305">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978"/>
          </reference>
          <reference field="82" count="1" selected="0">
            <x v="383"/>
          </reference>
          <reference field="85" count="1" selected="0">
            <x v="4"/>
          </reference>
          <reference field="87" count="1" selected="0">
            <x v="1337"/>
          </reference>
          <reference field="88" count="1">
            <x v="156"/>
          </reference>
        </references>
      </pivotArea>
    </format>
    <format dxfId="4304">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979"/>
          </reference>
          <reference field="82" count="1" selected="0">
            <x v="384"/>
          </reference>
          <reference field="85" count="1" selected="0">
            <x v="4"/>
          </reference>
          <reference field="87" count="1" selected="0">
            <x v="1338"/>
          </reference>
          <reference field="88" count="1">
            <x v="157"/>
          </reference>
        </references>
      </pivotArea>
    </format>
    <format dxfId="4303">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176"/>
          </reference>
          <reference field="82" count="1" selected="0">
            <x v="583"/>
          </reference>
          <reference field="85" count="1" selected="0">
            <x v="4"/>
          </reference>
          <reference field="87" count="1" selected="0">
            <x v="1535"/>
          </reference>
          <reference field="88" count="1">
            <x v="356"/>
          </reference>
        </references>
      </pivotArea>
    </format>
    <format dxfId="4302">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172"/>
          </reference>
          <reference field="82" count="1" selected="0">
            <x v="579"/>
          </reference>
          <reference field="85" count="1" selected="0">
            <x v="4"/>
          </reference>
          <reference field="87" count="1" selected="0">
            <x v="1531"/>
          </reference>
          <reference field="88" count="1">
            <x v="352"/>
          </reference>
        </references>
      </pivotArea>
    </format>
    <format dxfId="4301">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173"/>
          </reference>
          <reference field="82" count="1" selected="0">
            <x v="580"/>
          </reference>
          <reference field="85" count="1" selected="0">
            <x v="4"/>
          </reference>
          <reference field="87" count="1" selected="0">
            <x v="1532"/>
          </reference>
          <reference field="88" count="1">
            <x v="353"/>
          </reference>
        </references>
      </pivotArea>
    </format>
    <format dxfId="4300">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174"/>
          </reference>
          <reference field="82" count="1" selected="0">
            <x v="581"/>
          </reference>
          <reference field="85" count="1" selected="0">
            <x v="4"/>
          </reference>
          <reference field="87" count="1" selected="0">
            <x v="1533"/>
          </reference>
          <reference field="88" count="1">
            <x v="354"/>
          </reference>
        </references>
      </pivotArea>
    </format>
    <format dxfId="4299">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175"/>
          </reference>
          <reference field="82" count="1" selected="0">
            <x v="582"/>
          </reference>
          <reference field="85" count="1" selected="0">
            <x v="4"/>
          </reference>
          <reference field="87" count="1" selected="0">
            <x v="1534"/>
          </reference>
          <reference field="88" count="1">
            <x v="355"/>
          </reference>
        </references>
      </pivotArea>
    </format>
    <format dxfId="4298">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22"/>
          </reference>
          <reference field="82" count="1" selected="0">
            <x v="428"/>
          </reference>
          <reference field="85" count="1" selected="0">
            <x v="4"/>
          </reference>
          <reference field="87" count="1" selected="0">
            <x v="1381"/>
          </reference>
          <reference field="88" count="1">
            <x v="201"/>
          </reference>
        </references>
      </pivotArea>
    </format>
    <format dxfId="4297">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17"/>
          </reference>
          <reference field="82" count="1" selected="0">
            <x v="431"/>
          </reference>
          <reference field="85" count="1" selected="0">
            <x v="4"/>
          </reference>
          <reference field="87" count="1" selected="0">
            <x v="1376"/>
          </reference>
          <reference field="88" count="1">
            <x v="204"/>
          </reference>
        </references>
      </pivotArea>
    </format>
    <format dxfId="4296">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23"/>
          </reference>
          <reference field="82" count="1" selected="0">
            <x v="429"/>
          </reference>
          <reference field="85" count="1" selected="0">
            <x v="4"/>
          </reference>
          <reference field="87" count="1" selected="0">
            <x v="1382"/>
          </reference>
          <reference field="88" count="1">
            <x v="202"/>
          </reference>
        </references>
      </pivotArea>
    </format>
    <format dxfId="4295">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24"/>
          </reference>
          <reference field="82" count="1" selected="0">
            <x v="430"/>
          </reference>
          <reference field="85" count="1" selected="0">
            <x v="4"/>
          </reference>
          <reference field="87" count="1" selected="0">
            <x v="1383"/>
          </reference>
          <reference field="88" count="1">
            <x v="203"/>
          </reference>
        </references>
      </pivotArea>
    </format>
    <format dxfId="4294">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171"/>
          </reference>
          <reference field="82" count="1" selected="0">
            <x v="578"/>
          </reference>
          <reference field="85" count="1" selected="0">
            <x v="4"/>
          </reference>
          <reference field="87" count="1" selected="0">
            <x v="1530"/>
          </reference>
          <reference field="88" count="1">
            <x v="351"/>
          </reference>
        </references>
      </pivotArea>
    </format>
    <format dxfId="4293">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167"/>
          </reference>
          <reference field="82" count="1" selected="0">
            <x v="574"/>
          </reference>
          <reference field="85" count="1" selected="0">
            <x v="4"/>
          </reference>
          <reference field="87" count="1" selected="0">
            <x v="1526"/>
          </reference>
          <reference field="88" count="1">
            <x v="347"/>
          </reference>
        </references>
      </pivotArea>
    </format>
    <format dxfId="4292">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168"/>
          </reference>
          <reference field="82" count="1" selected="0">
            <x v="575"/>
          </reference>
          <reference field="85" count="1" selected="0">
            <x v="4"/>
          </reference>
          <reference field="87" count="1" selected="0">
            <x v="1527"/>
          </reference>
          <reference field="88" count="1">
            <x v="348"/>
          </reference>
        </references>
      </pivotArea>
    </format>
    <format dxfId="4291">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169"/>
          </reference>
          <reference field="82" count="1" selected="0">
            <x v="576"/>
          </reference>
          <reference field="85" count="1" selected="0">
            <x v="4"/>
          </reference>
          <reference field="87" count="1" selected="0">
            <x v="1528"/>
          </reference>
          <reference field="88" count="1">
            <x v="349"/>
          </reference>
        </references>
      </pivotArea>
    </format>
    <format dxfId="4290">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170"/>
          </reference>
          <reference field="82" count="1" selected="0">
            <x v="577"/>
          </reference>
          <reference field="85" count="1" selected="0">
            <x v="4"/>
          </reference>
          <reference field="87" count="1" selected="0">
            <x v="1529"/>
          </reference>
          <reference field="88" count="1">
            <x v="350"/>
          </reference>
        </references>
      </pivotArea>
    </format>
    <format dxfId="4289">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228"/>
          </reference>
          <reference field="82" count="1" selected="0">
            <x v="635"/>
          </reference>
          <reference field="85" count="1" selected="0">
            <x v="4"/>
          </reference>
          <reference field="87" count="1" selected="0">
            <x v="1587"/>
          </reference>
          <reference field="88" count="1">
            <x v="408"/>
          </reference>
        </references>
      </pivotArea>
    </format>
    <format dxfId="4288">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231"/>
          </reference>
          <reference field="82" count="1" selected="0">
            <x v="638"/>
          </reference>
          <reference field="85" count="1" selected="0">
            <x v="4"/>
          </reference>
          <reference field="87" count="1" selected="0">
            <x v="1590"/>
          </reference>
          <reference field="88" count="1">
            <x v="411"/>
          </reference>
        </references>
      </pivotArea>
    </format>
    <format dxfId="4287">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229"/>
          </reference>
          <reference field="82" count="1" selected="0">
            <x v="636"/>
          </reference>
          <reference field="85" count="1" selected="0">
            <x v="4"/>
          </reference>
          <reference field="87" count="1" selected="0">
            <x v="1588"/>
          </reference>
          <reference field="88" count="1">
            <x v="409"/>
          </reference>
        </references>
      </pivotArea>
    </format>
    <format dxfId="4286">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230"/>
          </reference>
          <reference field="82" count="1" selected="0">
            <x v="637"/>
          </reference>
          <reference field="85" count="1" selected="0">
            <x v="4"/>
          </reference>
          <reference field="87" count="1" selected="0">
            <x v="1589"/>
          </reference>
          <reference field="88" count="1">
            <x v="410"/>
          </reference>
        </references>
      </pivotArea>
    </format>
    <format dxfId="4285">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190"/>
          </reference>
          <reference field="82" count="1" selected="0">
            <x v="597"/>
          </reference>
          <reference field="85" count="1" selected="0">
            <x v="4"/>
          </reference>
          <reference field="87" count="1" selected="0">
            <x v="1549"/>
          </reference>
          <reference field="88" count="1">
            <x v="370"/>
          </reference>
        </references>
      </pivotArea>
    </format>
    <format dxfId="4284">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191"/>
          </reference>
          <reference field="82" count="1" selected="0">
            <x v="598"/>
          </reference>
          <reference field="85" count="1" selected="0">
            <x v="4"/>
          </reference>
          <reference field="87" count="1" selected="0">
            <x v="1550"/>
          </reference>
          <reference field="88" count="1">
            <x v="371"/>
          </reference>
        </references>
      </pivotArea>
    </format>
    <format dxfId="4283">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192"/>
          </reference>
          <reference field="82" count="1" selected="0">
            <x v="599"/>
          </reference>
          <reference field="85" count="1" selected="0">
            <x v="4"/>
          </reference>
          <reference field="87" count="1" selected="0">
            <x v="1551"/>
          </reference>
          <reference field="88" count="1">
            <x v="372"/>
          </reference>
        </references>
      </pivotArea>
    </format>
    <format dxfId="4282">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193"/>
          </reference>
          <reference field="82" count="1" selected="0">
            <x v="600"/>
          </reference>
          <reference field="85" count="1" selected="0">
            <x v="4"/>
          </reference>
          <reference field="87" count="1" selected="0">
            <x v="1552"/>
          </reference>
          <reference field="88" count="1">
            <x v="373"/>
          </reference>
        </references>
      </pivotArea>
    </format>
    <format dxfId="4281">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194"/>
          </reference>
          <reference field="82" count="1" selected="0">
            <x v="601"/>
          </reference>
          <reference field="85" count="1" selected="0">
            <x v="4"/>
          </reference>
          <reference field="87" count="1" selected="0">
            <x v="1553"/>
          </reference>
          <reference field="88" count="1">
            <x v="374"/>
          </reference>
        </references>
      </pivotArea>
    </format>
    <format dxfId="4280">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195"/>
          </reference>
          <reference field="82" count="1" selected="0">
            <x v="602"/>
          </reference>
          <reference field="85" count="1" selected="0">
            <x v="4"/>
          </reference>
          <reference field="87" count="1" selected="0">
            <x v="1554"/>
          </reference>
          <reference field="88" count="1">
            <x v="375"/>
          </reference>
        </references>
      </pivotArea>
    </format>
    <format dxfId="4279">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196"/>
          </reference>
          <reference field="82" count="1" selected="0">
            <x v="603"/>
          </reference>
          <reference field="85" count="1" selected="0">
            <x v="4"/>
          </reference>
          <reference field="87" count="1" selected="0">
            <x v="1555"/>
          </reference>
          <reference field="88" count="1">
            <x v="376"/>
          </reference>
        </references>
      </pivotArea>
    </format>
    <format dxfId="4278">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197"/>
          </reference>
          <reference field="82" count="1" selected="0">
            <x v="604"/>
          </reference>
          <reference field="85" count="1" selected="0">
            <x v="4"/>
          </reference>
          <reference field="87" count="1" selected="0">
            <x v="1556"/>
          </reference>
          <reference field="88" count="1">
            <x v="377"/>
          </reference>
        </references>
      </pivotArea>
    </format>
    <format dxfId="4277">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2163"/>
          </reference>
          <reference field="82" count="1" selected="0">
            <x v="570"/>
          </reference>
          <reference field="85" count="1" selected="0">
            <x v="4"/>
          </reference>
          <reference field="87" count="1" selected="0">
            <x v="1522"/>
          </reference>
          <reference field="88" count="1">
            <x v="343"/>
          </reference>
        </references>
      </pivotArea>
    </format>
    <format dxfId="4276">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2165"/>
          </reference>
          <reference field="82" count="1" selected="0">
            <x v="572"/>
          </reference>
          <reference field="85" count="1" selected="0">
            <x v="4"/>
          </reference>
          <reference field="87" count="1" selected="0">
            <x v="1524"/>
          </reference>
          <reference field="88" count="1">
            <x v="345"/>
          </reference>
        </references>
      </pivotArea>
    </format>
    <format dxfId="4275">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166"/>
          </reference>
          <reference field="82" count="1" selected="0">
            <x v="573"/>
          </reference>
          <reference field="85" count="1" selected="0">
            <x v="4"/>
          </reference>
          <reference field="87" count="1" selected="0">
            <x v="1525"/>
          </reference>
          <reference field="88" count="1">
            <x v="346"/>
          </reference>
        </references>
      </pivotArea>
    </format>
    <format dxfId="4274">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2164"/>
          </reference>
          <reference field="82" count="1" selected="0">
            <x v="571"/>
          </reference>
          <reference field="85" count="1" selected="0">
            <x v="4"/>
          </reference>
          <reference field="87" count="1" selected="0">
            <x v="1523"/>
          </reference>
          <reference field="88" count="1">
            <x v="344"/>
          </reference>
        </references>
      </pivotArea>
    </format>
    <format dxfId="4273">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113"/>
          </reference>
          <reference field="82" count="1" selected="0">
            <x v="520"/>
          </reference>
          <reference field="85" count="1" selected="0">
            <x v="2"/>
          </reference>
          <reference field="87" count="1" selected="0">
            <x v="1472"/>
          </reference>
          <reference field="88" count="1">
            <x v="293"/>
          </reference>
        </references>
      </pivotArea>
    </format>
    <format dxfId="4272">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114"/>
          </reference>
          <reference field="82" count="1" selected="0">
            <x v="521"/>
          </reference>
          <reference field="85" count="1" selected="0">
            <x v="2"/>
          </reference>
          <reference field="87" count="1" selected="0">
            <x v="1473"/>
          </reference>
          <reference field="88" count="1">
            <x v="294"/>
          </reference>
        </references>
      </pivotArea>
    </format>
    <format dxfId="4271">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112"/>
          </reference>
          <reference field="82" count="1" selected="0">
            <x v="519"/>
          </reference>
          <reference field="85" count="1" selected="0">
            <x v="2"/>
          </reference>
          <reference field="87" count="1" selected="0">
            <x v="1471"/>
          </reference>
          <reference field="88" count="1">
            <x v="292"/>
          </reference>
        </references>
      </pivotArea>
    </format>
    <format dxfId="4270">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85"/>
          </reference>
          <reference field="82" count="1" selected="0">
            <x v="390"/>
          </reference>
          <reference field="85" count="1" selected="0">
            <x v="4"/>
          </reference>
          <reference field="87" count="1" selected="0">
            <x v="1344"/>
          </reference>
          <reference field="88" count="1">
            <x v="163"/>
          </reference>
        </references>
      </pivotArea>
    </format>
    <format dxfId="4269">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988"/>
          </reference>
          <reference field="82" count="1" selected="0">
            <x v="393"/>
          </reference>
          <reference field="85" count="1" selected="0">
            <x v="4"/>
          </reference>
          <reference field="87" count="1" selected="0">
            <x v="1347"/>
          </reference>
          <reference field="88" count="1">
            <x v="166"/>
          </reference>
        </references>
      </pivotArea>
    </format>
    <format dxfId="4268">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986"/>
          </reference>
          <reference field="82" count="1" selected="0">
            <x v="391"/>
          </reference>
          <reference field="85" count="1" selected="0">
            <x v="4"/>
          </reference>
          <reference field="87" count="1" selected="0">
            <x v="1345"/>
          </reference>
          <reference field="88" count="1">
            <x v="164"/>
          </reference>
        </references>
      </pivotArea>
    </format>
    <format dxfId="4267">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987"/>
          </reference>
          <reference field="82" count="1" selected="0">
            <x v="392"/>
          </reference>
          <reference field="85" count="1" selected="0">
            <x v="4"/>
          </reference>
          <reference field="87" count="1" selected="0">
            <x v="1346"/>
          </reference>
          <reference field="88" count="1">
            <x v="165"/>
          </reference>
        </references>
      </pivotArea>
    </format>
    <format dxfId="4266">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182"/>
          </reference>
          <reference field="82" count="1" selected="0">
            <x v="589"/>
          </reference>
          <reference field="85" count="1" selected="0">
            <x v="4"/>
          </reference>
          <reference field="87" count="1" selected="0">
            <x v="1541"/>
          </reference>
          <reference field="88" count="1">
            <x v="362"/>
          </reference>
        </references>
      </pivotArea>
    </format>
    <format dxfId="4265">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183"/>
          </reference>
          <reference field="82" count="1" selected="0">
            <x v="590"/>
          </reference>
          <reference field="85" count="1" selected="0">
            <x v="4"/>
          </reference>
          <reference field="87" count="1" selected="0">
            <x v="1542"/>
          </reference>
          <reference field="88" count="1">
            <x v="363"/>
          </reference>
        </references>
      </pivotArea>
    </format>
    <format dxfId="4264">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184"/>
          </reference>
          <reference field="82" count="1" selected="0">
            <x v="591"/>
          </reference>
          <reference field="85" count="1" selected="0">
            <x v="4"/>
          </reference>
          <reference field="87" count="1" selected="0">
            <x v="1543"/>
          </reference>
          <reference field="88" count="1">
            <x v="364"/>
          </reference>
        </references>
      </pivotArea>
    </format>
    <format dxfId="4263">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185"/>
          </reference>
          <reference field="82" count="1" selected="0">
            <x v="592"/>
          </reference>
          <reference field="85" count="1" selected="0">
            <x v="4"/>
          </reference>
          <reference field="87" count="1" selected="0">
            <x v="1544"/>
          </reference>
          <reference field="88" count="1">
            <x v="365"/>
          </reference>
        </references>
      </pivotArea>
    </format>
    <format dxfId="4262">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186"/>
          </reference>
          <reference field="82" count="1" selected="0">
            <x v="593"/>
          </reference>
          <reference field="85" count="1" selected="0">
            <x v="4"/>
          </reference>
          <reference field="87" count="1" selected="0">
            <x v="1545"/>
          </reference>
          <reference field="88" count="1">
            <x v="366"/>
          </reference>
        </references>
      </pivotArea>
    </format>
    <format dxfId="4261">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187"/>
          </reference>
          <reference field="82" count="1" selected="0">
            <x v="594"/>
          </reference>
          <reference field="85" count="1" selected="0">
            <x v="4"/>
          </reference>
          <reference field="87" count="1" selected="0">
            <x v="1546"/>
          </reference>
          <reference field="88" count="1">
            <x v="367"/>
          </reference>
        </references>
      </pivotArea>
    </format>
    <format dxfId="4260">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188"/>
          </reference>
          <reference field="82" count="1" selected="0">
            <x v="595"/>
          </reference>
          <reference field="85" count="1" selected="0">
            <x v="4"/>
          </reference>
          <reference field="87" count="1" selected="0">
            <x v="1547"/>
          </reference>
          <reference field="88" count="1">
            <x v="368"/>
          </reference>
        </references>
      </pivotArea>
    </format>
    <format dxfId="4259">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189"/>
          </reference>
          <reference field="82" count="1" selected="0">
            <x v="596"/>
          </reference>
          <reference field="85" count="1" selected="0">
            <x v="4"/>
          </reference>
          <reference field="87" count="1" selected="0">
            <x v="1548"/>
          </reference>
          <reference field="88" count="1">
            <x v="369"/>
          </reference>
        </references>
      </pivotArea>
    </format>
    <format dxfId="4258">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1938"/>
          </reference>
          <reference field="82" count="1" selected="0">
            <x v="342"/>
          </reference>
          <reference field="85" count="1" selected="0">
            <x v="3"/>
          </reference>
          <reference field="87" count="1" selected="0">
            <x v="1297"/>
          </reference>
          <reference field="88" count="1">
            <x v="115"/>
          </reference>
        </references>
      </pivotArea>
    </format>
    <format dxfId="4257">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240"/>
          </reference>
          <reference field="82" count="1" selected="0">
            <x v="647"/>
          </reference>
          <reference field="85" count="1" selected="0">
            <x v="4"/>
          </reference>
          <reference field="87" count="1" selected="0">
            <x v="1599"/>
          </reference>
          <reference field="88" count="1">
            <x v="420"/>
          </reference>
        </references>
      </pivotArea>
    </format>
    <format dxfId="4256">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975"/>
          </reference>
          <reference field="82" count="1" selected="0">
            <x v="380"/>
          </reference>
          <reference field="85" count="1" selected="0">
            <x v="7"/>
          </reference>
          <reference field="87" count="1" selected="0">
            <x v="1334"/>
          </reference>
          <reference field="88" count="1">
            <x v="153"/>
          </reference>
        </references>
      </pivotArea>
    </format>
    <format dxfId="4255">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1939"/>
          </reference>
          <reference field="82" count="1" selected="0">
            <x v="343"/>
          </reference>
          <reference field="85" count="1" selected="0">
            <x v="3"/>
          </reference>
          <reference field="87" count="1" selected="0">
            <x v="1298"/>
          </reference>
          <reference field="88" count="1">
            <x v="116"/>
          </reference>
        </references>
      </pivotArea>
    </format>
    <format dxfId="4254">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976"/>
          </reference>
          <reference field="82" count="1" selected="0">
            <x v="381"/>
          </reference>
          <reference field="85" count="1" selected="0">
            <x v="7"/>
          </reference>
          <reference field="87" count="1" selected="0">
            <x v="1335"/>
          </reference>
          <reference field="88" count="1">
            <x v="154"/>
          </reference>
        </references>
      </pivotArea>
    </format>
    <format dxfId="4253">
      <pivotArea dataOnly="0" labelOnly="1" outline="0" fieldPosition="0">
        <references count="14">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selected="0">
            <x v="14"/>
          </reference>
          <reference field="88" count="1">
            <x v="15"/>
          </reference>
        </references>
      </pivotArea>
    </format>
    <format dxfId="4252">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242"/>
          </reference>
          <reference field="82" count="1" selected="0">
            <x v="649"/>
          </reference>
          <reference field="85" count="1" selected="0">
            <x v="7"/>
          </reference>
          <reference field="87" count="1" selected="0">
            <x v="1601"/>
          </reference>
          <reference field="88" count="1">
            <x v="422"/>
          </reference>
        </references>
      </pivotArea>
    </format>
    <format dxfId="4251">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244"/>
          </reference>
          <reference field="82" count="1" selected="0">
            <x v="651"/>
          </reference>
          <reference field="85" count="1" selected="0">
            <x v="7"/>
          </reference>
          <reference field="87" count="1" selected="0">
            <x v="1603"/>
          </reference>
          <reference field="88" count="1">
            <x v="424"/>
          </reference>
        </references>
      </pivotArea>
    </format>
    <format dxfId="4250">
      <pivotArea dataOnly="0" labelOnly="1" outline="0" fieldPosition="0">
        <references count="14">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selected="0">
            <x v="17"/>
          </reference>
          <reference field="88" count="1">
            <x v="18"/>
          </reference>
        </references>
      </pivotArea>
    </format>
    <format dxfId="4249">
      <pivotArea dataOnly="0" labelOnly="1" outline="0" fieldPosition="0">
        <references count="14">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4248">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243"/>
          </reference>
          <reference field="82" count="1" selected="0">
            <x v="650"/>
          </reference>
          <reference field="85" count="1" selected="0">
            <x v="7"/>
          </reference>
          <reference field="87" count="1" selected="0">
            <x v="1602"/>
          </reference>
          <reference field="88" count="1">
            <x v="423"/>
          </reference>
        </references>
      </pivotArea>
    </format>
    <format dxfId="4247">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1968"/>
          </reference>
          <reference field="82" count="1" selected="0">
            <x v="373"/>
          </reference>
          <reference field="85" count="1" selected="0">
            <x v="2"/>
          </reference>
          <reference field="87" count="1" selected="0">
            <x v="1327"/>
          </reference>
          <reference field="88" count="1">
            <x v="146"/>
          </reference>
        </references>
      </pivotArea>
    </format>
    <format dxfId="4246">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245"/>
          </reference>
          <reference field="82" count="1" selected="0">
            <x v="652"/>
          </reference>
          <reference field="85" count="1" selected="0">
            <x v="7"/>
          </reference>
          <reference field="87" count="1" selected="0">
            <x v="1604"/>
          </reference>
          <reference field="88" count="1">
            <x v="425"/>
          </reference>
        </references>
      </pivotArea>
    </format>
    <format dxfId="4245">
      <pivotArea dataOnly="0" labelOnly="1" outline="0" fieldPosition="0">
        <references count="14">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4244">
      <pivotArea dataOnly="0" labelOnly="1" outline="0" fieldPosition="0">
        <references count="14">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selected="0">
            <x v="18"/>
          </reference>
          <reference field="88" count="1">
            <x v="19"/>
          </reference>
        </references>
      </pivotArea>
    </format>
    <format dxfId="4243">
      <pivotArea dataOnly="0" labelOnly="1" outline="0" fieldPosition="0">
        <references count="14">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selected="0">
            <x v="16"/>
          </reference>
          <reference field="88" count="1">
            <x v="17"/>
          </reference>
        </references>
      </pivotArea>
    </format>
    <format dxfId="4242">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1937"/>
          </reference>
          <reference field="82" count="1" selected="0">
            <x v="341"/>
          </reference>
          <reference field="85" count="1" selected="0">
            <x v="3"/>
          </reference>
          <reference field="87" count="1" selected="0">
            <x v="1296"/>
          </reference>
          <reference field="88" count="1">
            <x v="114"/>
          </reference>
        </references>
      </pivotArea>
    </format>
    <format dxfId="4241">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234"/>
          </reference>
          <reference field="82" count="1" selected="0">
            <x v="641"/>
          </reference>
          <reference field="85" count="1" selected="0">
            <x v="4"/>
          </reference>
          <reference field="87" count="1" selected="0">
            <x v="1593"/>
          </reference>
          <reference field="88" count="1">
            <x v="414"/>
          </reference>
        </references>
      </pivotArea>
    </format>
    <format dxfId="424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098"/>
          </reference>
          <reference field="82" count="1" selected="0">
            <x v="505"/>
          </reference>
          <reference field="85" count="1" selected="0">
            <x v="2"/>
          </reference>
          <reference field="87" count="1" selected="0">
            <x v="1457"/>
          </reference>
          <reference field="88" count="1">
            <x v="278"/>
          </reference>
        </references>
      </pivotArea>
    </format>
    <format dxfId="423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101"/>
          </reference>
          <reference field="82" count="1" selected="0">
            <x v="508"/>
          </reference>
          <reference field="85" count="1" selected="0">
            <x v="2"/>
          </reference>
          <reference field="87" count="1" selected="0">
            <x v="1460"/>
          </reference>
          <reference field="88" count="1">
            <x v="281"/>
          </reference>
        </references>
      </pivotArea>
    </format>
    <format dxfId="423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099"/>
          </reference>
          <reference field="82" count="1" selected="0">
            <x v="506"/>
          </reference>
          <reference field="85" count="1" selected="0">
            <x v="2"/>
          </reference>
          <reference field="87" count="1" selected="0">
            <x v="1458"/>
          </reference>
          <reference field="88" count="1">
            <x v="279"/>
          </reference>
        </references>
      </pivotArea>
    </format>
    <format dxfId="423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102"/>
          </reference>
          <reference field="82" count="1" selected="0">
            <x v="509"/>
          </reference>
          <reference field="85" count="1" selected="0">
            <x v="2"/>
          </reference>
          <reference field="87" count="1" selected="0">
            <x v="1461"/>
          </reference>
          <reference field="88" count="1">
            <x v="282"/>
          </reference>
        </references>
      </pivotArea>
    </format>
    <format dxfId="423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107"/>
          </reference>
          <reference field="82" count="1" selected="0">
            <x v="514"/>
          </reference>
          <reference field="85" count="1" selected="0">
            <x v="2"/>
          </reference>
          <reference field="87" count="1" selected="0">
            <x v="1466"/>
          </reference>
          <reference field="88" count="1">
            <x v="287"/>
          </reference>
        </references>
      </pivotArea>
    </format>
    <format dxfId="423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105"/>
          </reference>
          <reference field="82" count="1" selected="0">
            <x v="512"/>
          </reference>
          <reference field="85" count="1" selected="0">
            <x v="2"/>
          </reference>
          <reference field="87" count="1" selected="0">
            <x v="1464"/>
          </reference>
          <reference field="88" count="1">
            <x v="285"/>
          </reference>
        </references>
      </pivotArea>
    </format>
    <format dxfId="423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104"/>
          </reference>
          <reference field="82" count="1" selected="0">
            <x v="511"/>
          </reference>
          <reference field="85" count="1" selected="0">
            <x v="2"/>
          </reference>
          <reference field="87" count="1" selected="0">
            <x v="1463"/>
          </reference>
          <reference field="88" count="1">
            <x v="284"/>
          </reference>
        </references>
      </pivotArea>
    </format>
    <format dxfId="423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103"/>
          </reference>
          <reference field="82" count="1" selected="0">
            <x v="510"/>
          </reference>
          <reference field="85" count="1" selected="0">
            <x v="2"/>
          </reference>
          <reference field="87" count="1" selected="0">
            <x v="1462"/>
          </reference>
          <reference field="88" count="1">
            <x v="283"/>
          </reference>
        </references>
      </pivotArea>
    </format>
    <format dxfId="423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097"/>
          </reference>
          <reference field="82" count="1" selected="0">
            <x v="504"/>
          </reference>
          <reference field="85" count="1" selected="0">
            <x v="2"/>
          </reference>
          <reference field="87" count="1" selected="0">
            <x v="1456"/>
          </reference>
          <reference field="88" count="1">
            <x v="277"/>
          </reference>
        </references>
      </pivotArea>
    </format>
    <format dxfId="423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100"/>
          </reference>
          <reference field="82" count="1" selected="0">
            <x v="507"/>
          </reference>
          <reference field="85" count="1" selected="0">
            <x v="2"/>
          </reference>
          <reference field="87" count="1" selected="0">
            <x v="1459"/>
          </reference>
          <reference field="88" count="1">
            <x v="280"/>
          </reference>
        </references>
      </pivotArea>
    </format>
    <format dxfId="423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106"/>
          </reference>
          <reference field="82" count="1" selected="0">
            <x v="513"/>
          </reference>
          <reference field="85" count="1" selected="0">
            <x v="2"/>
          </reference>
          <reference field="87" count="1" selected="0">
            <x v="1465"/>
          </reference>
          <reference field="88" count="1">
            <x v="286"/>
          </reference>
        </references>
      </pivotArea>
    </format>
    <format dxfId="4229">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241"/>
          </reference>
          <reference field="82" count="1" selected="0">
            <x v="648"/>
          </reference>
          <reference field="85" count="1" selected="0">
            <x v="4"/>
          </reference>
          <reference field="87" count="1" selected="0">
            <x v="1600"/>
          </reference>
          <reference field="88" count="1">
            <x v="421"/>
          </reference>
        </references>
      </pivotArea>
    </format>
    <format dxfId="4228">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1974"/>
          </reference>
          <reference field="82" count="1" selected="0">
            <x v="379"/>
          </reference>
          <reference field="85" count="1" selected="0">
            <x v="2"/>
          </reference>
          <reference field="87" count="1" selected="0">
            <x v="1333"/>
          </reference>
          <reference field="88" count="1">
            <x v="152"/>
          </reference>
        </references>
      </pivotArea>
    </format>
    <format dxfId="4227">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972"/>
          </reference>
          <reference field="82" count="1" selected="0">
            <x v="377"/>
          </reference>
          <reference field="85" count="1" selected="0">
            <x v="7"/>
          </reference>
          <reference field="87" count="1" selected="0">
            <x v="1331"/>
          </reference>
          <reference field="88" count="1">
            <x v="150"/>
          </reference>
        </references>
      </pivotArea>
    </format>
    <format dxfId="4226">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109"/>
          </reference>
          <reference field="82" count="1" selected="0">
            <x v="516"/>
          </reference>
          <reference field="85" count="1" selected="0">
            <x v="2"/>
          </reference>
          <reference field="87" count="1" selected="0">
            <x v="1468"/>
          </reference>
          <reference field="88" count="1">
            <x v="289"/>
          </reference>
        </references>
      </pivotArea>
    </format>
    <format dxfId="4225">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111"/>
          </reference>
          <reference field="82" count="1" selected="0">
            <x v="518"/>
          </reference>
          <reference field="85" count="1" selected="0">
            <x v="2"/>
          </reference>
          <reference field="87" count="1" selected="0">
            <x v="1470"/>
          </reference>
          <reference field="88" count="1">
            <x v="291"/>
          </reference>
        </references>
      </pivotArea>
    </format>
    <format dxfId="4224">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108"/>
          </reference>
          <reference field="82" count="1" selected="0">
            <x v="515"/>
          </reference>
          <reference field="85" count="1" selected="0">
            <x v="2"/>
          </reference>
          <reference field="87" count="1" selected="0">
            <x v="1467"/>
          </reference>
          <reference field="88" count="1">
            <x v="288"/>
          </reference>
        </references>
      </pivotArea>
    </format>
    <format dxfId="4223">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110"/>
          </reference>
          <reference field="82" count="1" selected="0">
            <x v="517"/>
          </reference>
          <reference field="85" count="1" selected="0">
            <x v="2"/>
          </reference>
          <reference field="87" count="1" selected="0">
            <x v="1469"/>
          </reference>
          <reference field="88" count="1">
            <x v="290"/>
          </reference>
        </references>
      </pivotArea>
    </format>
    <format dxfId="4222">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973"/>
          </reference>
          <reference field="82" count="1" selected="0">
            <x v="378"/>
          </reference>
          <reference field="85" count="1" selected="0">
            <x v="7"/>
          </reference>
          <reference field="87" count="1" selected="0">
            <x v="1332"/>
          </reference>
          <reference field="88" count="1">
            <x v="151"/>
          </reference>
        </references>
      </pivotArea>
    </format>
    <format dxfId="4221">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226"/>
          </reference>
          <reference field="82" count="1" selected="0">
            <x v="633"/>
          </reference>
          <reference field="85" count="1" selected="0">
            <x v="4"/>
          </reference>
          <reference field="87" count="1" selected="0">
            <x v="1585"/>
          </reference>
          <reference field="88" count="1">
            <x v="406"/>
          </reference>
        </references>
      </pivotArea>
    </format>
    <format dxfId="4220">
      <pivotArea dataOnly="0" labelOnly="1" outline="0" fieldPosition="0">
        <references count="14">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227"/>
          </reference>
          <reference field="82" count="1" selected="0">
            <x v="634"/>
          </reference>
          <reference field="85" count="1" selected="0">
            <x v="4"/>
          </reference>
          <reference field="87" count="1" selected="0">
            <x v="1586"/>
          </reference>
          <reference field="88" count="1">
            <x v="407"/>
          </reference>
        </references>
      </pivotArea>
    </format>
    <format dxfId="4219">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134"/>
          </reference>
          <reference field="82" count="1" selected="0">
            <x v="541"/>
          </reference>
          <reference field="85" count="1" selected="0">
            <x v="7"/>
          </reference>
          <reference field="87" count="1" selected="0">
            <x v="1493"/>
          </reference>
          <reference field="88" count="1">
            <x v="314"/>
          </reference>
        </references>
      </pivotArea>
    </format>
    <format dxfId="4218">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140"/>
          </reference>
          <reference field="82" count="1" selected="0">
            <x v="547"/>
          </reference>
          <reference field="85" count="1" selected="0">
            <x v="7"/>
          </reference>
          <reference field="87" count="1" selected="0">
            <x v="1499"/>
          </reference>
          <reference field="88" count="1">
            <x v="320"/>
          </reference>
        </references>
      </pivotArea>
    </format>
    <format dxfId="4217">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1965"/>
          </reference>
          <reference field="82" count="1" selected="0">
            <x v="370"/>
          </reference>
          <reference field="85" count="1" selected="0">
            <x v="7"/>
          </reference>
          <reference field="87" count="1" selected="0">
            <x v="1324"/>
          </reference>
          <reference field="88" count="1">
            <x v="143"/>
          </reference>
        </references>
      </pivotArea>
    </format>
    <format dxfId="4216">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1964"/>
          </reference>
          <reference field="82" count="1" selected="0">
            <x v="369"/>
          </reference>
          <reference field="85" count="1" selected="0">
            <x v="7"/>
          </reference>
          <reference field="87" count="1" selected="0">
            <x v="1323"/>
          </reference>
          <reference field="88" count="1">
            <x v="142"/>
          </reference>
        </references>
      </pivotArea>
    </format>
    <format dxfId="4215">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210"/>
          </reference>
          <reference field="82" count="1" selected="0">
            <x v="617"/>
          </reference>
          <reference field="85" count="1" selected="0">
            <x v="4"/>
          </reference>
          <reference field="87" count="1" selected="0">
            <x v="1569"/>
          </reference>
          <reference field="88" count="1">
            <x v="390"/>
          </reference>
        </references>
      </pivotArea>
    </format>
    <format dxfId="4214">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211"/>
          </reference>
          <reference field="82" count="1" selected="0">
            <x v="618"/>
          </reference>
          <reference field="85" count="1" selected="0">
            <x v="4"/>
          </reference>
          <reference field="87" count="1" selected="0">
            <x v="1570"/>
          </reference>
          <reference field="88" count="1">
            <x v="391"/>
          </reference>
        </references>
      </pivotArea>
    </format>
    <format dxfId="4213">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212"/>
          </reference>
          <reference field="82" count="1" selected="0">
            <x v="619"/>
          </reference>
          <reference field="85" count="1" selected="0">
            <x v="4"/>
          </reference>
          <reference field="87" count="1" selected="0">
            <x v="1571"/>
          </reference>
          <reference field="88" count="1">
            <x v="392"/>
          </reference>
        </references>
      </pivotArea>
    </format>
    <format dxfId="4212">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2213"/>
          </reference>
          <reference field="82" count="1" selected="0">
            <x v="620"/>
          </reference>
          <reference field="85" count="1" selected="0">
            <x v="4"/>
          </reference>
          <reference field="87" count="1" selected="0">
            <x v="1572"/>
          </reference>
          <reference field="88" count="1">
            <x v="393"/>
          </reference>
        </references>
      </pivotArea>
    </format>
    <format dxfId="4211">
      <pivotArea dataOnly="0" labelOnly="1" outline="0" fieldPosition="0">
        <references count="14">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135"/>
          </reference>
          <reference field="82" count="1" selected="0">
            <x v="542"/>
          </reference>
          <reference field="85" count="1" selected="0">
            <x v="7"/>
          </reference>
          <reference field="87" count="1" selected="0">
            <x v="1494"/>
          </reference>
          <reference field="88" count="1">
            <x v="315"/>
          </reference>
        </references>
      </pivotArea>
    </format>
    <format dxfId="4210">
      <pivotArea dataOnly="0" labelOnly="1" outline="0" fieldPosition="0">
        <references count="14">
          <reference field="1" count="1" selected="0">
            <x v="50"/>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150"/>
          </reference>
          <reference field="82" count="1" selected="0">
            <x v="557"/>
          </reference>
          <reference field="85" count="1" selected="0">
            <x v="7"/>
          </reference>
          <reference field="87" count="1" selected="0">
            <x v="1509"/>
          </reference>
          <reference field="88" count="1">
            <x v="330"/>
          </reference>
        </references>
      </pivotArea>
    </format>
    <format dxfId="4209">
      <pivotArea field="13" type="button" dataOnly="0" labelOnly="1" outline="0" axis="axisRow" fieldPosition="6"/>
    </format>
    <format dxfId="4208">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4207">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5"/>
          </reference>
          <reference field="23" count="1" selected="0">
            <x v="2"/>
          </reference>
          <reference field="72" count="1" selected="0">
            <x v="12"/>
          </reference>
        </references>
      </pivotArea>
    </format>
    <format dxfId="4206">
      <pivotArea dataOnly="0" labelOnly="1" outline="0" fieldPosition="0">
        <references count="7">
          <reference field="1" count="1" selected="0">
            <x v="0"/>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54"/>
          </reference>
        </references>
      </pivotArea>
    </format>
    <format dxfId="4205">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4204">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5"/>
          </reference>
          <reference field="23" count="1" selected="0">
            <x v="2"/>
          </reference>
          <reference field="72" count="1" selected="0">
            <x v="10"/>
          </reference>
        </references>
      </pivotArea>
    </format>
    <format dxfId="4203">
      <pivotArea dataOnly="0" labelOnly="1" outline="0" fieldPosition="0">
        <references count="7">
          <reference field="1" count="1" selected="0">
            <x v="0"/>
          </reference>
          <reference field="2" count="1" selected="0">
            <x v="10"/>
          </reference>
          <reference field="3" count="1" selected="0">
            <x v="3"/>
          </reference>
          <reference field="5" count="1" selected="0">
            <x v="5"/>
          </reference>
          <reference field="13" count="1">
            <x v="2"/>
          </reference>
          <reference field="23" count="1" selected="0">
            <x v="0"/>
          </reference>
          <reference field="72" count="1" selected="0">
            <x v="121"/>
          </reference>
        </references>
      </pivotArea>
    </format>
    <format dxfId="4202">
      <pivotArea dataOnly="0" labelOnly="1" outline="0" fieldPosition="0">
        <references count="7">
          <reference field="1" count="1" selected="0">
            <x v="0"/>
          </reference>
          <reference field="2" count="1" selected="0">
            <x v="10"/>
          </reference>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4201">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4200">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4199">
      <pivotArea dataOnly="0" labelOnly="1" outline="0" fieldPosition="0">
        <references count="7">
          <reference field="1" count="1" selected="0">
            <x v="0"/>
          </reference>
          <reference field="2" count="1" selected="0">
            <x v="10"/>
          </reference>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4198">
      <pivotArea dataOnly="0" labelOnly="1" outline="0" fieldPosition="0">
        <references count="7">
          <reference field="1" count="1" selected="0">
            <x v="0"/>
          </reference>
          <reference field="2" count="1" selected="0">
            <x v="10"/>
          </reference>
          <reference field="3" count="1" selected="0">
            <x v="5"/>
          </reference>
          <reference field="5" count="1" selected="0">
            <x v="5"/>
          </reference>
          <reference field="13" count="1">
            <x v="2"/>
          </reference>
          <reference field="23" count="1" selected="0">
            <x v="0"/>
          </reference>
          <reference field="72" count="1" selected="0">
            <x v="121"/>
          </reference>
        </references>
      </pivotArea>
    </format>
    <format dxfId="4197">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4196">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4195">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4194">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4193">
      <pivotArea dataOnly="0" labelOnly="1" outline="0" fieldPosition="0">
        <references count="7">
          <reference field="1" count="1" selected="0">
            <x v="0"/>
          </reference>
          <reference field="2" count="1" selected="0">
            <x v="6"/>
          </reference>
          <reference field="3" count="1" selected="0">
            <x v="7"/>
          </reference>
          <reference field="5" count="1" selected="0">
            <x v="3"/>
          </reference>
          <reference field="13" count="1">
            <x v="1"/>
          </reference>
          <reference field="23" count="1" selected="0">
            <x v="2"/>
          </reference>
          <reference field="72" count="1" selected="0">
            <x v="44"/>
          </reference>
        </references>
      </pivotArea>
    </format>
    <format dxfId="4192">
      <pivotArea dataOnly="0" labelOnly="1" outline="0" fieldPosition="0">
        <references count="7">
          <reference field="1" count="1" selected="0">
            <x v="0"/>
          </reference>
          <reference field="2" count="1" selected="0">
            <x v="6"/>
          </reference>
          <reference field="3" count="1" selected="0">
            <x v="7"/>
          </reference>
          <reference field="5" count="1" selected="0">
            <x v="5"/>
          </reference>
          <reference field="13" count="1">
            <x v="2"/>
          </reference>
          <reference field="23" count="1" selected="0">
            <x v="0"/>
          </reference>
          <reference field="72" count="1" selected="0">
            <x v="121"/>
          </reference>
        </references>
      </pivotArea>
    </format>
    <format dxfId="4191">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86"/>
          </reference>
        </references>
      </pivotArea>
    </format>
    <format dxfId="4190">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12"/>
          </reference>
        </references>
      </pivotArea>
    </format>
    <format dxfId="4189">
      <pivotArea dataOnly="0" labelOnly="1" outline="0" fieldPosition="0">
        <references count="7">
          <reference field="1" count="1" selected="0">
            <x v="0"/>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54"/>
          </reference>
        </references>
      </pivotArea>
    </format>
    <format dxfId="4188">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4187">
      <pivotArea dataOnly="0" labelOnly="1" outline="0" fieldPosition="0">
        <references count="7">
          <reference field="1" count="1" selected="0">
            <x v="0"/>
          </reference>
          <reference field="2" count="1" selected="0">
            <x v="10"/>
          </reference>
          <reference field="3" count="1" selected="0">
            <x v="7"/>
          </reference>
          <reference field="5" count="1" selected="0">
            <x v="2"/>
          </reference>
          <reference field="13" count="1">
            <x v="2"/>
          </reference>
          <reference field="23" count="1" selected="0">
            <x v="2"/>
          </reference>
          <reference field="72" count="1" selected="0">
            <x v="40"/>
          </reference>
        </references>
      </pivotArea>
    </format>
    <format dxfId="4186">
      <pivotArea dataOnly="0" labelOnly="1" outline="0" fieldPosition="0">
        <references count="7">
          <reference field="1" count="1" selected="0">
            <x v="0"/>
          </reference>
          <reference field="2" count="1" selected="0">
            <x v="10"/>
          </reference>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4185">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4184">
      <pivotArea dataOnly="0" labelOnly="1" outline="0" fieldPosition="0">
        <references count="7">
          <reference field="1" count="1" selected="0">
            <x v="0"/>
          </reference>
          <reference field="2" count="1" selected="0">
            <x v="6"/>
          </reference>
          <reference field="3" count="1" selected="0">
            <x v="12"/>
          </reference>
          <reference field="5" count="1" selected="0">
            <x v="5"/>
          </reference>
          <reference field="13" count="1">
            <x v="2"/>
          </reference>
          <reference field="23" count="1" selected="0">
            <x v="0"/>
          </reference>
          <reference field="72" count="1" selected="0">
            <x v="121"/>
          </reference>
        </references>
      </pivotArea>
    </format>
    <format dxfId="4183">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86"/>
          </reference>
        </references>
      </pivotArea>
    </format>
    <format dxfId="4182">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5"/>
          </reference>
          <reference field="23" count="1" selected="0">
            <x v="2"/>
          </reference>
          <reference field="72" count="1" selected="0">
            <x v="12"/>
          </reference>
        </references>
      </pivotArea>
    </format>
    <format dxfId="4181">
      <pivotArea dataOnly="0" labelOnly="1" outline="0" fieldPosition="0">
        <references count="7">
          <reference field="1" count="1" selected="0">
            <x v="0"/>
          </reference>
          <reference field="2" count="1" selected="0">
            <x v="6"/>
          </reference>
          <reference field="3" count="1" selected="0">
            <x v="14"/>
          </reference>
          <reference field="5" count="1" selected="0">
            <x v="3"/>
          </reference>
          <reference field="13" count="1">
            <x v="1"/>
          </reference>
          <reference field="23" count="1" selected="0">
            <x v="2"/>
          </reference>
          <reference field="72" count="1" selected="0">
            <x v="49"/>
          </reference>
        </references>
      </pivotArea>
    </format>
    <format dxfId="4180">
      <pivotArea dataOnly="0" labelOnly="1" outline="0" fieldPosition="0">
        <references count="7">
          <reference field="1" count="1" selected="0">
            <x v="0"/>
          </reference>
          <reference field="2" count="1" selected="0">
            <x v="6"/>
          </reference>
          <reference field="3" count="1" selected="0">
            <x v="14"/>
          </reference>
          <reference field="5" count="1" selected="0">
            <x v="5"/>
          </reference>
          <reference field="13" count="1">
            <x v="2"/>
          </reference>
          <reference field="23" count="1" selected="0">
            <x v="0"/>
          </reference>
          <reference field="72" count="1" selected="0">
            <x v="121"/>
          </reference>
        </references>
      </pivotArea>
    </format>
    <format dxfId="4179">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4178">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5"/>
          </reference>
          <reference field="23" count="1" selected="0">
            <x v="2"/>
          </reference>
          <reference field="72" count="1" selected="0">
            <x v="12"/>
          </reference>
        </references>
      </pivotArea>
    </format>
    <format dxfId="4177">
      <pivotArea dataOnly="0" labelOnly="1" outline="0" fieldPosition="0">
        <references count="7">
          <reference field="1" count="1" selected="0">
            <x v="0"/>
          </reference>
          <reference field="2" count="1" selected="0">
            <x v="6"/>
          </reference>
          <reference field="3" count="1" selected="0">
            <x v="14"/>
          </reference>
          <reference field="5" count="1" selected="0">
            <x v="7"/>
          </reference>
          <reference field="13" count="1">
            <x v="0"/>
          </reference>
          <reference field="23" count="1" selected="0">
            <x v="2"/>
          </reference>
          <reference field="72" count="1" selected="0">
            <x v="54"/>
          </reference>
        </references>
      </pivotArea>
    </format>
    <format dxfId="4176">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4175">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5"/>
          </reference>
          <reference field="23" count="1" selected="0">
            <x v="2"/>
          </reference>
          <reference field="72" count="1" selected="0">
            <x v="10"/>
          </reference>
        </references>
      </pivotArea>
    </format>
    <format dxfId="4174">
      <pivotArea dataOnly="0" labelOnly="1" outline="0" fieldPosition="0">
        <references count="7">
          <reference field="1" count="1" selected="0">
            <x v="0"/>
          </reference>
          <reference field="2" count="1" selected="0">
            <x v="10"/>
          </reference>
          <reference field="3" count="1" selected="0">
            <x v="17"/>
          </reference>
          <reference field="5" count="1" selected="0">
            <x v="3"/>
          </reference>
          <reference field="13" count="1">
            <x v="1"/>
          </reference>
          <reference field="23" count="1" selected="0">
            <x v="2"/>
          </reference>
          <reference field="72" count="1" selected="0">
            <x v="20"/>
          </reference>
        </references>
      </pivotArea>
    </format>
    <format dxfId="4173">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1" selected="0">
            <x v="1"/>
          </reference>
          <reference field="72" count="1" selected="0">
            <x v="114"/>
          </reference>
        </references>
      </pivotArea>
    </format>
    <format dxfId="4172">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14"/>
          </reference>
        </references>
      </pivotArea>
    </format>
    <format dxfId="4171">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7"/>
          </reference>
        </references>
      </pivotArea>
    </format>
    <format dxfId="4170">
      <pivotArea dataOnly="0" labelOnly="1" outline="0" fieldPosition="0">
        <references count="7">
          <reference field="1" count="1" selected="0">
            <x v="1"/>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3"/>
          </reference>
        </references>
      </pivotArea>
    </format>
    <format dxfId="4169">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7"/>
          </reference>
        </references>
      </pivotArea>
    </format>
    <format dxfId="4168">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8"/>
          </reference>
        </references>
      </pivotArea>
    </format>
    <format dxfId="4167">
      <pivotArea dataOnly="0" labelOnly="1" outline="0" fieldPosition="0">
        <references count="7">
          <reference field="1" count="1" selected="0">
            <x v="1"/>
          </reference>
          <reference field="2" count="1" selected="0">
            <x v="3"/>
          </reference>
          <reference field="3" count="1" selected="0">
            <x v="7"/>
          </reference>
          <reference field="5" count="1" selected="0">
            <x v="12"/>
          </reference>
          <reference field="13" count="1">
            <x v="4"/>
          </reference>
          <reference field="23" count="1" selected="0">
            <x v="1"/>
          </reference>
          <reference field="72" count="1" selected="0">
            <x v="190"/>
          </reference>
        </references>
      </pivotArea>
    </format>
    <format dxfId="4166">
      <pivotArea dataOnly="0" labelOnly="1" outline="0" fieldPosition="0">
        <references count="7">
          <reference field="1" count="1" selected="0">
            <x v="1"/>
          </reference>
          <reference field="2" count="1" selected="0">
            <x v="3"/>
          </reference>
          <reference field="3" count="1" selected="0">
            <x v="14"/>
          </reference>
          <reference field="5" count="1" selected="0">
            <x v="3"/>
          </reference>
          <reference field="13" count="1">
            <x v="1"/>
          </reference>
          <reference field="23" count="1" selected="0">
            <x v="2"/>
          </reference>
          <reference field="72" count="1" selected="0">
            <x v="33"/>
          </reference>
        </references>
      </pivotArea>
    </format>
    <format dxfId="4165">
      <pivotArea dataOnly="0" labelOnly="1" outline="0" fieldPosition="0">
        <references count="7">
          <reference field="1" count="1" selected="0">
            <x v="1"/>
          </reference>
          <reference field="2" count="1" selected="0">
            <x v="3"/>
          </reference>
          <reference field="3" count="1" selected="0">
            <x v="14"/>
          </reference>
          <reference field="5" count="1" selected="0">
            <x v="6"/>
          </reference>
          <reference field="13" count="1">
            <x v="4"/>
          </reference>
          <reference field="23" count="1" selected="0">
            <x v="1"/>
          </reference>
          <reference field="72" count="1" selected="0">
            <x v="187"/>
          </reference>
        </references>
      </pivotArea>
    </format>
    <format dxfId="4164">
      <pivotArea dataOnly="0" labelOnly="1" outline="0" fieldPosition="0">
        <references count="7">
          <reference field="1" count="1" selected="0">
            <x v="2"/>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51"/>
          </reference>
        </references>
      </pivotArea>
    </format>
    <format dxfId="4163">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0"/>
          </reference>
        </references>
      </pivotArea>
    </format>
    <format dxfId="4162">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4161">
      <pivotArea dataOnly="0" labelOnly="1" outline="0" fieldPosition="0">
        <references count="7">
          <reference field="1" count="1" selected="0">
            <x v="2"/>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44"/>
          </reference>
        </references>
      </pivotArea>
    </format>
    <format dxfId="4160">
      <pivotArea dataOnly="0" labelOnly="1" outline="0" fieldPosition="0">
        <references count="7">
          <reference field="1" count="1" selected="0">
            <x v="2"/>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6"/>
          </reference>
        </references>
      </pivotArea>
    </format>
    <format dxfId="4159">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9"/>
          </reference>
        </references>
      </pivotArea>
    </format>
    <format dxfId="4158">
      <pivotArea dataOnly="0" labelOnly="1" outline="0" fieldPosition="0">
        <references count="7">
          <reference field="1" count="1" selected="0">
            <x v="3"/>
          </reference>
          <reference field="2" count="1" selected="0">
            <x v="3"/>
          </reference>
          <reference field="3" count="1" selected="0">
            <x v="0"/>
          </reference>
          <reference field="5" count="1" selected="0">
            <x v="1"/>
          </reference>
          <reference field="13" count="1">
            <x v="5"/>
          </reference>
          <reference field="23" count="1" selected="0">
            <x v="2"/>
          </reference>
          <reference field="72" count="1" selected="0">
            <x v="5"/>
          </reference>
        </references>
      </pivotArea>
    </format>
    <format dxfId="4157">
      <pivotArea dataOnly="0" labelOnly="1" outline="0" fieldPosition="0">
        <references count="7">
          <reference field="1" count="1" selected="0">
            <x v="3"/>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86"/>
          </reference>
        </references>
      </pivotArea>
    </format>
    <format dxfId="4156">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64"/>
          </reference>
        </references>
      </pivotArea>
    </format>
    <format dxfId="4155">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5"/>
          </reference>
        </references>
      </pivotArea>
    </format>
    <format dxfId="4154">
      <pivotArea dataOnly="0" labelOnly="1" outline="0" fieldPosition="0">
        <references count="7">
          <reference field="1" count="1" selected="0">
            <x v="3"/>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59"/>
          </reference>
        </references>
      </pivotArea>
    </format>
    <format dxfId="4153">
      <pivotArea dataOnly="0" labelOnly="1" outline="0" fieldPosition="0">
        <references count="7">
          <reference field="1" count="1" selected="0">
            <x v="3"/>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70"/>
          </reference>
        </references>
      </pivotArea>
    </format>
    <format dxfId="4152">
      <pivotArea dataOnly="0" labelOnly="1" outline="0" fieldPosition="0">
        <references count="7">
          <reference field="1" count="1" selected="0">
            <x v="3"/>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15"/>
          </reference>
        </references>
      </pivotArea>
    </format>
    <format dxfId="4151">
      <pivotArea dataOnly="0" labelOnly="1" outline="0" fieldPosition="0">
        <references count="7">
          <reference field="1" count="1" selected="0">
            <x v="4"/>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70"/>
          </reference>
        </references>
      </pivotArea>
    </format>
    <format dxfId="4150">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2"/>
          </reference>
        </references>
      </pivotArea>
    </format>
    <format dxfId="4149">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4148">
      <pivotArea dataOnly="0" labelOnly="1" outline="0" fieldPosition="0">
        <references count="7">
          <reference field="1" count="1" selected="0">
            <x v="4"/>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56"/>
          </reference>
        </references>
      </pivotArea>
    </format>
    <format dxfId="4147">
      <pivotArea dataOnly="0" labelOnly="1" outline="0" fieldPosition="0">
        <references count="7">
          <reference field="1" count="1" selected="0">
            <x v="4"/>
          </reference>
          <reference field="2" count="1" selected="0">
            <x v="3"/>
          </reference>
          <reference field="3" count="1" selected="0">
            <x v="7"/>
          </reference>
          <reference field="5" count="1" selected="0">
            <x v="4"/>
          </reference>
          <reference field="13" count="1">
            <x v="2"/>
          </reference>
          <reference field="23" count="1" selected="0">
            <x v="2"/>
          </reference>
          <reference field="72" count="1" selected="0">
            <x v="28"/>
          </reference>
        </references>
      </pivotArea>
    </format>
    <format dxfId="4146">
      <pivotArea dataOnly="0" labelOnly="1" outline="0" fieldPosition="0">
        <references count="7">
          <reference field="1" count="1" selected="0">
            <x v="4"/>
          </reference>
          <reference field="2" count="1" selected="0">
            <x v="3"/>
          </reference>
          <reference field="3" count="1" selected="0">
            <x v="12"/>
          </reference>
          <reference field="5" count="1" selected="0">
            <x v="3"/>
          </reference>
          <reference field="13" count="1">
            <x v="1"/>
          </reference>
          <reference field="23" count="1" selected="0">
            <x v="2"/>
          </reference>
          <reference field="72" count="1" selected="0">
            <x v="56"/>
          </reference>
        </references>
      </pivotArea>
    </format>
    <format dxfId="4145">
      <pivotArea dataOnly="0" labelOnly="1" outline="0" fieldPosition="0">
        <references count="7">
          <reference field="1" count="1" selected="0">
            <x v="5"/>
          </reference>
          <reference field="2" count="1" selected="0">
            <x v="8"/>
          </reference>
          <reference field="3" count="1" selected="0">
            <x v="5"/>
          </reference>
          <reference field="5" count="1" selected="0">
            <x v="6"/>
          </reference>
          <reference field="13" count="1">
            <x v="5"/>
          </reference>
          <reference field="23" count="1" selected="0">
            <x v="2"/>
          </reference>
          <reference field="72" count="1" selected="0">
            <x v="7"/>
          </reference>
        </references>
      </pivotArea>
    </format>
    <format dxfId="4144">
      <pivotArea dataOnly="0" labelOnly="1" outline="0" fieldPosition="0">
        <references count="7">
          <reference field="1" count="1" selected="0">
            <x v="6"/>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4"/>
          </reference>
        </references>
      </pivotArea>
    </format>
    <format dxfId="4143">
      <pivotArea dataOnly="0" labelOnly="1" outline="0" fieldPosition="0">
        <references count="7">
          <reference field="1" count="1" selected="0">
            <x v="7"/>
          </reference>
          <reference field="2" count="1" selected="0">
            <x v="4"/>
          </reference>
          <reference field="3" count="1" selected="0">
            <x v="0"/>
          </reference>
          <reference field="5" count="1" selected="0">
            <x v="5"/>
          </reference>
          <reference field="13" count="1">
            <x v="2"/>
          </reference>
          <reference field="23" count="1" selected="0">
            <x v="0"/>
          </reference>
          <reference field="72" count="1" selected="0">
            <x v="128"/>
          </reference>
        </references>
      </pivotArea>
    </format>
    <format dxfId="4142">
      <pivotArea dataOnly="0" labelOnly="1" outline="0" fieldPosition="0">
        <references count="7">
          <reference field="1" count="1" selected="0">
            <x v="7"/>
          </reference>
          <reference field="2" count="1" selected="0">
            <x v="5"/>
          </reference>
          <reference field="3" count="1" selected="0">
            <x v="0"/>
          </reference>
          <reference field="5" count="1" selected="0">
            <x v="7"/>
          </reference>
          <reference field="13" count="1">
            <x v="0"/>
          </reference>
          <reference field="23" count="1" selected="0">
            <x v="2"/>
          </reference>
          <reference field="72" count="1" selected="0">
            <x v="72"/>
          </reference>
        </references>
      </pivotArea>
    </format>
    <format dxfId="4141">
      <pivotArea dataOnly="0" labelOnly="1" outline="0" fieldPosition="0">
        <references count="7">
          <reference field="1" count="1" selected="0">
            <x v="7"/>
          </reference>
          <reference field="2" count="1" selected="0">
            <x v="4"/>
          </reference>
          <reference field="3" count="1" selected="0">
            <x v="7"/>
          </reference>
          <reference field="5" count="1" selected="0">
            <x v="5"/>
          </reference>
          <reference field="13" count="1">
            <x v="2"/>
          </reference>
          <reference field="23" count="1" selected="0">
            <x v="0"/>
          </reference>
          <reference field="72" count="1" selected="0">
            <x v="128"/>
          </reference>
        </references>
      </pivotArea>
    </format>
    <format dxfId="4140">
      <pivotArea dataOnly="0" labelOnly="1" outline="0" fieldPosition="0">
        <references count="7">
          <reference field="1" count="1" selected="0">
            <x v="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2"/>
          </reference>
        </references>
      </pivotArea>
    </format>
    <format dxfId="4139">
      <pivotArea dataOnly="0" labelOnly="1" outline="0" fieldPosition="0">
        <references count="7">
          <reference field="1" count="1" selected="0">
            <x v="7"/>
          </reference>
          <reference field="2" count="1" selected="0">
            <x v="4"/>
          </reference>
          <reference field="3" count="1" selected="0">
            <x v="14"/>
          </reference>
          <reference field="5" count="1" selected="0">
            <x v="5"/>
          </reference>
          <reference field="13" count="1">
            <x v="2"/>
          </reference>
          <reference field="23" count="1" selected="0">
            <x v="0"/>
          </reference>
          <reference field="72" count="1" selected="0">
            <x v="128"/>
          </reference>
        </references>
      </pivotArea>
    </format>
    <format dxfId="4138">
      <pivotArea dataOnly="0" labelOnly="1" outline="0" fieldPosition="0">
        <references count="7">
          <reference field="1" count="1" selected="0">
            <x v="7"/>
          </reference>
          <reference field="2" count="1" selected="0">
            <x v="5"/>
          </reference>
          <reference field="3" count="1" selected="0">
            <x v="14"/>
          </reference>
          <reference field="5" count="1" selected="0">
            <x v="7"/>
          </reference>
          <reference field="13" count="1">
            <x v="0"/>
          </reference>
          <reference field="23" count="1" selected="0">
            <x v="2"/>
          </reference>
          <reference field="72" count="1" selected="0">
            <x v="72"/>
          </reference>
        </references>
      </pivotArea>
    </format>
    <format dxfId="4137">
      <pivotArea dataOnly="0" labelOnly="1" outline="0" fieldPosition="0">
        <references count="7">
          <reference field="1" count="1" selected="0">
            <x v="7"/>
          </reference>
          <reference field="2" count="1" selected="0">
            <x v="4"/>
          </reference>
          <reference field="3" count="1" selected="0">
            <x v="17"/>
          </reference>
          <reference field="5" count="1" selected="0">
            <x v="5"/>
          </reference>
          <reference field="13" count="1">
            <x v="2"/>
          </reference>
          <reference field="23" count="1" selected="0">
            <x v="0"/>
          </reference>
          <reference field="72" count="1" selected="0">
            <x v="128"/>
          </reference>
        </references>
      </pivotArea>
    </format>
    <format dxfId="4136">
      <pivotArea dataOnly="0" labelOnly="1" outline="0" fieldPosition="0">
        <references count="7">
          <reference field="1" count="1" selected="0">
            <x v="8"/>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60"/>
          </reference>
        </references>
      </pivotArea>
    </format>
    <format dxfId="4135">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4134">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4133">
      <pivotArea dataOnly="0" labelOnly="1" outline="0" fieldPosition="0">
        <references count="7">
          <reference field="1" count="1" selected="0">
            <x v="9"/>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6"/>
          </reference>
        </references>
      </pivotArea>
    </format>
    <format dxfId="4132">
      <pivotArea dataOnly="0" labelOnly="1" outline="0" fieldPosition="0">
        <references count="7">
          <reference field="1" count="1" selected="0">
            <x v="9"/>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35"/>
          </reference>
        </references>
      </pivotArea>
    </format>
    <format dxfId="4131">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4130">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7"/>
          </reference>
        </references>
      </pivotArea>
    </format>
    <format dxfId="4129">
      <pivotArea dataOnly="0" labelOnly="1" outline="0" fieldPosition="0">
        <references count="7">
          <reference field="1" count="1" selected="0">
            <x v="9"/>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81"/>
          </reference>
        </references>
      </pivotArea>
    </format>
    <format dxfId="4128">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3"/>
          </reference>
        </references>
      </pivotArea>
    </format>
    <format dxfId="4127">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5"/>
          </reference>
          <reference field="23" count="1" selected="0">
            <x v="2"/>
          </reference>
          <reference field="72" count="1" selected="0">
            <x v="9"/>
          </reference>
        </references>
      </pivotArea>
    </format>
    <format dxfId="4126">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4125">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4124">
      <pivotArea dataOnly="0" labelOnly="1" outline="0" fieldPosition="0">
        <references count="7">
          <reference field="1" count="1" selected="0">
            <x v="12"/>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1"/>
          </reference>
        </references>
      </pivotArea>
    </format>
    <format dxfId="4123">
      <pivotArea dataOnly="0" labelOnly="1" outline="0" fieldPosition="0">
        <references count="7">
          <reference field="1" count="1" selected="0">
            <x v="12"/>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5"/>
          </reference>
        </references>
      </pivotArea>
    </format>
    <format dxfId="4122">
      <pivotArea dataOnly="0" labelOnly="1" outline="0" fieldPosition="0">
        <references count="7">
          <reference field="1" count="1" selected="0">
            <x v="12"/>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4121">
      <pivotArea dataOnly="0" labelOnly="1" outline="0" fieldPosition="0">
        <references count="7">
          <reference field="1" count="1" selected="0">
            <x v="12"/>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81"/>
          </reference>
        </references>
      </pivotArea>
    </format>
    <format dxfId="4120">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3"/>
          </reference>
        </references>
      </pivotArea>
    </format>
    <format dxfId="4119">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5"/>
          </reference>
          <reference field="23" count="1" selected="0">
            <x v="2"/>
          </reference>
          <reference field="72" count="1" selected="0">
            <x v="9"/>
          </reference>
        </references>
      </pivotArea>
    </format>
    <format dxfId="4118">
      <pivotArea dataOnly="0" labelOnly="1" outline="0" fieldPosition="0">
        <references count="7">
          <reference field="1" count="1" selected="0">
            <x v="13"/>
          </reference>
          <reference field="2" count="1" selected="0">
            <x v="10"/>
          </reference>
          <reference field="3" count="1" selected="0">
            <x v="4"/>
          </reference>
          <reference field="5" count="1" selected="0">
            <x v="0"/>
          </reference>
          <reference field="13" count="1">
            <x v="2"/>
          </reference>
          <reference field="23" count="1" selected="0">
            <x v="2"/>
          </reference>
          <reference field="72" count="1" selected="0">
            <x v="67"/>
          </reference>
        </references>
      </pivotArea>
    </format>
    <format dxfId="4117">
      <pivotArea dataOnly="0" labelOnly="1" outline="0" fieldPosition="0">
        <references count="7">
          <reference field="1" count="1" selected="0">
            <x v="15"/>
          </reference>
          <reference field="2" count="1" selected="0">
            <x v="5"/>
          </reference>
          <reference field="3" count="1" selected="0">
            <x v="5"/>
          </reference>
          <reference field="5" count="1" selected="0">
            <x v="3"/>
          </reference>
          <reference field="13" count="1">
            <x v="1"/>
          </reference>
          <reference field="23" count="1" selected="0">
            <x v="2"/>
          </reference>
          <reference field="72" count="1" selected="0">
            <x v="21"/>
          </reference>
        </references>
      </pivotArea>
    </format>
    <format dxfId="4116">
      <pivotArea dataOnly="0" labelOnly="1" outline="0" fieldPosition="0">
        <references count="7">
          <reference field="1" count="1" selected="0">
            <x v="15"/>
          </reference>
          <reference field="2" count="1" selected="0">
            <x v="5"/>
          </reference>
          <reference field="3" count="1" selected="0">
            <x v="5"/>
          </reference>
          <reference field="5" count="1" selected="0">
            <x v="4"/>
          </reference>
          <reference field="13" count="1">
            <x v="2"/>
          </reference>
          <reference field="23" count="1" selected="0">
            <x v="2"/>
          </reference>
          <reference field="72" count="1" selected="0">
            <x v="19"/>
          </reference>
        </references>
      </pivotArea>
    </format>
    <format dxfId="4115">
      <pivotArea dataOnly="0" labelOnly="1" outline="0" fieldPosition="0">
        <references count="7">
          <reference field="1" count="1" selected="0">
            <x v="16"/>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9"/>
          </reference>
        </references>
      </pivotArea>
    </format>
    <format dxfId="4114">
      <pivotArea dataOnly="0" labelOnly="1" outline="0" fieldPosition="0">
        <references count="7">
          <reference field="1" count="1" selected="0">
            <x v="16"/>
          </reference>
          <reference field="2" count="1" selected="0">
            <x v="5"/>
          </reference>
          <reference field="3" count="1" selected="0">
            <x v="7"/>
          </reference>
          <reference field="5" count="1" selected="0">
            <x v="4"/>
          </reference>
          <reference field="13" count="1">
            <x v="2"/>
          </reference>
          <reference field="23" count="1" selected="0">
            <x v="2"/>
          </reference>
          <reference field="72" count="1" selected="0">
            <x v="19"/>
          </reference>
        </references>
      </pivotArea>
    </format>
    <format dxfId="4113">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24"/>
          </reference>
        </references>
      </pivotArea>
    </format>
    <format dxfId="4112">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14"/>
          </reference>
        </references>
      </pivotArea>
    </format>
    <format dxfId="4111">
      <pivotArea dataOnly="0" labelOnly="1" outline="0" fieldPosition="0">
        <references count="7">
          <reference field="1" count="1" selected="0">
            <x v="1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0"/>
          </reference>
        </references>
      </pivotArea>
    </format>
    <format dxfId="4110">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13"/>
          </reference>
        </references>
      </pivotArea>
    </format>
    <format dxfId="4109">
      <pivotArea dataOnly="0" labelOnly="1" outline="0" fieldPosition="0">
        <references count="7">
          <reference field="1" count="1" selected="0">
            <x v="19"/>
          </reference>
          <reference field="2" count="1" selected="0">
            <x v="10"/>
          </reference>
          <reference field="3" count="1" selected="0">
            <x v="1"/>
          </reference>
          <reference field="5" count="1" selected="0">
            <x v="4"/>
          </reference>
          <reference field="13" count="1">
            <x v="2"/>
          </reference>
          <reference field="23" count="1" selected="0">
            <x v="2"/>
          </reference>
          <reference field="72" count="1" selected="0">
            <x v="185"/>
          </reference>
        </references>
      </pivotArea>
    </format>
    <format dxfId="4108">
      <pivotArea dataOnly="0" labelOnly="1" outline="0" fieldPosition="0">
        <references count="7">
          <reference field="1" count="1" selected="0">
            <x v="19"/>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36"/>
          </reference>
        </references>
      </pivotArea>
    </format>
    <format dxfId="4107">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6"/>
          </reference>
        </references>
      </pivotArea>
    </format>
    <format dxfId="4106">
      <pivotArea dataOnly="0" labelOnly="1" outline="0" fieldPosition="0">
        <references count="7">
          <reference field="1" count="1" selected="0">
            <x v="20"/>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98"/>
          </reference>
        </references>
      </pivotArea>
    </format>
    <format dxfId="4105">
      <pivotArea dataOnly="0" labelOnly="1" outline="0" fieldPosition="0">
        <references count="7">
          <reference field="1" count="1" selected="0">
            <x v="21"/>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36"/>
          </reference>
        </references>
      </pivotArea>
    </format>
    <format dxfId="4104">
      <pivotArea dataOnly="0" labelOnly="1" outline="0" fieldPosition="0">
        <references count="7">
          <reference field="1" count="1" selected="0">
            <x v="21"/>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11"/>
          </reference>
        </references>
      </pivotArea>
    </format>
    <format dxfId="4103">
      <pivotArea dataOnly="0" labelOnly="1" outline="0" fieldPosition="0">
        <references count="7">
          <reference field="1" count="1" selected="0">
            <x v="21"/>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36"/>
          </reference>
        </references>
      </pivotArea>
    </format>
    <format dxfId="4102">
      <pivotArea dataOnly="0" labelOnly="1" outline="0" fieldPosition="0">
        <references count="7">
          <reference field="1" count="1" selected="0">
            <x v="21"/>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1"/>
          </reference>
        </references>
      </pivotArea>
    </format>
    <format dxfId="4101">
      <pivotArea dataOnly="0" labelOnly="1" outline="0" fieldPosition="0">
        <references count="7">
          <reference field="1" count="1" selected="0">
            <x v="21"/>
          </reference>
          <reference field="2" count="1" selected="0">
            <x v="5"/>
          </reference>
          <reference field="3" count="1" selected="0">
            <x v="12"/>
          </reference>
          <reference field="5" count="1" selected="0">
            <x v="2"/>
          </reference>
          <reference field="13" count="1">
            <x v="2"/>
          </reference>
          <reference field="23" count="1" selected="0">
            <x v="2"/>
          </reference>
          <reference field="72" count="1" selected="0">
            <x v="36"/>
          </reference>
        </references>
      </pivotArea>
    </format>
    <format dxfId="4100">
      <pivotArea dataOnly="0" labelOnly="1" outline="0" fieldPosition="0">
        <references count="7">
          <reference field="1" count="1" selected="0">
            <x v="21"/>
          </reference>
          <reference field="2" count="1" selected="0">
            <x v="6"/>
          </reference>
          <reference field="3" count="1" selected="0">
            <x v="12"/>
          </reference>
          <reference field="5" count="1" selected="0">
            <x v="7"/>
          </reference>
          <reference field="13" count="1">
            <x v="0"/>
          </reference>
          <reference field="23" count="1" selected="0">
            <x v="2"/>
          </reference>
          <reference field="72" count="1" selected="0">
            <x v="11"/>
          </reference>
        </references>
      </pivotArea>
    </format>
    <format dxfId="4099">
      <pivotArea dataOnly="0" labelOnly="1" outline="0" fieldPosition="0">
        <references count="7">
          <reference field="1" count="1" selected="0">
            <x v="21"/>
          </reference>
          <reference field="2" count="1" selected="0">
            <x v="5"/>
          </reference>
          <reference field="3" count="1" selected="0">
            <x v="19"/>
          </reference>
          <reference field="5" count="1" selected="0">
            <x v="5"/>
          </reference>
          <reference field="13" count="1">
            <x v="2"/>
          </reference>
          <reference field="23" count="1" selected="0">
            <x v="0"/>
          </reference>
          <reference field="72" count="1" selected="0">
            <x v="132"/>
          </reference>
        </references>
      </pivotArea>
    </format>
    <format dxfId="4098">
      <pivotArea dataOnly="0" labelOnly="1" outline="0" fieldPosition="0">
        <references count="7">
          <reference field="1" count="1" selected="0">
            <x v="22"/>
          </reference>
          <reference field="2" count="1" selected="0">
            <x v="8"/>
          </reference>
          <reference field="3" count="1" selected="0">
            <x v="7"/>
          </reference>
          <reference field="5" count="1" selected="0">
            <x v="7"/>
          </reference>
          <reference field="13" count="1">
            <x v="0"/>
          </reference>
          <reference field="23" count="1" selected="0">
            <x v="2"/>
          </reference>
          <reference field="72" count="1" selected="0">
            <x v="56"/>
          </reference>
        </references>
      </pivotArea>
    </format>
    <format dxfId="4097">
      <pivotArea dataOnly="0" labelOnly="1" outline="0" fieldPosition="0">
        <references count="7">
          <reference field="1" count="1" selected="0">
            <x v="25"/>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31"/>
          </reference>
        </references>
      </pivotArea>
    </format>
    <format dxfId="4096">
      <pivotArea dataOnly="0" labelOnly="1" outline="0" fieldPosition="0">
        <references count="7">
          <reference field="1" count="1" selected="0">
            <x v="28"/>
          </reference>
          <reference field="2" count="1" selected="0">
            <x v="7"/>
          </reference>
          <reference field="3" count="1" selected="0">
            <x v="7"/>
          </reference>
          <reference field="5" count="1" selected="0">
            <x v="7"/>
          </reference>
          <reference field="13" count="1">
            <x v="0"/>
          </reference>
          <reference field="23" count="1" selected="0">
            <x v="2"/>
          </reference>
          <reference field="72" count="1" selected="0">
            <x v="49"/>
          </reference>
        </references>
      </pivotArea>
    </format>
    <format dxfId="4095">
      <pivotArea dataOnly="0" labelOnly="1" outline="0" fieldPosition="0">
        <references count="7">
          <reference field="1" count="1" selected="0">
            <x v="29"/>
          </reference>
          <reference field="2" count="1" selected="0">
            <x v="2"/>
          </reference>
          <reference field="3" count="1" selected="0">
            <x v="10"/>
          </reference>
          <reference field="5" count="1" selected="0">
            <x v="5"/>
          </reference>
          <reference field="13" count="1">
            <x v="2"/>
          </reference>
          <reference field="23" count="1" selected="0">
            <x v="0"/>
          </reference>
          <reference field="72" count="1" selected="0">
            <x v="112"/>
          </reference>
        </references>
      </pivotArea>
    </format>
    <format dxfId="4094">
      <pivotArea dataOnly="0" labelOnly="1" outline="0" fieldPosition="0">
        <references count="7">
          <reference field="1" count="1" selected="0">
            <x v="29"/>
          </reference>
          <reference field="2" count="1" selected="0">
            <x v="2"/>
          </reference>
          <reference field="3" count="1" selected="0">
            <x v="18"/>
          </reference>
          <reference field="5" count="1" selected="0">
            <x v="7"/>
          </reference>
          <reference field="13" count="1">
            <x v="0"/>
          </reference>
          <reference field="23" count="1" selected="0">
            <x v="2"/>
          </reference>
          <reference field="72" count="1" selected="0">
            <x v="3"/>
          </reference>
        </references>
      </pivotArea>
    </format>
    <format dxfId="4093">
      <pivotArea dataOnly="0" labelOnly="1" outline="0" fieldPosition="0">
        <references count="7">
          <reference field="1" count="1" selected="0">
            <x v="29"/>
          </reference>
          <reference field="2" count="1" selected="0">
            <x v="2"/>
          </reference>
          <reference field="3" count="1" selected="0">
            <x v="18"/>
          </reference>
          <reference field="5" count="1" selected="0">
            <x v="8"/>
          </reference>
          <reference field="13" count="1">
            <x v="2"/>
          </reference>
          <reference field="23" count="1" selected="0">
            <x v="0"/>
          </reference>
          <reference field="72" count="1" selected="0">
            <x v="160"/>
          </reference>
        </references>
      </pivotArea>
    </format>
    <format dxfId="4092">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4091">
      <pivotArea dataOnly="0" labelOnly="1" outline="0" fieldPosition="0">
        <references count="7">
          <reference field="1" count="1" selected="0">
            <x v="29"/>
          </reference>
          <reference field="2" count="1" selected="0">
            <x v="16"/>
          </reference>
          <reference field="3" count="1" selected="0">
            <x v="18"/>
          </reference>
          <reference field="5" count="1" selected="0">
            <x v="0"/>
          </reference>
          <reference field="13" count="1">
            <x v="2"/>
          </reference>
          <reference field="23" count="1" selected="0">
            <x v="2"/>
          </reference>
          <reference field="72" count="1" selected="0">
            <x v="159"/>
          </reference>
        </references>
      </pivotArea>
    </format>
    <format dxfId="4090">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4089">
      <pivotArea dataOnly="0" labelOnly="1" outline="0" fieldPosition="0">
        <references count="7">
          <reference field="1" count="1" selected="0">
            <x v="30"/>
          </reference>
          <reference field="2" count="1" selected="0">
            <x v="0"/>
          </reference>
          <reference field="3" count="1" selected="0">
            <x v="8"/>
          </reference>
          <reference field="5" count="1" selected="0">
            <x v="8"/>
          </reference>
          <reference field="13" count="1">
            <x v="2"/>
          </reference>
          <reference field="23" count="1" selected="0">
            <x v="0"/>
          </reference>
          <reference field="72" count="1" selected="0">
            <x v="125"/>
          </reference>
        </references>
      </pivotArea>
    </format>
    <format dxfId="4088">
      <pivotArea dataOnly="0" labelOnly="1" outline="0" fieldPosition="0">
        <references count="7">
          <reference field="1" count="1" selected="0">
            <x v="32"/>
          </reference>
          <reference field="2" count="1" selected="0">
            <x v="0"/>
          </reference>
          <reference field="3" count="1" selected="0">
            <x v="8"/>
          </reference>
          <reference field="5" count="1" selected="0">
            <x v="12"/>
          </reference>
          <reference field="13" count="1">
            <x v="5"/>
          </reference>
          <reference field="23" count="1" selected="0">
            <x v="2"/>
          </reference>
          <reference field="72" count="1" selected="0">
            <x v="81"/>
          </reference>
        </references>
      </pivotArea>
    </format>
    <format dxfId="4087">
      <pivotArea dataOnly="0" labelOnly="1" outline="0" fieldPosition="0">
        <references count="7">
          <reference field="1" count="1" selected="0">
            <x v="32"/>
          </reference>
          <reference field="2" count="1" selected="0">
            <x v="14"/>
          </reference>
          <reference field="3" count="1" selected="0">
            <x v="8"/>
          </reference>
          <reference field="5" count="1" selected="0">
            <x v="11"/>
          </reference>
          <reference field="13" count="1">
            <x v="2"/>
          </reference>
          <reference field="23" count="1" selected="0">
            <x v="3"/>
          </reference>
          <reference field="72" count="1" selected="0">
            <x v="33"/>
          </reference>
        </references>
      </pivotArea>
    </format>
    <format dxfId="4086">
      <pivotArea dataOnly="0" labelOnly="1" outline="0" fieldPosition="0">
        <references count="7">
          <reference field="1" count="1" selected="0">
            <x v="37"/>
          </reference>
          <reference field="2" count="1" selected="0">
            <x v="10"/>
          </reference>
          <reference field="3" count="1" selected="0">
            <x v="2"/>
          </reference>
          <reference field="5" count="1" selected="0">
            <x v="7"/>
          </reference>
          <reference field="13" count="1">
            <x v="0"/>
          </reference>
          <reference field="23" count="1" selected="0">
            <x v="2"/>
          </reference>
          <reference field="72" count="1" selected="0">
            <x v="47"/>
          </reference>
        </references>
      </pivotArea>
    </format>
    <format dxfId="4085">
      <pivotArea dataOnly="0" labelOnly="1" outline="0" fieldPosition="0">
        <references count="7">
          <reference field="1" count="1" selected="0">
            <x v="38"/>
          </reference>
          <reference field="2" count="1" selected="0">
            <x v="5"/>
          </reference>
          <reference field="3" count="1" selected="0">
            <x v="8"/>
          </reference>
          <reference field="5" count="1" selected="0">
            <x v="4"/>
          </reference>
          <reference field="13" count="1">
            <x v="2"/>
          </reference>
          <reference field="23" count="1" selected="0">
            <x v="2"/>
          </reference>
          <reference field="72" count="1" selected="0">
            <x v="82"/>
          </reference>
        </references>
      </pivotArea>
    </format>
    <format dxfId="4084">
      <pivotArea dataOnly="0" labelOnly="1" outline="0" fieldPosition="0">
        <references count="7">
          <reference field="1" count="1" selected="0">
            <x v="38"/>
          </reference>
          <reference field="2" count="1" selected="0">
            <x v="5"/>
          </reference>
          <reference field="3" count="1" selected="0">
            <x v="8"/>
          </reference>
          <reference field="5" count="1" selected="0">
            <x v="7"/>
          </reference>
          <reference field="13" count="1">
            <x v="0"/>
          </reference>
          <reference field="23" count="1" selected="0">
            <x v="2"/>
          </reference>
          <reference field="72" count="1" selected="0">
            <x v="90"/>
          </reference>
        </references>
      </pivotArea>
    </format>
    <format dxfId="4083">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136"/>
          </reference>
        </references>
      </pivotArea>
    </format>
    <format dxfId="4082">
      <pivotArea dataOnly="0" labelOnly="1" outline="0" fieldPosition="0">
        <references count="7">
          <reference field="1" count="1" selected="0">
            <x v="38"/>
          </reference>
          <reference field="2" count="1" selected="0">
            <x v="3"/>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4081">
      <pivotArea dataOnly="0" labelOnly="1" outline="0" fieldPosition="0">
        <references count="7">
          <reference field="1" count="1" selected="0">
            <x v="38"/>
          </reference>
          <reference field="2" count="1" selected="0">
            <x v="5"/>
          </reference>
          <reference field="3" count="1" selected="0">
            <x v="22"/>
          </reference>
          <reference field="5" count="1" selected="0">
            <x v="4"/>
          </reference>
          <reference field="13" count="1">
            <x v="2"/>
          </reference>
          <reference field="23" count="1" selected="0">
            <x v="2"/>
          </reference>
          <reference field="72" count="1" selected="0">
            <x v="82"/>
          </reference>
        </references>
      </pivotArea>
    </format>
    <format dxfId="4080">
      <pivotArea dataOnly="0" labelOnly="1" outline="0" fieldPosition="0">
        <references count="7">
          <reference field="1" count="1" selected="0">
            <x v="38"/>
          </reference>
          <reference field="2" count="1" selected="0">
            <x v="6"/>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4079">
      <pivotArea dataOnly="0" labelOnly="1" outline="0" fieldPosition="0">
        <references count="7">
          <reference field="1" count="1" selected="0">
            <x v="39"/>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63"/>
          </reference>
        </references>
      </pivotArea>
    </format>
    <format dxfId="4078">
      <pivotArea dataOnly="0" labelOnly="1" outline="0" fieldPosition="0">
        <references count="7">
          <reference field="1" count="1" selected="0">
            <x v="41"/>
          </reference>
          <reference field="2" count="1" selected="0">
            <x v="0"/>
          </reference>
          <reference field="3" count="1" selected="0">
            <x v="0"/>
          </reference>
          <reference field="5" count="1" selected="0">
            <x v="8"/>
          </reference>
          <reference field="13" count="1">
            <x v="2"/>
          </reference>
          <reference field="23" count="1" selected="0">
            <x v="0"/>
          </reference>
          <reference field="72" count="1" selected="0">
            <x v="107"/>
          </reference>
        </references>
      </pivotArea>
    </format>
    <format dxfId="4077">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5"/>
          </reference>
          <reference field="23" count="1" selected="0">
            <x v="2"/>
          </reference>
          <reference field="72" count="1" selected="0">
            <x v="170"/>
          </reference>
        </references>
      </pivotArea>
    </format>
    <format dxfId="4076">
      <pivotArea dataOnly="0" labelOnly="1" outline="0" fieldPosition="0">
        <references count="7">
          <reference field="1" count="1" selected="0">
            <x v="49"/>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7"/>
          </reference>
        </references>
      </pivotArea>
    </format>
    <format dxfId="4075">
      <pivotArea field="1" type="button" dataOnly="0" labelOnly="1" outline="0" axis="axisRow" fieldPosition="0"/>
    </format>
    <format dxfId="4074">
      <pivotArea field="5" type="button" dataOnly="0" labelOnly="1" outline="0" axis="axisRow" fieldPosition="3"/>
    </format>
    <format dxfId="4073">
      <pivotArea field="72" type="button" dataOnly="0" labelOnly="1" outline="0" axis="axisRow" fieldPosition="5"/>
    </format>
    <format dxfId="4072">
      <pivotArea field="81" type="button" dataOnly="0" labelOnly="1" outline="0" axis="axisRow" fieldPosition="8"/>
    </format>
    <format dxfId="4071">
      <pivotArea field="82" type="button" dataOnly="0" labelOnly="1" outline="0" axis="axisRow" fieldPosition="9"/>
    </format>
    <format dxfId="4070">
      <pivotArea field="87" type="button" dataOnly="0" labelOnly="1" outline="0" axis="axisRow" fieldPosition="12"/>
    </format>
    <format dxfId="4069">
      <pivotArea field="88" type="button" dataOnly="0" labelOnly="1" outline="0" axis="axisRow" fieldPosition="13"/>
    </format>
    <format dxfId="4068">
      <pivotArea field="73" type="button" dataOnly="0" labelOnly="1" outline="0" axis="axisRow" fieldPosition="14"/>
    </format>
    <format dxfId="4067">
      <pivotArea field="1" type="button" dataOnly="0" labelOnly="1" outline="0" axis="axisRow" fieldPosition="0"/>
    </format>
    <format dxfId="4066">
      <pivotArea field="3" type="button" dataOnly="0" labelOnly="1" outline="0" axis="axisRow" fieldPosition="1"/>
    </format>
    <format dxfId="4065">
      <pivotArea field="2" type="button" dataOnly="0" labelOnly="1" outline="0" axis="axisRow" fieldPosition="2"/>
    </format>
    <format dxfId="4064">
      <pivotArea field="5" type="button" dataOnly="0" labelOnly="1" outline="0" axis="axisRow" fieldPosition="3"/>
    </format>
    <format dxfId="4063">
      <pivotArea field="23" type="button" dataOnly="0" labelOnly="1" outline="0" axis="axisRow" fieldPosition="4"/>
    </format>
    <format dxfId="4062">
      <pivotArea field="72" type="button" dataOnly="0" labelOnly="1" outline="0" axis="axisRow" fieldPosition="5"/>
    </format>
    <format dxfId="4061">
      <pivotArea field="13" type="button" dataOnly="0" labelOnly="1" outline="0" axis="axisRow" fieldPosition="6"/>
    </format>
    <format dxfId="4060">
      <pivotArea field="22" type="button" dataOnly="0" labelOnly="1" outline="0" axis="axisRow" fieldPosition="7"/>
    </format>
    <format dxfId="4059">
      <pivotArea field="81" type="button" dataOnly="0" labelOnly="1" outline="0" axis="axisRow" fieldPosition="8"/>
    </format>
    <format dxfId="4058">
      <pivotArea field="82" type="button" dataOnly="0" labelOnly="1" outline="0" axis="axisRow" fieldPosition="9"/>
    </format>
    <format dxfId="4057">
      <pivotArea field="12" type="button" dataOnly="0" labelOnly="1" outline="0" axis="axisRow" fieldPosition="10"/>
    </format>
    <format dxfId="4056">
      <pivotArea field="85" type="button" dataOnly="0" labelOnly="1" outline="0" axis="axisRow" fieldPosition="11"/>
    </format>
    <format dxfId="4055">
      <pivotArea field="87" type="button" dataOnly="0" labelOnly="1" outline="0" axis="axisRow" fieldPosition="12"/>
    </format>
    <format dxfId="4054">
      <pivotArea field="88" type="button" dataOnly="0" labelOnly="1" outline="0" axis="axisRow" fieldPosition="13"/>
    </format>
    <format dxfId="4053">
      <pivotArea field="73" type="button" dataOnly="0" labelOnly="1" outline="0" axis="axisRow" fieldPosition="14"/>
    </format>
    <format dxfId="4052">
      <pivotArea dataOnly="0" labelOnly="1" outline="0" fieldPosition="0">
        <references count="8">
          <reference field="1" count="1" selected="0">
            <x v="32"/>
          </reference>
          <reference field="2" count="1" selected="0">
            <x v="14"/>
          </reference>
          <reference field="3" count="1" selected="0">
            <x v="8"/>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4051">
      <pivotArea dataOnly="0" labelOnly="1" outline="0" fieldPosition="0">
        <references count="11">
          <reference field="1" count="1" selected="0">
            <x v="0"/>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3728"/>
          </reference>
          <reference field="82" count="1" selected="0">
            <x v="2176"/>
          </reference>
        </references>
      </pivotArea>
    </format>
    <format dxfId="4050">
      <pivotArea dataOnly="0" labelOnly="1" outline="0" fieldPosition="0">
        <references count="11">
          <reference field="1" count="1" selected="0">
            <x v="0"/>
          </reference>
          <reference field="2" count="1" selected="0">
            <x v="6"/>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6"/>
          </reference>
        </references>
      </pivotArea>
    </format>
    <format dxfId="4049">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4"/>
          </reference>
        </references>
      </pivotArea>
    </format>
    <format dxfId="4048">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762"/>
          </reference>
          <reference field="82" count="1" selected="0">
            <x v="2311"/>
          </reference>
        </references>
      </pivotArea>
    </format>
    <format dxfId="4047">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6"/>
          </reference>
        </references>
      </pivotArea>
    </format>
    <format dxfId="4046">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3"/>
          </reference>
        </references>
      </pivotArea>
    </format>
    <format dxfId="4045">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6"/>
          </reference>
        </references>
      </pivotArea>
    </format>
    <format dxfId="4044">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3"/>
          </reference>
        </references>
      </pivotArea>
    </format>
    <format dxfId="4043">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6"/>
          </reference>
        </references>
      </pivotArea>
    </format>
    <format dxfId="4042">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3764"/>
          </reference>
          <reference field="82" count="1" selected="0">
            <x v="2228"/>
          </reference>
        </references>
      </pivotArea>
    </format>
    <format dxfId="4041">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4"/>
          </reference>
        </references>
      </pivotArea>
    </format>
    <format dxfId="4040">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762"/>
          </reference>
          <reference field="82" count="1" selected="0">
            <x v="2311"/>
          </reference>
        </references>
      </pivotArea>
    </format>
    <format dxfId="4039">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3711"/>
          </reference>
          <reference field="82" count="1" selected="0">
            <x v="2168"/>
          </reference>
        </references>
      </pivotArea>
    </format>
    <format dxfId="4038">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3728"/>
          </reference>
          <reference field="82" count="1" selected="0">
            <x v="2212"/>
          </reference>
        </references>
      </pivotArea>
    </format>
    <format dxfId="4037">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3"/>
          </reference>
        </references>
      </pivotArea>
    </format>
    <format dxfId="4036">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3711"/>
          </reference>
          <reference field="82" count="1" selected="0">
            <x v="2167"/>
          </reference>
        </references>
      </pivotArea>
    </format>
    <format dxfId="4035">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4"/>
          </reference>
        </references>
      </pivotArea>
    </format>
    <format dxfId="4034">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3767"/>
          </reference>
          <reference field="82" count="1" selected="0">
            <x v="2231"/>
          </reference>
        </references>
      </pivotArea>
    </format>
    <format dxfId="4033">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4"/>
          </reference>
        </references>
      </pivotArea>
    </format>
    <format dxfId="4032">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762"/>
          </reference>
          <reference field="82" count="1" selected="0">
            <x v="2311"/>
          </reference>
        </references>
      </pivotArea>
    </format>
    <format dxfId="4031">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6"/>
          </reference>
        </references>
      </pivotArea>
    </format>
    <format dxfId="4030">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3"/>
          </reference>
        </references>
      </pivotArea>
    </format>
    <format dxfId="4029">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3713"/>
          </reference>
          <reference field="82" count="1" selected="0">
            <x v="2154"/>
          </reference>
        </references>
      </pivotArea>
    </format>
    <format dxfId="4028">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3772"/>
          </reference>
          <reference field="82" count="1" selected="0">
            <x v="2239"/>
          </reference>
        </references>
      </pivotArea>
    </format>
    <format dxfId="4027">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3812"/>
          </reference>
          <reference field="82" count="1" selected="0">
            <x v="2288"/>
          </reference>
        </references>
      </pivotArea>
    </format>
    <format dxfId="4026">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3772"/>
          </reference>
          <reference field="82" count="1" selected="0">
            <x v="2239"/>
          </reference>
        </references>
      </pivotArea>
    </format>
    <format dxfId="4025">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3812"/>
          </reference>
          <reference field="82" count="1" selected="0">
            <x v="2288"/>
          </reference>
        </references>
      </pivotArea>
    </format>
    <format dxfId="4024">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3781"/>
          </reference>
          <reference field="82" count="1" selected="0">
            <x v="2248"/>
          </reference>
        </references>
      </pivotArea>
    </format>
    <format dxfId="4023">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3709"/>
          </reference>
          <reference field="82" count="1" selected="0">
            <x v="2149"/>
          </reference>
        </references>
      </pivotArea>
    </format>
    <format dxfId="4022">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3727"/>
          </reference>
          <reference field="82" count="1" selected="0">
            <x v="2204"/>
          </reference>
        </references>
      </pivotArea>
    </format>
    <format dxfId="4021">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3778"/>
          </reference>
          <reference field="82" count="1" selected="0">
            <x v="2245"/>
          </reference>
        </references>
      </pivotArea>
    </format>
    <format dxfId="4020">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3823"/>
          </reference>
          <reference field="82" count="1" selected="0">
            <x v="2301"/>
          </reference>
        </references>
      </pivotArea>
    </format>
    <format dxfId="4019">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3760"/>
          </reference>
          <reference field="82" count="1" selected="0">
            <x v="2223"/>
          </reference>
        </references>
      </pivotArea>
    </format>
    <format dxfId="4018">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3721"/>
          </reference>
          <reference field="82" count="1" selected="0">
            <x v="2165"/>
          </reference>
        </references>
      </pivotArea>
    </format>
    <format dxfId="4017">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3754"/>
          </reference>
          <reference field="82" count="1" selected="0">
            <x v="2208"/>
          </reference>
        </references>
      </pivotArea>
    </format>
    <format dxfId="4016">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3757"/>
          </reference>
          <reference field="82" count="1" selected="0">
            <x v="2219"/>
          </reference>
        </references>
      </pivotArea>
    </format>
    <format dxfId="4015">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selected="0">
            <x v="2150"/>
          </reference>
        </references>
      </pivotArea>
    </format>
    <format dxfId="4014">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3757"/>
          </reference>
          <reference field="82" count="1" selected="0">
            <x v="2219"/>
          </reference>
        </references>
      </pivotArea>
    </format>
    <format dxfId="4013">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3715"/>
          </reference>
          <reference field="82" count="1" selected="0">
            <x v="2156"/>
          </reference>
        </references>
      </pivotArea>
    </format>
    <format dxfId="4012">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3762"/>
          </reference>
          <reference field="82" count="1" selected="0">
            <x v="2225"/>
          </reference>
        </references>
      </pivotArea>
    </format>
    <format dxfId="4011">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3788"/>
          </reference>
          <reference field="82" count="1" selected="0">
            <x v="2270"/>
          </reference>
        </references>
      </pivotArea>
    </format>
    <format dxfId="4010">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3762"/>
          </reference>
          <reference field="82" count="1" selected="0">
            <x v="2225"/>
          </reference>
        </references>
      </pivotArea>
    </format>
    <format dxfId="4009">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3714"/>
          </reference>
          <reference field="82" count="1" selected="0">
            <x v="2292"/>
          </reference>
        </references>
      </pivotArea>
    </format>
    <format dxfId="4008">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59"/>
          </reference>
          <reference field="81" count="1" selected="0">
            <x v="3832"/>
          </reference>
          <reference field="82" count="1" selected="0">
            <x v="2323"/>
          </reference>
        </references>
      </pivotArea>
    </format>
    <format dxfId="4007">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3824"/>
          </reference>
          <reference field="82" count="1" selected="0">
            <x v="2302"/>
          </reference>
        </references>
      </pivotArea>
    </format>
    <format dxfId="4006">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3694"/>
          </reference>
          <reference field="82" count="1" selected="0">
            <x v="2133"/>
          </reference>
        </references>
      </pivotArea>
    </format>
    <format dxfId="4005">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3824"/>
          </reference>
          <reference field="82" count="1" selected="0">
            <x v="2302"/>
          </reference>
        </references>
      </pivotArea>
    </format>
    <format dxfId="4004">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3824"/>
          </reference>
          <reference field="82" count="1" selected="0">
            <x v="2302"/>
          </reference>
        </references>
      </pivotArea>
    </format>
    <format dxfId="4003">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3707"/>
          </reference>
          <reference field="82" count="1" selected="0">
            <x v="2227"/>
          </reference>
        </references>
      </pivotArea>
    </format>
    <format dxfId="4002">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3711"/>
          </reference>
          <reference field="82" count="1" selected="0">
            <x v="2151"/>
          </reference>
        </references>
      </pivotArea>
    </format>
    <format dxfId="4001">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3748"/>
          </reference>
          <reference field="82" count="1" selected="0">
            <x v="2198"/>
          </reference>
        </references>
      </pivotArea>
    </format>
    <format dxfId="4000">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3773"/>
          </reference>
          <reference field="82" count="1" selected="0">
            <x v="2258"/>
          </reference>
        </references>
      </pivotArea>
    </format>
    <format dxfId="3999">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3822"/>
          </reference>
          <reference field="82" count="1" selected="0">
            <x v="2299"/>
          </reference>
        </references>
      </pivotArea>
    </format>
    <format dxfId="3998">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3711"/>
          </reference>
          <reference field="82" count="1" selected="0">
            <x v="2151"/>
          </reference>
        </references>
      </pivotArea>
    </format>
    <format dxfId="3997">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3746"/>
          </reference>
          <reference field="82" count="1" selected="0">
            <x v="2194"/>
          </reference>
        </references>
      </pivotArea>
    </format>
    <format dxfId="3996">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3705"/>
          </reference>
          <reference field="82" count="1" selected="0">
            <x v="2259"/>
          </reference>
        </references>
      </pivotArea>
    </format>
    <format dxfId="3995">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3822"/>
          </reference>
          <reference field="82" count="1" selected="0">
            <x v="2299"/>
          </reference>
        </references>
      </pivotArea>
    </format>
    <format dxfId="3994">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3756"/>
          </reference>
          <reference field="82" count="1" selected="0">
            <x v="2210"/>
          </reference>
        </references>
      </pivotArea>
    </format>
    <format dxfId="3993">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3786"/>
          </reference>
          <reference field="82" count="1" selected="0">
            <x v="2253"/>
          </reference>
        </references>
      </pivotArea>
    </format>
    <format dxfId="3992">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3794"/>
          </reference>
          <reference field="82" count="1" selected="0">
            <x v="2265"/>
          </reference>
        </references>
      </pivotArea>
    </format>
    <format dxfId="3991">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3756"/>
          </reference>
          <reference field="82" count="1" selected="0">
            <x v="2210"/>
          </reference>
        </references>
      </pivotArea>
    </format>
    <format dxfId="3990">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3789"/>
          </reference>
          <reference field="82" count="1" selected="0">
            <x v="2256"/>
          </reference>
        </references>
      </pivotArea>
    </format>
    <format dxfId="3989">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3794"/>
          </reference>
          <reference field="82" count="1" selected="0">
            <x v="2265"/>
          </reference>
        </references>
      </pivotArea>
    </format>
    <format dxfId="3988">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3820"/>
          </reference>
          <reference field="82" count="1" selected="0">
            <x v="2297"/>
          </reference>
        </references>
      </pivotArea>
    </format>
    <format dxfId="3987">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68"/>
          </reference>
          <reference field="81" count="1" selected="0">
            <x v="3835"/>
          </reference>
          <reference field="82" count="1" selected="0">
            <x v="2326"/>
          </reference>
        </references>
      </pivotArea>
    </format>
    <format dxfId="3986">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3711"/>
          </reference>
          <reference field="82" count="1" selected="0">
            <x v="2161"/>
          </reference>
        </references>
      </pivotArea>
    </format>
    <format dxfId="3985">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3808"/>
          </reference>
          <reference field="82" count="1" selected="0">
            <x v="2283"/>
          </reference>
        </references>
      </pivotArea>
    </format>
    <format dxfId="3984">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3778"/>
          </reference>
          <reference field="82" count="1" selected="0">
            <x v="2341"/>
          </reference>
        </references>
      </pivotArea>
    </format>
    <format dxfId="3983">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3842"/>
          </reference>
          <reference field="82" count="1" selected="0">
            <x v="2344"/>
          </reference>
        </references>
      </pivotArea>
    </format>
    <format dxfId="3982">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703"/>
          </reference>
          <reference field="82" count="1" selected="0">
            <x v="2143"/>
          </reference>
        </references>
      </pivotArea>
    </format>
    <format dxfId="3981">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703"/>
          </reference>
          <reference field="82" count="1" selected="0">
            <x v="2143"/>
          </reference>
        </references>
      </pivotArea>
    </format>
    <format dxfId="3980">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703"/>
          </reference>
          <reference field="82" count="1" selected="0">
            <x v="2143"/>
          </reference>
        </references>
      </pivotArea>
    </format>
    <format dxfId="3979">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8"/>
          </reference>
          <reference field="81" count="1" selected="0">
            <x v="3841"/>
          </reference>
          <reference field="82" count="1" selected="0">
            <x v="2337"/>
          </reference>
        </references>
      </pivotArea>
    </format>
    <format dxfId="3978">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3806"/>
          </reference>
          <reference field="82" count="1" selected="0">
            <x v="2281"/>
          </reference>
        </references>
      </pivotArea>
    </format>
    <format dxfId="3977">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3735"/>
          </reference>
          <reference field="82" count="1" selected="0">
            <x v="2183"/>
          </reference>
        </references>
      </pivotArea>
    </format>
    <format dxfId="3976">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3699"/>
          </reference>
          <reference field="82" count="1" selected="0">
            <x v="2139"/>
          </reference>
        </references>
      </pivotArea>
    </format>
    <format dxfId="3975">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3843"/>
          </reference>
          <reference field="82" count="1" selected="0">
            <x v="2346"/>
          </reference>
        </references>
      </pivotArea>
    </format>
    <format dxfId="3974">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3726"/>
          </reference>
          <reference field="82" count="1" selected="0">
            <x v="2173"/>
          </reference>
        </references>
      </pivotArea>
    </format>
    <format dxfId="3973">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3845"/>
          </reference>
          <reference field="82" count="1" selected="0">
            <x v="2348"/>
          </reference>
        </references>
      </pivotArea>
    </format>
    <format dxfId="3972">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3846"/>
          </reference>
          <reference field="82" count="1" selected="0">
            <x v="2349"/>
          </reference>
        </references>
      </pivotArea>
    </format>
    <format dxfId="3971">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3722"/>
          </reference>
          <reference field="82" count="1" selected="0">
            <x v="2166"/>
          </reference>
        </references>
      </pivotArea>
    </format>
    <format dxfId="3970">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3847"/>
          </reference>
          <reference field="82" count="1" selected="0">
            <x v="2350"/>
          </reference>
        </references>
      </pivotArea>
    </format>
    <format dxfId="3969">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3698"/>
          </reference>
          <reference field="82" count="1" selected="0">
            <x v="2138"/>
          </reference>
        </references>
      </pivotArea>
    </format>
    <format dxfId="3968">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3775"/>
          </reference>
          <reference field="82" count="1" selected="0">
            <x v="2343"/>
          </reference>
        </references>
      </pivotArea>
    </format>
    <format dxfId="3967">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3799"/>
          </reference>
          <reference field="82" count="1" selected="0">
            <x v="2273"/>
          </reference>
        </references>
      </pivotArea>
    </format>
    <format dxfId="3966">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3844"/>
          </reference>
          <reference field="82" count="1" selected="0">
            <x v="2347"/>
          </reference>
        </references>
      </pivotArea>
    </format>
    <format dxfId="3965">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3725"/>
          </reference>
          <reference field="82" count="1" selected="0">
            <x v="2172"/>
          </reference>
        </references>
      </pivotArea>
    </format>
    <format dxfId="3964">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3724"/>
          </reference>
          <reference field="82" count="1" selected="0">
            <x v="2170"/>
          </reference>
        </references>
      </pivotArea>
    </format>
    <format dxfId="3963">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3799"/>
          </reference>
          <reference field="82" count="1" selected="0">
            <x v="2273"/>
          </reference>
        </references>
      </pivotArea>
    </format>
    <format dxfId="3962">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3724"/>
          </reference>
          <reference field="82" count="1" selected="0">
            <x v="2171"/>
          </reference>
        </references>
      </pivotArea>
    </format>
    <format dxfId="3961">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3759"/>
          </reference>
          <reference field="82" count="1" selected="0">
            <x v="2336"/>
          </reference>
        </references>
      </pivotArea>
    </format>
    <format dxfId="3960">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3817"/>
          </reference>
          <reference field="82" count="1" selected="0">
            <x v="2294"/>
          </reference>
        </references>
      </pivotArea>
    </format>
    <format dxfId="3959">
      <pivotArea dataOnly="0" labelOnly="1" outline="0" fieldPosition="0">
        <references count="11">
          <reference field="1" count="1" selected="0">
            <x v="49"/>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9"/>
          </reference>
          <reference field="81" count="1" selected="0">
            <x v="3832"/>
          </reference>
          <reference field="82" count="1" selected="0">
            <x v="2323"/>
          </reference>
        </references>
      </pivotArea>
    </format>
    <format dxfId="3958">
      <pivotArea dataOnly="0" labelOnly="1" outline="0" fieldPosition="0">
        <references count="12">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728"/>
          </reference>
          <reference field="82" count="1" selected="0">
            <x v="2176"/>
          </reference>
          <reference field="85" count="1">
            <x v="4"/>
          </reference>
        </references>
      </pivotArea>
    </format>
    <format dxfId="3957">
      <pivotArea dataOnly="0" labelOnly="1" outline="0" fieldPosition="0">
        <references count="12">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6"/>
          </reference>
          <reference field="85" count="1">
            <x v="0"/>
          </reference>
        </references>
      </pivotArea>
    </format>
    <format dxfId="3956">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4"/>
          </reference>
          <reference field="85" count="1">
            <x v="7"/>
          </reference>
        </references>
      </pivotArea>
    </format>
    <format dxfId="3955">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762"/>
          </reference>
          <reference field="82" count="1" selected="0">
            <x v="2311"/>
          </reference>
          <reference field="85" count="1">
            <x v="4"/>
          </reference>
        </references>
      </pivotArea>
    </format>
    <format dxfId="3954">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6"/>
          </reference>
          <reference field="85" count="1">
            <x v="7"/>
          </reference>
        </references>
      </pivotArea>
    </format>
    <format dxfId="3953">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3"/>
          </reference>
          <reference field="85" count="1">
            <x v="0"/>
          </reference>
        </references>
      </pivotArea>
    </format>
    <format dxfId="3952">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6"/>
          </reference>
          <reference field="85" count="1">
            <x v="7"/>
          </reference>
        </references>
      </pivotArea>
    </format>
    <format dxfId="3951">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3"/>
          </reference>
          <reference field="85" count="1">
            <x v="0"/>
          </reference>
        </references>
      </pivotArea>
    </format>
    <format dxfId="3950">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6"/>
          </reference>
          <reference field="85" count="1">
            <x v="7"/>
          </reference>
        </references>
      </pivotArea>
    </format>
    <format dxfId="3949">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3764"/>
          </reference>
          <reference field="82" count="1" selected="0">
            <x v="2228"/>
          </reference>
          <reference field="85" count="1">
            <x v="0"/>
          </reference>
        </references>
      </pivotArea>
    </format>
    <format dxfId="3948">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4"/>
          </reference>
          <reference field="85" count="1">
            <x v="7"/>
          </reference>
        </references>
      </pivotArea>
    </format>
    <format dxfId="3947">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762"/>
          </reference>
          <reference field="82" count="1" selected="0">
            <x v="2311"/>
          </reference>
          <reference field="85" count="1">
            <x v="4"/>
          </reference>
        </references>
      </pivotArea>
    </format>
    <format dxfId="3946">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711"/>
          </reference>
          <reference field="82" count="1" selected="0">
            <x v="2168"/>
          </reference>
          <reference field="85" count="1">
            <x v="7"/>
          </reference>
        </references>
      </pivotArea>
    </format>
    <format dxfId="3945">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728"/>
          </reference>
          <reference field="82" count="1" selected="0">
            <x v="2212"/>
          </reference>
          <reference field="85" count="1">
            <x v="4"/>
          </reference>
        </references>
      </pivotArea>
    </format>
    <format dxfId="3944">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3"/>
          </reference>
          <reference field="85" count="1">
            <x v="0"/>
          </reference>
        </references>
      </pivotArea>
    </format>
    <format dxfId="3943">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711"/>
          </reference>
          <reference field="82" count="1" selected="0">
            <x v="2167"/>
          </reference>
          <reference field="85" count="1">
            <x v="7"/>
          </reference>
        </references>
      </pivotArea>
    </format>
    <format dxfId="3942">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4"/>
          </reference>
          <reference field="85" count="1">
            <x v="7"/>
          </reference>
        </references>
      </pivotArea>
    </format>
    <format dxfId="3941">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767"/>
          </reference>
          <reference field="82" count="1" selected="0">
            <x v="2231"/>
          </reference>
          <reference field="85" count="1">
            <x v="0"/>
          </reference>
        </references>
      </pivotArea>
    </format>
    <format dxfId="3940">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4"/>
          </reference>
          <reference field="85" count="1">
            <x v="7"/>
          </reference>
        </references>
      </pivotArea>
    </format>
    <format dxfId="3939">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762"/>
          </reference>
          <reference field="82" count="1" selected="0">
            <x v="2311"/>
          </reference>
          <reference field="85" count="1">
            <x v="4"/>
          </reference>
        </references>
      </pivotArea>
    </format>
    <format dxfId="3938">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6"/>
          </reference>
          <reference field="85" count="1">
            <x v="7"/>
          </reference>
        </references>
      </pivotArea>
    </format>
    <format dxfId="3937">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3"/>
          </reference>
          <reference field="85" count="1">
            <x v="0"/>
          </reference>
        </references>
      </pivotArea>
    </format>
    <format dxfId="3936">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3713"/>
          </reference>
          <reference field="82" count="1" selected="0">
            <x v="2154"/>
          </reference>
          <reference field="85" count="1">
            <x v="7"/>
          </reference>
        </references>
      </pivotArea>
    </format>
    <format dxfId="3935">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772"/>
          </reference>
          <reference field="82" count="1" selected="0">
            <x v="2239"/>
          </reference>
          <reference field="85" count="1">
            <x v="0"/>
          </reference>
        </references>
      </pivotArea>
    </format>
    <format dxfId="3934">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812"/>
          </reference>
          <reference field="82" count="1" selected="0">
            <x v="2288"/>
          </reference>
          <reference field="85" count="1">
            <x v="7"/>
          </reference>
        </references>
      </pivotArea>
    </format>
    <format dxfId="3933">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772"/>
          </reference>
          <reference field="82" count="1" selected="0">
            <x v="2239"/>
          </reference>
          <reference field="85" count="1">
            <x v="0"/>
          </reference>
        </references>
      </pivotArea>
    </format>
    <format dxfId="3932">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812"/>
          </reference>
          <reference field="82" count="1" selected="0">
            <x v="2288"/>
          </reference>
          <reference field="85" count="1">
            <x v="7"/>
          </reference>
        </references>
      </pivotArea>
    </format>
    <format dxfId="3931">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3781"/>
          </reference>
          <reference field="82" count="1" selected="0">
            <x v="2248"/>
          </reference>
          <reference field="85" count="1">
            <x v="0"/>
          </reference>
        </references>
      </pivotArea>
    </format>
    <format dxfId="3930">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3709"/>
          </reference>
          <reference field="82" count="1" selected="0">
            <x v="2149"/>
          </reference>
          <reference field="85" count="1">
            <x v="7"/>
          </reference>
        </references>
      </pivotArea>
    </format>
    <format dxfId="3929">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3727"/>
          </reference>
          <reference field="82" count="1" selected="0">
            <x v="2204"/>
          </reference>
          <reference field="85" count="1">
            <x v="4"/>
          </reference>
        </references>
      </pivotArea>
    </format>
    <format dxfId="3928">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3778"/>
          </reference>
          <reference field="82" count="1" selected="0">
            <x v="2245"/>
          </reference>
          <reference field="85" count="1">
            <x v="0"/>
          </reference>
        </references>
      </pivotArea>
    </format>
    <format dxfId="3927">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823"/>
          </reference>
          <reference field="82" count="1" selected="0">
            <x v="2301"/>
          </reference>
          <reference field="85" count="1">
            <x v="7"/>
          </reference>
        </references>
      </pivotArea>
    </format>
    <format dxfId="3926">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3760"/>
          </reference>
          <reference field="82" count="1" selected="0">
            <x v="2223"/>
          </reference>
          <reference field="85" count="1">
            <x v="0"/>
          </reference>
        </references>
      </pivotArea>
    </format>
    <format dxfId="3925">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3721"/>
          </reference>
          <reference field="82" count="1" selected="0">
            <x v="2165"/>
          </reference>
          <reference field="85" count="1">
            <x v="7"/>
          </reference>
        </references>
      </pivotArea>
    </format>
    <format dxfId="3924">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3754"/>
          </reference>
          <reference field="82" count="1" selected="0">
            <x v="2208"/>
          </reference>
          <reference field="85" count="1">
            <x v="4"/>
          </reference>
        </references>
      </pivotArea>
    </format>
    <format dxfId="3923">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757"/>
          </reference>
          <reference field="82" count="1" selected="0">
            <x v="2219"/>
          </reference>
          <reference field="85" count="1">
            <x v="0"/>
          </reference>
        </references>
      </pivotArea>
    </format>
    <format dxfId="3922">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selected="0">
            <x v="2150"/>
          </reference>
          <reference field="85" count="1">
            <x v="7"/>
          </reference>
        </references>
      </pivotArea>
    </format>
    <format dxfId="3921">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757"/>
          </reference>
          <reference field="82" count="1" selected="0">
            <x v="2219"/>
          </reference>
          <reference field="85" count="1">
            <x v="0"/>
          </reference>
        </references>
      </pivotArea>
    </format>
    <format dxfId="3920">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3715"/>
          </reference>
          <reference field="82" count="1" selected="0">
            <x v="2156"/>
          </reference>
          <reference field="85" count="1">
            <x v="7"/>
          </reference>
        </references>
      </pivotArea>
    </format>
    <format dxfId="3919">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762"/>
          </reference>
          <reference field="82" count="1" selected="0">
            <x v="2225"/>
          </reference>
          <reference field="85" count="1">
            <x v="0"/>
          </reference>
        </references>
      </pivotArea>
    </format>
    <format dxfId="3918">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788"/>
          </reference>
          <reference field="82" count="1" selected="0">
            <x v="2270"/>
          </reference>
          <reference field="85" count="1">
            <x v="2"/>
          </reference>
        </references>
      </pivotArea>
    </format>
    <format dxfId="3917">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762"/>
          </reference>
          <reference field="82" count="1" selected="0">
            <x v="2225"/>
          </reference>
          <reference field="85" count="1">
            <x v="0"/>
          </reference>
        </references>
      </pivotArea>
    </format>
    <format dxfId="3916">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714"/>
          </reference>
          <reference field="82" count="1" selected="0">
            <x v="2292"/>
          </reference>
          <reference field="85" count="1">
            <x v="7"/>
          </reference>
        </references>
      </pivotArea>
    </format>
    <format dxfId="3915">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3832"/>
          </reference>
          <reference field="82" count="1" selected="0">
            <x v="2323"/>
          </reference>
          <reference field="85" count="1">
            <x v="4"/>
          </reference>
        </references>
      </pivotArea>
    </format>
    <format dxfId="3914">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824"/>
          </reference>
          <reference field="82" count="1" selected="0">
            <x v="2302"/>
          </reference>
          <reference field="85" count="1">
            <x v="4"/>
          </reference>
        </references>
      </pivotArea>
    </format>
    <format dxfId="3913">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3694"/>
          </reference>
          <reference field="82" count="1" selected="0">
            <x v="2133"/>
          </reference>
          <reference field="85" count="1">
            <x v="3"/>
          </reference>
        </references>
      </pivotArea>
    </format>
    <format dxfId="3912">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824"/>
          </reference>
          <reference field="82" count="1" selected="0">
            <x v="2302"/>
          </reference>
          <reference field="85" count="1">
            <x v="4"/>
          </reference>
        </references>
      </pivotArea>
    </format>
    <format dxfId="3911">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824"/>
          </reference>
          <reference field="82" count="1" selected="0">
            <x v="2302"/>
          </reference>
          <reference field="85" count="1">
            <x v="4"/>
          </reference>
        </references>
      </pivotArea>
    </format>
    <format dxfId="3910">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3707"/>
          </reference>
          <reference field="82" count="1" selected="0">
            <x v="2227"/>
          </reference>
          <reference field="85" count="1">
            <x v="0"/>
          </reference>
        </references>
      </pivotArea>
    </format>
    <format dxfId="3909">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711"/>
          </reference>
          <reference field="82" count="1" selected="0">
            <x v="2151"/>
          </reference>
          <reference field="85" count="1">
            <x v="7"/>
          </reference>
        </references>
      </pivotArea>
    </format>
    <format dxfId="3908">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3748"/>
          </reference>
          <reference field="82" count="1" selected="0">
            <x v="2198"/>
          </reference>
          <reference field="85" count="1">
            <x v="4"/>
          </reference>
        </references>
      </pivotArea>
    </format>
    <format dxfId="3907">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773"/>
          </reference>
          <reference field="82" count="1" selected="0">
            <x v="2258"/>
          </reference>
          <reference field="85" count="1">
            <x v="0"/>
          </reference>
        </references>
      </pivotArea>
    </format>
    <format dxfId="3906">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822"/>
          </reference>
          <reference field="82" count="1" selected="0">
            <x v="2299"/>
          </reference>
          <reference field="85" count="1">
            <x v="7"/>
          </reference>
        </references>
      </pivotArea>
    </format>
    <format dxfId="3905">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3703"/>
          </reference>
          <reference field="82" count="1" selected="0">
            <x v="2143"/>
          </reference>
          <reference field="85" count="1">
            <x v="3"/>
          </reference>
        </references>
      </pivotArea>
    </format>
    <format dxfId="3904">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711"/>
          </reference>
          <reference field="82" count="1" selected="0">
            <x v="2151"/>
          </reference>
          <reference field="85" count="1">
            <x v="7"/>
          </reference>
        </references>
      </pivotArea>
    </format>
    <format dxfId="3903">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3746"/>
          </reference>
          <reference field="82" count="1" selected="0">
            <x v="2194"/>
          </reference>
          <reference field="85" count="1">
            <x v="4"/>
          </reference>
        </references>
      </pivotArea>
    </format>
    <format dxfId="3902">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3705"/>
          </reference>
          <reference field="82" count="1" selected="0">
            <x v="2259"/>
          </reference>
          <reference field="85" count="1">
            <x v="0"/>
          </reference>
        </references>
      </pivotArea>
    </format>
    <format dxfId="3901">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822"/>
          </reference>
          <reference field="82" count="1" selected="0">
            <x v="2299"/>
          </reference>
          <reference field="85" count="1">
            <x v="7"/>
          </reference>
        </references>
      </pivotArea>
    </format>
    <format dxfId="3900">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3708"/>
          </reference>
          <reference field="82" count="1" selected="0">
            <x v="2148"/>
          </reference>
          <reference field="85" count="1">
            <x v="3"/>
          </reference>
        </references>
      </pivotArea>
    </format>
    <format dxfId="3899">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711"/>
          </reference>
          <reference field="82" count="1" selected="0">
            <x v="2151"/>
          </reference>
          <reference field="85" count="1">
            <x v="7"/>
          </reference>
        </references>
      </pivotArea>
    </format>
    <format dxfId="3898">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3693"/>
          </reference>
          <reference field="82" count="1" selected="0">
            <x v="2137"/>
          </reference>
          <reference field="85" count="1">
            <x v="3"/>
          </reference>
        </references>
      </pivotArea>
    </format>
    <format dxfId="3897">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756"/>
          </reference>
          <reference field="82" count="1" selected="0">
            <x v="2210"/>
          </reference>
          <reference field="85" count="1">
            <x v="4"/>
          </reference>
        </references>
      </pivotArea>
    </format>
    <format dxfId="3896">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3786"/>
          </reference>
          <reference field="82" count="1" selected="0">
            <x v="2253"/>
          </reference>
          <reference field="85" count="1">
            <x v="0"/>
          </reference>
        </references>
      </pivotArea>
    </format>
    <format dxfId="3895">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794"/>
          </reference>
          <reference field="82" count="1" selected="0">
            <x v="2265"/>
          </reference>
          <reference field="85" count="1">
            <x v="2"/>
          </reference>
        </references>
      </pivotArea>
    </format>
    <format dxfId="3894">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756"/>
          </reference>
          <reference field="82" count="1" selected="0">
            <x v="2210"/>
          </reference>
          <reference field="85" count="1">
            <x v="4"/>
          </reference>
        </references>
      </pivotArea>
    </format>
    <format dxfId="3893">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3789"/>
          </reference>
          <reference field="82" count="1" selected="0">
            <x v="2256"/>
          </reference>
          <reference field="85" count="1">
            <x v="0"/>
          </reference>
        </references>
      </pivotArea>
    </format>
    <format dxfId="3892">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794"/>
          </reference>
          <reference field="82" count="1" selected="0">
            <x v="2265"/>
          </reference>
          <reference field="85" count="1">
            <x v="2"/>
          </reference>
        </references>
      </pivotArea>
    </format>
    <format dxfId="3891">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820"/>
          </reference>
          <reference field="82" count="1" selected="0">
            <x v="2297"/>
          </reference>
          <reference field="85" count="1">
            <x v="7"/>
          </reference>
        </references>
      </pivotArea>
    </format>
    <format dxfId="3890">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3835"/>
          </reference>
          <reference field="82" count="1" selected="0">
            <x v="2326"/>
          </reference>
          <reference field="85" count="1">
            <x v="4"/>
          </reference>
        </references>
      </pivotArea>
    </format>
    <format dxfId="3889">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3711"/>
          </reference>
          <reference field="82" count="1" selected="0">
            <x v="2161"/>
          </reference>
          <reference field="85" count="1">
            <x v="7"/>
          </reference>
        </references>
      </pivotArea>
    </format>
    <format dxfId="3888">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808"/>
          </reference>
          <reference field="82" count="1" selected="0">
            <x v="2283"/>
          </reference>
          <reference field="85" count="1">
            <x v="2"/>
          </reference>
        </references>
      </pivotArea>
    </format>
    <format dxfId="3887">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778"/>
          </reference>
          <reference field="82" count="1" selected="0">
            <x v="2341"/>
          </reference>
          <reference field="85" count="1">
            <x v="4"/>
          </reference>
        </references>
      </pivotArea>
    </format>
    <format dxfId="3886">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842"/>
          </reference>
          <reference field="82" count="1" selected="0">
            <x v="2344"/>
          </reference>
          <reference field="85" count="1">
            <x v="4"/>
          </reference>
        </references>
      </pivotArea>
    </format>
    <format dxfId="3885">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703"/>
          </reference>
          <reference field="82" count="1" selected="0">
            <x v="2143"/>
          </reference>
          <reference field="85" count="1">
            <x v="4"/>
          </reference>
        </references>
      </pivotArea>
    </format>
    <format dxfId="3884">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703"/>
          </reference>
          <reference field="82" count="1" selected="0">
            <x v="2143"/>
          </reference>
          <reference field="85" count="1">
            <x v="4"/>
          </reference>
        </references>
      </pivotArea>
    </format>
    <format dxfId="3883">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703"/>
          </reference>
          <reference field="82" count="1" selected="0">
            <x v="2143"/>
          </reference>
          <reference field="85" count="1">
            <x v="4"/>
          </reference>
        </references>
      </pivotArea>
    </format>
    <format dxfId="3882">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3841"/>
          </reference>
          <reference field="82" count="1" selected="0">
            <x v="2337"/>
          </reference>
          <reference field="85" count="1">
            <x v="4"/>
          </reference>
        </references>
      </pivotArea>
    </format>
    <format dxfId="3881">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735"/>
          </reference>
          <reference field="82" count="1" selected="0">
            <x v="2183"/>
          </reference>
          <reference field="85" count="1">
            <x v="4"/>
          </reference>
        </references>
      </pivotArea>
    </format>
    <format dxfId="3880">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3699"/>
          </reference>
          <reference field="82" count="1" selected="0">
            <x v="2139"/>
          </reference>
          <reference field="85" count="1">
            <x v="3"/>
          </reference>
        </references>
      </pivotArea>
    </format>
    <format dxfId="3879">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843"/>
          </reference>
          <reference field="82" count="1" selected="0">
            <x v="2346"/>
          </reference>
          <reference field="85" count="1">
            <x v="4"/>
          </reference>
        </references>
      </pivotArea>
    </format>
    <format dxfId="3878">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726"/>
          </reference>
          <reference field="82" count="1" selected="0">
            <x v="2173"/>
          </reference>
          <reference field="85" count="1">
            <x v="7"/>
          </reference>
        </references>
      </pivotArea>
    </format>
    <format dxfId="3877">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3700"/>
          </reference>
          <reference field="82" count="1" selected="0">
            <x v="2140"/>
          </reference>
          <reference field="85" count="1">
            <x v="3"/>
          </reference>
        </references>
      </pivotArea>
    </format>
    <format dxfId="3876">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726"/>
          </reference>
          <reference field="82" count="1" selected="0">
            <x v="2174"/>
          </reference>
          <reference field="85" count="1">
            <x v="7"/>
          </reference>
        </references>
      </pivotArea>
    </format>
    <format dxfId="3875">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845"/>
          </reference>
          <reference field="82" count="1" selected="0">
            <x v="2348"/>
          </reference>
          <reference field="85" count="1">
            <x v="7"/>
          </reference>
        </references>
      </pivotArea>
    </format>
    <format dxfId="3874">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846"/>
          </reference>
          <reference field="82" count="1" selected="0">
            <x v="2349"/>
          </reference>
          <reference field="85" count="1">
            <x v="7"/>
          </reference>
        </references>
      </pivotArea>
    </format>
    <format dxfId="3873">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3722"/>
          </reference>
          <reference field="82" count="1" selected="0">
            <x v="2166"/>
          </reference>
          <reference field="85" count="1">
            <x v="2"/>
          </reference>
        </references>
      </pivotArea>
    </format>
    <format dxfId="3872">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847"/>
          </reference>
          <reference field="82" count="1" selected="0">
            <x v="2350"/>
          </reference>
          <reference field="85" count="1">
            <x v="7"/>
          </reference>
        </references>
      </pivotArea>
    </format>
    <format dxfId="3871">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775"/>
          </reference>
          <reference field="82" count="1" selected="0">
            <x v="2343"/>
          </reference>
          <reference field="85" count="1">
            <x v="4"/>
          </reference>
        </references>
      </pivotArea>
    </format>
    <format dxfId="3870">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799"/>
          </reference>
          <reference field="82" count="1" selected="0">
            <x v="2273"/>
          </reference>
          <reference field="85" count="1">
            <x v="2"/>
          </reference>
        </references>
      </pivotArea>
    </format>
    <format dxfId="3869">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844"/>
          </reference>
          <reference field="82" count="1" selected="0">
            <x v="2347"/>
          </reference>
          <reference field="85" count="1">
            <x v="4"/>
          </reference>
        </references>
      </pivotArea>
    </format>
    <format dxfId="3868">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3725"/>
          </reference>
          <reference field="82" count="1" selected="0">
            <x v="2172"/>
          </reference>
          <reference field="85" count="1">
            <x v="2"/>
          </reference>
        </references>
      </pivotArea>
    </format>
    <format dxfId="3867">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724"/>
          </reference>
          <reference field="82" count="1" selected="0">
            <x v="2170"/>
          </reference>
          <reference field="85" count="1">
            <x v="7"/>
          </reference>
        </references>
      </pivotArea>
    </format>
    <format dxfId="3866">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799"/>
          </reference>
          <reference field="82" count="1" selected="0">
            <x v="2273"/>
          </reference>
          <reference field="85" count="1">
            <x v="2"/>
          </reference>
        </references>
      </pivotArea>
    </format>
    <format dxfId="3865">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724"/>
          </reference>
          <reference field="82" count="1" selected="0">
            <x v="2171"/>
          </reference>
          <reference field="85" count="1">
            <x v="7"/>
          </reference>
        </references>
      </pivotArea>
    </format>
    <format dxfId="3864">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759"/>
          </reference>
          <reference field="82" count="1" selected="0">
            <x v="2336"/>
          </reference>
          <reference field="85" count="1">
            <x v="4"/>
          </reference>
        </references>
      </pivotArea>
    </format>
    <format dxfId="3863">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817"/>
          </reference>
          <reference field="82" count="1" selected="0">
            <x v="2294"/>
          </reference>
          <reference field="85" count="1">
            <x v="7"/>
          </reference>
        </references>
      </pivotArea>
    </format>
    <format dxfId="3862">
      <pivotArea dataOnly="0" labelOnly="1" outline="0" fieldPosition="0">
        <references count="12">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832"/>
          </reference>
          <reference field="82" count="1" selected="0">
            <x v="2323"/>
          </reference>
          <reference field="85" count="1">
            <x v="4"/>
          </reference>
        </references>
      </pivotArea>
    </format>
    <format dxfId="3861">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3728"/>
          </reference>
        </references>
      </pivotArea>
    </format>
    <format dxfId="3860">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3730"/>
          </reference>
        </references>
      </pivotArea>
    </format>
    <format dxfId="3859">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3731"/>
          </reference>
        </references>
      </pivotArea>
    </format>
    <format dxfId="3858">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3727"/>
          </reference>
        </references>
      </pivotArea>
    </format>
    <format dxfId="3857">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3732"/>
          </reference>
        </references>
      </pivotArea>
    </format>
    <format dxfId="3856">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3733"/>
          </reference>
        </references>
      </pivotArea>
    </format>
    <format dxfId="3855">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3734"/>
          </reference>
        </references>
      </pivotArea>
    </format>
    <format dxfId="3854">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3729"/>
          </reference>
        </references>
      </pivotArea>
    </format>
    <format dxfId="3853">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769"/>
          </reference>
        </references>
      </pivotArea>
    </format>
    <format dxfId="3852">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770"/>
          </reference>
        </references>
      </pivotArea>
    </format>
    <format dxfId="3851">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771"/>
          </reference>
        </references>
      </pivotArea>
    </format>
    <format dxfId="3850">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809"/>
          </reference>
        </references>
      </pivotArea>
    </format>
    <format dxfId="3849">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810"/>
          </reference>
        </references>
      </pivotArea>
    </format>
    <format dxfId="384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762"/>
          </reference>
        </references>
      </pivotArea>
    </format>
    <format dxfId="384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835"/>
          </reference>
        </references>
      </pivotArea>
    </format>
    <format dxfId="384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784"/>
          </reference>
        </references>
      </pivotArea>
    </format>
    <format dxfId="384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834"/>
          </reference>
        </references>
      </pivotArea>
    </format>
    <format dxfId="3844">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809"/>
          </reference>
        </references>
      </pivotArea>
    </format>
    <format dxfId="3843">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811"/>
          </reference>
        </references>
      </pivotArea>
    </format>
    <format dxfId="384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769"/>
          </reference>
        </references>
      </pivotArea>
    </format>
    <format dxfId="384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770"/>
          </reference>
        </references>
      </pivotArea>
    </format>
    <format dxfId="384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771"/>
          </reference>
        </references>
      </pivotArea>
    </format>
    <format dxfId="383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3768"/>
          </reference>
        </references>
      </pivotArea>
    </format>
    <format dxfId="3838">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809"/>
          </reference>
        </references>
      </pivotArea>
    </format>
    <format dxfId="3837">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811"/>
          </reference>
        </references>
      </pivotArea>
    </format>
    <format dxfId="383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769"/>
          </reference>
        </references>
      </pivotArea>
    </format>
    <format dxfId="383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770"/>
          </reference>
        </references>
      </pivotArea>
    </format>
    <format dxfId="383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771"/>
          </reference>
        </references>
      </pivotArea>
    </format>
    <format dxfId="383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3768"/>
          </reference>
        </references>
      </pivotArea>
    </format>
    <format dxfId="3832">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809"/>
          </reference>
        </references>
      </pivotArea>
    </format>
    <format dxfId="3831">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811"/>
          </reference>
        </references>
      </pivotArea>
    </format>
    <format dxfId="3830">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3717"/>
          </reference>
        </references>
      </pivotArea>
    </format>
    <format dxfId="3829">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710"/>
          </reference>
        </references>
      </pivotArea>
    </format>
    <format dxfId="382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3764"/>
          </reference>
        </references>
      </pivotArea>
    </format>
    <format dxfId="382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3767"/>
          </reference>
        </references>
      </pivotArea>
    </format>
    <format dxfId="382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3765"/>
          </reference>
        </references>
      </pivotArea>
    </format>
    <format dxfId="382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3766"/>
          </reference>
        </references>
      </pivotArea>
    </format>
    <format dxfId="3824">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809"/>
          </reference>
        </references>
      </pivotArea>
    </format>
    <format dxfId="3823">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810"/>
          </reference>
        </references>
      </pivotArea>
    </format>
    <format dxfId="382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762"/>
          </reference>
        </references>
      </pivotArea>
    </format>
    <format dxfId="382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835"/>
          </reference>
        </references>
      </pivotArea>
    </format>
    <format dxfId="382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784"/>
          </reference>
        </references>
      </pivotArea>
    </format>
    <format dxfId="381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834"/>
          </reference>
        </references>
      </pivotArea>
    </format>
    <format dxfId="3818">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3711"/>
          </reference>
        </references>
      </pivotArea>
    </format>
    <format dxfId="3817">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3717"/>
          </reference>
        </references>
      </pivotArea>
    </format>
    <format dxfId="381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3728"/>
          </reference>
        </references>
      </pivotArea>
    </format>
    <format dxfId="381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3730"/>
          </reference>
        </references>
      </pivotArea>
    </format>
    <format dxfId="381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3731"/>
          </reference>
        </references>
      </pivotArea>
    </format>
    <format dxfId="381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3727"/>
          </reference>
        </references>
      </pivotArea>
    </format>
    <format dxfId="381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3732"/>
          </reference>
        </references>
      </pivotArea>
    </format>
    <format dxfId="381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3733"/>
          </reference>
        </references>
      </pivotArea>
    </format>
    <format dxfId="381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3734"/>
          </reference>
        </references>
      </pivotArea>
    </format>
    <format dxfId="380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3729"/>
          </reference>
        </references>
      </pivotArea>
    </format>
    <format dxfId="380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769"/>
          </reference>
        </references>
      </pivotArea>
    </format>
    <format dxfId="380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770"/>
          </reference>
        </references>
      </pivotArea>
    </format>
    <format dxfId="380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771"/>
          </reference>
        </references>
      </pivotArea>
    </format>
    <format dxfId="380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3768"/>
          </reference>
        </references>
      </pivotArea>
    </format>
    <format dxfId="3804">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3711"/>
          </reference>
        </references>
      </pivotArea>
    </format>
    <format dxfId="3803">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809"/>
          </reference>
        </references>
      </pivotArea>
    </format>
    <format dxfId="3802">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810"/>
          </reference>
        </references>
      </pivotArea>
    </format>
    <format dxfId="3801">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3767"/>
          </reference>
        </references>
      </pivotArea>
    </format>
    <format dxfId="3800">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3765"/>
          </reference>
        </references>
      </pivotArea>
    </format>
    <format dxfId="3799">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3766"/>
          </reference>
        </references>
      </pivotArea>
    </format>
    <format dxfId="3798">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809"/>
          </reference>
        </references>
      </pivotArea>
    </format>
    <format dxfId="3797">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810"/>
          </reference>
        </references>
      </pivotArea>
    </format>
    <format dxfId="379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762"/>
          </reference>
        </references>
      </pivotArea>
    </format>
    <format dxfId="3795">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835"/>
          </reference>
        </references>
      </pivotArea>
    </format>
    <format dxfId="379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784"/>
          </reference>
        </references>
      </pivotArea>
    </format>
    <format dxfId="379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834"/>
          </reference>
        </references>
      </pivotArea>
    </format>
    <format dxfId="3792">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809"/>
          </reference>
        </references>
      </pivotArea>
    </format>
    <format dxfId="3791">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811"/>
          </reference>
        </references>
      </pivotArea>
    </format>
    <format dxfId="3790">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769"/>
          </reference>
        </references>
      </pivotArea>
    </format>
    <format dxfId="3789">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3775"/>
          </reference>
        </references>
      </pivotArea>
    </format>
    <format dxfId="3788">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3776"/>
          </reference>
        </references>
      </pivotArea>
    </format>
    <format dxfId="3787">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3777"/>
          </reference>
        </references>
      </pivotArea>
    </format>
    <format dxfId="3786">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3713"/>
          </reference>
        </references>
      </pivotArea>
    </format>
    <format dxfId="3785">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3714"/>
          </reference>
        </references>
      </pivotArea>
    </format>
    <format dxfId="3784">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3772"/>
          </reference>
        </references>
      </pivotArea>
    </format>
    <format dxfId="3783">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3773"/>
          </reference>
        </references>
      </pivotArea>
    </format>
    <format dxfId="3782">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3774"/>
          </reference>
        </references>
      </pivotArea>
    </format>
    <format dxfId="3781">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812"/>
          </reference>
        </references>
      </pivotArea>
    </format>
    <format dxfId="3780">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3813"/>
          </reference>
        </references>
      </pivotArea>
    </format>
    <format dxfId="3779">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3723"/>
          </reference>
        </references>
      </pivotArea>
    </format>
    <format dxfId="3778">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3772"/>
          </reference>
        </references>
      </pivotArea>
    </format>
    <format dxfId="3777">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3773"/>
          </reference>
        </references>
      </pivotArea>
    </format>
    <format dxfId="3776">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3774"/>
          </reference>
        </references>
      </pivotArea>
    </format>
    <format dxfId="3775">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812"/>
          </reference>
        </references>
      </pivotArea>
    </format>
    <format dxfId="3774">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3781"/>
          </reference>
        </references>
      </pivotArea>
    </format>
    <format dxfId="3773">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3782"/>
          </reference>
        </references>
      </pivotArea>
    </format>
    <format dxfId="3772">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3783"/>
          </reference>
        </references>
      </pivotArea>
    </format>
    <format dxfId="3771">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3709"/>
          </reference>
        </references>
      </pivotArea>
    </format>
    <format dxfId="3770">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710"/>
          </reference>
        </references>
      </pivotArea>
    </format>
    <format dxfId="376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3727"/>
          </reference>
        </references>
      </pivotArea>
    </format>
    <format dxfId="3768">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3733"/>
          </reference>
        </references>
      </pivotArea>
    </format>
    <format dxfId="376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3729"/>
          </reference>
        </references>
      </pivotArea>
    </format>
    <format dxfId="376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3751"/>
          </reference>
        </references>
      </pivotArea>
    </format>
    <format dxfId="3765">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3778"/>
          </reference>
        </references>
      </pivotArea>
    </format>
    <format dxfId="3764">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3779"/>
          </reference>
        </references>
      </pivotArea>
    </format>
    <format dxfId="3763">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3780"/>
          </reference>
        </references>
      </pivotArea>
    </format>
    <format dxfId="3762">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3823"/>
          </reference>
        </references>
      </pivotArea>
    </format>
    <format dxfId="3761">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3716"/>
          </reference>
        </references>
      </pivotArea>
    </format>
    <format dxfId="3760">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3760"/>
          </reference>
        </references>
      </pivotArea>
    </format>
    <format dxfId="3759">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3759"/>
          </reference>
        </references>
      </pivotArea>
    </format>
    <format dxfId="3758">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3761"/>
          </reference>
        </references>
      </pivotArea>
    </format>
    <format dxfId="3757">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3721"/>
          </reference>
        </references>
      </pivotArea>
    </format>
    <format dxfId="3756">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3716"/>
          </reference>
        </references>
      </pivotArea>
    </format>
    <format dxfId="375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3754"/>
          </reference>
        </references>
      </pivotArea>
    </format>
    <format dxfId="3754">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3755"/>
          </reference>
        </references>
      </pivotArea>
    </format>
    <format dxfId="375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3752"/>
          </reference>
        </references>
      </pivotArea>
    </format>
    <format dxfId="375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3753"/>
          </reference>
        </references>
      </pivotArea>
    </format>
    <format dxfId="3751">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3757"/>
          </reference>
        </references>
      </pivotArea>
    </format>
    <format dxfId="3750">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3758"/>
          </reference>
        </references>
      </pivotArea>
    </format>
    <format dxfId="3749">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3697"/>
          </reference>
        </references>
      </pivotArea>
    </format>
    <format dxfId="3748">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3710"/>
          </reference>
        </references>
      </pivotArea>
    </format>
    <format dxfId="3747">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3757"/>
          </reference>
        </references>
      </pivotArea>
    </format>
    <format dxfId="3746">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3758"/>
          </reference>
        </references>
      </pivotArea>
    </format>
    <format dxfId="3745">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3697"/>
          </reference>
        </references>
      </pivotArea>
    </format>
    <format dxfId="3744">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3715"/>
          </reference>
        </references>
      </pivotArea>
    </format>
    <format dxfId="3743">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710"/>
          </reference>
        </references>
      </pivotArea>
    </format>
    <format dxfId="3742">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3762"/>
          </reference>
        </references>
      </pivotArea>
    </format>
    <format dxfId="3741">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3763"/>
          </reference>
        </references>
      </pivotArea>
    </format>
    <format dxfId="3740">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3707"/>
          </reference>
        </references>
      </pivotArea>
    </format>
    <format dxfId="3739">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3788"/>
          </reference>
        </references>
      </pivotArea>
    </format>
    <format dxfId="3738">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3793"/>
          </reference>
        </references>
      </pivotArea>
    </format>
    <format dxfId="3737">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3797"/>
          </reference>
        </references>
      </pivotArea>
    </format>
    <format dxfId="3736">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3762"/>
          </reference>
        </references>
      </pivotArea>
    </format>
    <format dxfId="3735">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3763"/>
          </reference>
        </references>
      </pivotArea>
    </format>
    <format dxfId="3734">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3707"/>
          </reference>
        </references>
      </pivotArea>
    </format>
    <format dxfId="3733">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714"/>
          </reference>
        </references>
      </pivotArea>
    </format>
    <format dxfId="373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x v="3832"/>
          </reference>
        </references>
      </pivotArea>
    </format>
    <format dxfId="373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x v="3694"/>
          </reference>
        </references>
      </pivotArea>
    </format>
    <format dxfId="3730">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x v="3693"/>
          </reference>
        </references>
      </pivotArea>
    </format>
    <format dxfId="372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x v="3831"/>
          </reference>
        </references>
      </pivotArea>
    </format>
    <format dxfId="372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3824"/>
          </reference>
        </references>
      </pivotArea>
    </format>
    <format dxfId="372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3825"/>
          </reference>
        </references>
      </pivotArea>
    </format>
    <format dxfId="372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3826"/>
          </reference>
        </references>
      </pivotArea>
    </format>
    <format dxfId="372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3827"/>
          </reference>
        </references>
      </pivotArea>
    </format>
    <format dxfId="3724">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3694"/>
          </reference>
        </references>
      </pivotArea>
    </format>
    <format dxfId="3723">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3693"/>
          </reference>
        </references>
      </pivotArea>
    </format>
    <format dxfId="372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3824"/>
          </reference>
        </references>
      </pivotArea>
    </format>
    <format dxfId="372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3825"/>
          </reference>
        </references>
      </pivotArea>
    </format>
    <format dxfId="3720">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3826"/>
          </reference>
        </references>
      </pivotArea>
    </format>
    <format dxfId="371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3827"/>
          </reference>
        </references>
      </pivotArea>
    </format>
    <format dxfId="371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3824"/>
          </reference>
        </references>
      </pivotArea>
    </format>
    <format dxfId="371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3825"/>
          </reference>
        </references>
      </pivotArea>
    </format>
    <format dxfId="371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3826"/>
          </reference>
        </references>
      </pivotArea>
    </format>
    <format dxfId="371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3827"/>
          </reference>
        </references>
      </pivotArea>
    </format>
    <format dxfId="3714">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3707"/>
          </reference>
        </references>
      </pivotArea>
    </format>
    <format dxfId="3713">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3785"/>
          </reference>
        </references>
      </pivotArea>
    </format>
    <format dxfId="3712">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3784"/>
          </reference>
        </references>
      </pivotArea>
    </format>
    <format dxfId="3711">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711"/>
          </reference>
        </references>
      </pivotArea>
    </format>
    <format dxfId="3710">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3712"/>
          </reference>
        </references>
      </pivotArea>
    </format>
    <format dxfId="3709">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710"/>
          </reference>
        </references>
      </pivotArea>
    </format>
    <format dxfId="370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3748"/>
          </reference>
        </references>
      </pivotArea>
    </format>
    <format dxfId="370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3738"/>
          </reference>
        </references>
      </pivotArea>
    </format>
    <format dxfId="370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3749"/>
          </reference>
        </references>
      </pivotArea>
    </format>
    <format dxfId="370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3750"/>
          </reference>
        </references>
      </pivotArea>
    </format>
    <format dxfId="3704">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3773"/>
          </reference>
        </references>
      </pivotArea>
    </format>
    <format dxfId="3703">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3792"/>
          </reference>
        </references>
      </pivotArea>
    </format>
    <format dxfId="3702">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3793"/>
          </reference>
        </references>
      </pivotArea>
    </format>
    <format dxfId="3701">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3822"/>
          </reference>
        </references>
      </pivotArea>
    </format>
    <format dxfId="3700">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714"/>
          </reference>
        </references>
      </pivotArea>
    </format>
    <format dxfId="3699">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x v="3703"/>
          </reference>
        </references>
      </pivotArea>
    </format>
    <format dxfId="3698">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x v="3705"/>
          </reference>
        </references>
      </pivotArea>
    </format>
    <format dxfId="3697">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x v="3706"/>
          </reference>
        </references>
      </pivotArea>
    </format>
    <format dxfId="3696">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3707"/>
          </reference>
        </references>
      </pivotArea>
    </format>
    <format dxfId="3695">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x v="3704"/>
          </reference>
        </references>
      </pivotArea>
    </format>
    <format dxfId="3694">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711"/>
          </reference>
        </references>
      </pivotArea>
    </format>
    <format dxfId="3693">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3712"/>
          </reference>
        </references>
      </pivotArea>
    </format>
    <format dxfId="3692">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711"/>
          </reference>
        </references>
      </pivotArea>
    </format>
    <format dxfId="3691">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3712"/>
          </reference>
        </references>
      </pivotArea>
    </format>
    <format dxfId="369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710"/>
          </reference>
        </references>
      </pivotArea>
    </format>
    <format dxfId="3689">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3746"/>
          </reference>
        </references>
      </pivotArea>
    </format>
    <format dxfId="368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3744"/>
          </reference>
        </references>
      </pivotArea>
    </format>
    <format dxfId="368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3747"/>
          </reference>
        </references>
      </pivotArea>
    </format>
    <format dxfId="368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3739"/>
          </reference>
        </references>
      </pivotArea>
    </format>
    <format dxfId="3685">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3705"/>
          </reference>
        </references>
      </pivotArea>
    </format>
    <format dxfId="368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3771"/>
          </reference>
        </references>
      </pivotArea>
    </format>
    <format dxfId="368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3791"/>
          </reference>
        </references>
      </pivotArea>
    </format>
    <format dxfId="3682">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3822"/>
          </reference>
        </references>
      </pivotArea>
    </format>
    <format dxfId="3681">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x v="3708"/>
          </reference>
        </references>
      </pivotArea>
    </format>
    <format dxfId="3680">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3707"/>
          </reference>
        </references>
      </pivotArea>
    </format>
    <format dxfId="3679">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x v="3704"/>
          </reference>
        </references>
      </pivotArea>
    </format>
    <format dxfId="3678">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711"/>
          </reference>
        </references>
      </pivotArea>
    </format>
    <format dxfId="3677">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3712"/>
          </reference>
        </references>
      </pivotArea>
    </format>
    <format dxfId="367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3693"/>
          </reference>
        </references>
      </pivotArea>
    </format>
    <format dxfId="367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3697"/>
          </reference>
        </references>
      </pivotArea>
    </format>
    <format dxfId="367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3695"/>
          </reference>
        </references>
      </pivotArea>
    </format>
    <format dxfId="367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3696"/>
          </reference>
        </references>
      </pivotArea>
    </format>
    <format dxfId="3672">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3756"/>
          </reference>
        </references>
      </pivotArea>
    </format>
    <format dxfId="3671">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3786"/>
          </reference>
        </references>
      </pivotArea>
    </format>
    <format dxfId="3670">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3787"/>
          </reference>
        </references>
      </pivotArea>
    </format>
    <format dxfId="3669">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3788"/>
          </reference>
        </references>
      </pivotArea>
    </format>
    <format dxfId="3668">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3794"/>
          </reference>
        </references>
      </pivotArea>
    </format>
    <format dxfId="3667">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3772"/>
          </reference>
        </references>
      </pivotArea>
    </format>
    <format dxfId="3666">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3704"/>
          </reference>
        </references>
      </pivotArea>
    </format>
    <format dxfId="3665">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3756"/>
          </reference>
        </references>
      </pivotArea>
    </format>
    <format dxfId="366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3789"/>
          </reference>
        </references>
      </pivotArea>
    </format>
    <format dxfId="3663">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3790"/>
          </reference>
        </references>
      </pivotArea>
    </format>
    <format dxfId="3662">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3773"/>
          </reference>
        </references>
      </pivotArea>
    </format>
    <format dxfId="366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3794"/>
          </reference>
        </references>
      </pivotArea>
    </format>
    <format dxfId="366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3772"/>
          </reference>
        </references>
      </pivotArea>
    </format>
    <format dxfId="365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3795"/>
          </reference>
        </references>
      </pivotArea>
    </format>
    <format dxfId="365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3704"/>
          </reference>
        </references>
      </pivotArea>
    </format>
    <format dxfId="365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3796"/>
          </reference>
        </references>
      </pivotArea>
    </format>
    <format dxfId="3656">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3820"/>
          </reference>
        </references>
      </pivotArea>
    </format>
    <format dxfId="3655">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3821"/>
          </reference>
        </references>
      </pivotArea>
    </format>
    <format dxfId="365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3835"/>
          </reference>
        </references>
      </pivotArea>
    </format>
    <format dxfId="365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3836"/>
          </reference>
        </references>
      </pivotArea>
    </format>
    <format dxfId="365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3837"/>
          </reference>
        </references>
      </pivotArea>
    </format>
    <format dxfId="3651">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3826"/>
          </reference>
        </references>
      </pivotArea>
    </format>
    <format dxfId="365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x v="3757"/>
          </reference>
        </references>
      </pivotArea>
    </format>
    <format dxfId="364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x v="3839"/>
          </reference>
        </references>
      </pivotArea>
    </format>
    <format dxfId="364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x v="3840"/>
          </reference>
        </references>
      </pivotArea>
    </format>
    <format dxfId="364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x v="3798"/>
          </reference>
        </references>
      </pivotArea>
    </format>
    <format dxfId="3646">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3757"/>
          </reference>
        </references>
      </pivotArea>
    </format>
    <format dxfId="364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3839"/>
          </reference>
        </references>
      </pivotArea>
    </format>
    <format dxfId="364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3799"/>
          </reference>
        </references>
      </pivotArea>
    </format>
    <format dxfId="364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3838"/>
          </reference>
        </references>
      </pivotArea>
    </format>
    <format dxfId="3642">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3711"/>
          </reference>
        </references>
      </pivotArea>
    </format>
    <format dxfId="3641">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3718"/>
          </reference>
        </references>
      </pivotArea>
    </format>
    <format dxfId="3640">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3808"/>
          </reference>
        </references>
      </pivotArea>
    </format>
    <format dxfId="3639">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3778"/>
          </reference>
        </references>
      </pivotArea>
    </format>
    <format dxfId="3638">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3776"/>
          </reference>
        </references>
      </pivotArea>
    </format>
    <format dxfId="3637">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3842"/>
          </reference>
        </references>
      </pivotArea>
    </format>
    <format dxfId="363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735"/>
          </reference>
        </references>
      </pivotArea>
    </format>
    <format dxfId="363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730"/>
          </reference>
        </references>
      </pivotArea>
    </format>
    <format dxfId="363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736"/>
          </reference>
        </references>
      </pivotArea>
    </format>
    <format dxfId="363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737"/>
          </reference>
        </references>
      </pivotArea>
    </format>
    <format dxfId="363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703"/>
          </reference>
        </references>
      </pivotArea>
    </format>
    <format dxfId="363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3797"/>
          </reference>
        </references>
      </pivotArea>
    </format>
    <format dxfId="363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3762"/>
          </reference>
        </references>
      </pivotArea>
    </format>
    <format dxfId="362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3795"/>
          </reference>
        </references>
      </pivotArea>
    </format>
    <format dxfId="362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3784"/>
          </reference>
        </references>
      </pivotArea>
    </format>
    <format dxfId="362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735"/>
          </reference>
        </references>
      </pivotArea>
    </format>
    <format dxfId="3626">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730"/>
          </reference>
        </references>
      </pivotArea>
    </format>
    <format dxfId="362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736"/>
          </reference>
        </references>
      </pivotArea>
    </format>
    <format dxfId="362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737"/>
          </reference>
        </references>
      </pivotArea>
    </format>
    <format dxfId="362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703"/>
          </reference>
        </references>
      </pivotArea>
    </format>
    <format dxfId="362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3797"/>
          </reference>
        </references>
      </pivotArea>
    </format>
    <format dxfId="362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3762"/>
          </reference>
        </references>
      </pivotArea>
    </format>
    <format dxfId="362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3795"/>
          </reference>
        </references>
      </pivotArea>
    </format>
    <format dxfId="361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3784"/>
          </reference>
        </references>
      </pivotArea>
    </format>
    <format dxfId="361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735"/>
          </reference>
        </references>
      </pivotArea>
    </format>
    <format dxfId="361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730"/>
          </reference>
        </references>
      </pivotArea>
    </format>
    <format dxfId="361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736"/>
          </reference>
        </references>
      </pivotArea>
    </format>
    <format dxfId="3615">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737"/>
          </reference>
        </references>
      </pivotArea>
    </format>
    <format dxfId="361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703"/>
          </reference>
        </references>
      </pivotArea>
    </format>
    <format dxfId="361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3797"/>
          </reference>
        </references>
      </pivotArea>
    </format>
    <format dxfId="361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3762"/>
          </reference>
        </references>
      </pivotArea>
    </format>
    <format dxfId="361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3795"/>
          </reference>
        </references>
      </pivotArea>
    </format>
    <format dxfId="361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3784"/>
          </reference>
        </references>
      </pivotArea>
    </format>
    <format dxfId="360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x v="3841"/>
          </reference>
        </references>
      </pivotArea>
    </format>
    <format dxfId="360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835"/>
          </reference>
        </references>
      </pivotArea>
    </format>
    <format dxfId="360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784"/>
          </reference>
        </references>
      </pivotArea>
    </format>
    <format dxfId="3606">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834"/>
          </reference>
        </references>
      </pivotArea>
    </format>
    <format dxfId="360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707"/>
          </reference>
        </references>
      </pivotArea>
    </format>
    <format dxfId="360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694"/>
          </reference>
        </references>
      </pivotArea>
    </format>
    <format dxfId="360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833"/>
          </reference>
        </references>
      </pivotArea>
    </format>
    <format dxfId="360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758"/>
          </reference>
        </references>
      </pivotArea>
    </format>
    <format dxfId="360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707"/>
          </reference>
        </references>
      </pivotArea>
    </format>
    <format dxfId="360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694"/>
          </reference>
        </references>
      </pivotArea>
    </format>
    <format dxfId="359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833"/>
          </reference>
        </references>
      </pivotArea>
    </format>
    <format dxfId="359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758"/>
          </reference>
        </references>
      </pivotArea>
    </format>
    <format dxfId="359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x v="3702"/>
          </reference>
        </references>
      </pivotArea>
    </format>
    <format dxfId="359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x v="3829"/>
          </reference>
        </references>
      </pivotArea>
    </format>
    <format dxfId="359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x v="3828"/>
          </reference>
        </references>
      </pivotArea>
    </format>
    <format dxfId="359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x v="3830"/>
          </reference>
        </references>
      </pivotArea>
    </format>
    <format dxfId="3593">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3806"/>
          </reference>
        </references>
      </pivotArea>
    </format>
    <format dxfId="3592">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3807"/>
          </reference>
        </references>
      </pivotArea>
    </format>
    <format dxfId="3591">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3805"/>
          </reference>
        </references>
      </pivotArea>
    </format>
    <format dxfId="359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735"/>
          </reference>
        </references>
      </pivotArea>
    </format>
    <format dxfId="358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730"/>
          </reference>
        </references>
      </pivotArea>
    </format>
    <format dxfId="358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736"/>
          </reference>
        </references>
      </pivotArea>
    </format>
    <format dxfId="358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737"/>
          </reference>
        </references>
      </pivotArea>
    </format>
    <format dxfId="358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3781"/>
          </reference>
        </references>
      </pivotArea>
    </format>
    <format dxfId="358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3832"/>
          </reference>
        </references>
      </pivotArea>
    </format>
    <format dxfId="358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3785"/>
          </reference>
        </references>
      </pivotArea>
    </format>
    <format dxfId="358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3831"/>
          </reference>
        </references>
      </pivotArea>
    </format>
    <format dxfId="358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3781"/>
          </reference>
        </references>
      </pivotArea>
    </format>
    <format dxfId="358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3832"/>
          </reference>
        </references>
      </pivotArea>
    </format>
    <format dxfId="358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3785"/>
          </reference>
        </references>
      </pivotArea>
    </format>
    <format dxfId="357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3831"/>
          </reference>
        </references>
      </pivotArea>
    </format>
    <format dxfId="3578">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3699"/>
          </reference>
        </references>
      </pivotArea>
    </format>
    <format dxfId="3577">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3843"/>
          </reference>
        </references>
      </pivotArea>
    </format>
    <format dxfId="3576">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3726"/>
          </reference>
        </references>
      </pivotArea>
    </format>
    <format dxfId="3575">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3700"/>
          </reference>
        </references>
      </pivotArea>
    </format>
    <format dxfId="3574">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3726"/>
          </reference>
        </references>
      </pivotArea>
    </format>
    <format dxfId="3573">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3845"/>
          </reference>
        </references>
      </pivotArea>
    </format>
    <format dxfId="3572">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3847"/>
          </reference>
        </references>
      </pivotArea>
    </format>
    <format dxfId="3571">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3846"/>
          </reference>
        </references>
      </pivotArea>
    </format>
    <format dxfId="3570">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3722"/>
          </reference>
        </references>
      </pivotArea>
    </format>
    <format dxfId="3569">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3847"/>
          </reference>
        </references>
      </pivotArea>
    </format>
    <format dxfId="3568">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3698"/>
          </reference>
        </references>
      </pivotArea>
    </format>
    <format dxfId="3567">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3775"/>
          </reference>
        </references>
      </pivotArea>
    </format>
    <format dxfId="356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3799"/>
          </reference>
        </references>
      </pivotArea>
    </format>
    <format dxfId="356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3800"/>
          </reference>
        </references>
      </pivotArea>
    </format>
    <format dxfId="356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3805"/>
          </reference>
        </references>
      </pivotArea>
    </format>
    <format dxfId="356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3803"/>
          </reference>
        </references>
      </pivotArea>
    </format>
    <format dxfId="356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3802"/>
          </reference>
        </references>
      </pivotArea>
    </format>
    <format dxfId="356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3801"/>
          </reference>
        </references>
      </pivotArea>
    </format>
    <format dxfId="356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3798"/>
          </reference>
        </references>
      </pivotArea>
    </format>
    <format dxfId="355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3804"/>
          </reference>
        </references>
      </pivotArea>
    </format>
    <format dxfId="3558">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3844"/>
          </reference>
        </references>
      </pivotArea>
    </format>
    <format dxfId="3557">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3725"/>
          </reference>
        </references>
      </pivotArea>
    </format>
    <format dxfId="3556">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3724"/>
          </reference>
        </references>
      </pivotArea>
    </format>
    <format dxfId="3555">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3799"/>
          </reference>
        </references>
      </pivotArea>
    </format>
    <format dxfId="3554">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3798"/>
          </reference>
        </references>
      </pivotArea>
    </format>
    <format dxfId="3553">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3724"/>
          </reference>
        </references>
      </pivotArea>
    </format>
    <format dxfId="3552">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3759"/>
          </reference>
        </references>
      </pivotArea>
    </format>
    <format dxfId="3551">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3817"/>
          </reference>
        </references>
      </pivotArea>
    </format>
    <format dxfId="3550">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3819"/>
          </reference>
        </references>
      </pivotArea>
    </format>
    <format dxfId="3549">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3720"/>
          </reference>
        </references>
      </pivotArea>
    </format>
    <format dxfId="3548">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3719"/>
          </reference>
        </references>
      </pivotArea>
    </format>
    <format dxfId="3547">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3832"/>
          </reference>
        </references>
      </pivotArea>
    </format>
    <format dxfId="3546">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694"/>
          </reference>
        </references>
      </pivotArea>
    </format>
    <format dxfId="3545">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833"/>
          </reference>
        </references>
      </pivotArea>
    </format>
    <format dxfId="3544">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758"/>
          </reference>
        </references>
      </pivotArea>
    </format>
    <format dxfId="3543">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812"/>
          </reference>
        </references>
      </pivotArea>
    </format>
    <format dxfId="3542">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3728"/>
          </reference>
          <reference field="82" count="1">
            <x v="2176"/>
          </reference>
        </references>
      </pivotArea>
    </format>
    <format dxfId="3541">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3730"/>
          </reference>
          <reference field="82" count="1">
            <x v="2178"/>
          </reference>
        </references>
      </pivotArea>
    </format>
    <format dxfId="3540">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3731"/>
          </reference>
          <reference field="82" count="1">
            <x v="2179"/>
          </reference>
        </references>
      </pivotArea>
    </format>
    <format dxfId="3539">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3727"/>
          </reference>
          <reference field="82" count="1">
            <x v="2175"/>
          </reference>
        </references>
      </pivotArea>
    </format>
    <format dxfId="3538">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3732"/>
          </reference>
          <reference field="82" count="1">
            <x v="2180"/>
          </reference>
        </references>
      </pivotArea>
    </format>
    <format dxfId="3537">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3733"/>
          </reference>
          <reference field="82" count="1">
            <x v="2181"/>
          </reference>
        </references>
      </pivotArea>
    </format>
    <format dxfId="3536">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3734"/>
          </reference>
          <reference field="82" count="1">
            <x v="2182"/>
          </reference>
        </references>
      </pivotArea>
    </format>
    <format dxfId="3535">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3729"/>
          </reference>
          <reference field="82" count="1">
            <x v="2177"/>
          </reference>
        </references>
      </pivotArea>
    </format>
    <format dxfId="3534">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x v="2236"/>
          </reference>
        </references>
      </pivotArea>
    </format>
    <format dxfId="3533">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770"/>
          </reference>
          <reference field="82" count="1">
            <x v="2237"/>
          </reference>
        </references>
      </pivotArea>
    </format>
    <format dxfId="3532">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771"/>
          </reference>
          <reference field="82" count="1">
            <x v="2238"/>
          </reference>
        </references>
      </pivotArea>
    </format>
    <format dxfId="3531">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x v="2284"/>
          </reference>
        </references>
      </pivotArea>
    </format>
    <format dxfId="3530">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810"/>
          </reference>
          <reference field="82" count="1">
            <x v="2285"/>
          </reference>
        </references>
      </pivotArea>
    </format>
    <format dxfId="3529">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762"/>
          </reference>
          <reference field="82" count="1">
            <x v="2311"/>
          </reference>
        </references>
      </pivotArea>
    </format>
    <format dxfId="3528">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835"/>
          </reference>
          <reference field="82" count="1">
            <x v="2322"/>
          </reference>
        </references>
      </pivotArea>
    </format>
    <format dxfId="3527">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784"/>
          </reference>
          <reference field="82" count="1">
            <x v="2312"/>
          </reference>
        </references>
      </pivotArea>
    </format>
    <format dxfId="3526">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834"/>
          </reference>
          <reference field="82" count="1">
            <x v="2321"/>
          </reference>
        </references>
      </pivotArea>
    </format>
    <format dxfId="3525">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x v="2286"/>
          </reference>
        </references>
      </pivotArea>
    </format>
    <format dxfId="3524">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811"/>
          </reference>
          <reference field="82" count="1">
            <x v="2287"/>
          </reference>
        </references>
      </pivotArea>
    </format>
    <format dxfId="3523">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x v="2233"/>
          </reference>
        </references>
      </pivotArea>
    </format>
    <format dxfId="3522">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770"/>
          </reference>
          <reference field="82" count="1">
            <x v="2234"/>
          </reference>
        </references>
      </pivotArea>
    </format>
    <format dxfId="3521">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771"/>
          </reference>
          <reference field="82" count="1">
            <x v="2235"/>
          </reference>
        </references>
      </pivotArea>
    </format>
    <format dxfId="3520">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3768"/>
          </reference>
          <reference field="82" count="1">
            <x v="2232"/>
          </reference>
        </references>
      </pivotArea>
    </format>
    <format dxfId="3519">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x v="2286"/>
          </reference>
        </references>
      </pivotArea>
    </format>
    <format dxfId="3518">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811"/>
          </reference>
          <reference field="82" count="1">
            <x v="2287"/>
          </reference>
        </references>
      </pivotArea>
    </format>
    <format dxfId="3517">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x v="2233"/>
          </reference>
        </references>
      </pivotArea>
    </format>
    <format dxfId="3516">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770"/>
          </reference>
          <reference field="82" count="1">
            <x v="2234"/>
          </reference>
        </references>
      </pivotArea>
    </format>
    <format dxfId="3515">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771"/>
          </reference>
          <reference field="82" count="1">
            <x v="2235"/>
          </reference>
        </references>
      </pivotArea>
    </format>
    <format dxfId="3514">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3768"/>
          </reference>
          <reference field="82" count="1">
            <x v="2232"/>
          </reference>
        </references>
      </pivotArea>
    </format>
    <format dxfId="3513">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x v="2286"/>
          </reference>
        </references>
      </pivotArea>
    </format>
    <format dxfId="3512">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811"/>
          </reference>
          <reference field="82" count="1">
            <x v="2287"/>
          </reference>
        </references>
      </pivotArea>
    </format>
    <format dxfId="3511">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3717"/>
          </reference>
          <reference field="82" count="1">
            <x v="2158"/>
          </reference>
        </references>
      </pivotArea>
    </format>
    <format dxfId="3510">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x v="2160"/>
          </reference>
        </references>
      </pivotArea>
    </format>
    <format dxfId="3509">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3764"/>
          </reference>
          <reference field="82" count="1">
            <x v="2228"/>
          </reference>
        </references>
      </pivotArea>
    </format>
    <format dxfId="3508">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3767"/>
          </reference>
          <reference field="82" count="1">
            <x v="2231"/>
          </reference>
        </references>
      </pivotArea>
    </format>
    <format dxfId="3507">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3765"/>
          </reference>
          <reference field="82" count="1">
            <x v="2229"/>
          </reference>
        </references>
      </pivotArea>
    </format>
    <format dxfId="350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3766"/>
          </reference>
          <reference field="82" count="1">
            <x v="2230"/>
          </reference>
        </references>
      </pivotArea>
    </format>
    <format dxfId="3505">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x v="2284"/>
          </reference>
        </references>
      </pivotArea>
    </format>
    <format dxfId="3504">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810"/>
          </reference>
          <reference field="82" count="1">
            <x v="2285"/>
          </reference>
        </references>
      </pivotArea>
    </format>
    <format dxfId="3503">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762"/>
          </reference>
          <reference field="82" count="1">
            <x v="2311"/>
          </reference>
        </references>
      </pivotArea>
    </format>
    <format dxfId="3502">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835"/>
          </reference>
          <reference field="82" count="1">
            <x v="2322"/>
          </reference>
        </references>
      </pivotArea>
    </format>
    <format dxfId="3501">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784"/>
          </reference>
          <reference field="82" count="1">
            <x v="2312"/>
          </reference>
        </references>
      </pivotArea>
    </format>
    <format dxfId="3500">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834"/>
          </reference>
          <reference field="82" count="1">
            <x v="2321"/>
          </reference>
        </references>
      </pivotArea>
    </format>
    <format dxfId="3499">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3711"/>
          </reference>
          <reference field="82" count="1">
            <x v="2168"/>
          </reference>
        </references>
      </pivotArea>
    </format>
    <format dxfId="3498">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3717"/>
          </reference>
          <reference field="82" count="1">
            <x v="2159"/>
          </reference>
        </references>
      </pivotArea>
    </format>
    <format dxfId="349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3728"/>
          </reference>
          <reference field="82" count="1">
            <x v="2212"/>
          </reference>
        </references>
      </pivotArea>
    </format>
    <format dxfId="349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3730"/>
          </reference>
          <reference field="82" count="1">
            <x v="2214"/>
          </reference>
        </references>
      </pivotArea>
    </format>
    <format dxfId="349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3731"/>
          </reference>
          <reference field="82" count="1">
            <x v="2215"/>
          </reference>
        </references>
      </pivotArea>
    </format>
    <format dxfId="349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3727"/>
          </reference>
          <reference field="82" count="1">
            <x v="2211"/>
          </reference>
        </references>
      </pivotArea>
    </format>
    <format dxfId="349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3732"/>
          </reference>
          <reference field="82" count="1">
            <x v="2216"/>
          </reference>
        </references>
      </pivotArea>
    </format>
    <format dxfId="349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3733"/>
          </reference>
          <reference field="82" count="1">
            <x v="2217"/>
          </reference>
        </references>
      </pivotArea>
    </format>
    <format dxfId="349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3734"/>
          </reference>
          <reference field="82" count="1">
            <x v="2218"/>
          </reference>
        </references>
      </pivotArea>
    </format>
    <format dxfId="349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3729"/>
          </reference>
          <reference field="82" count="1">
            <x v="2213"/>
          </reference>
        </references>
      </pivotArea>
    </format>
    <format dxfId="3489">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x v="2233"/>
          </reference>
        </references>
      </pivotArea>
    </format>
    <format dxfId="3488">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770"/>
          </reference>
          <reference field="82" count="1">
            <x v="2234"/>
          </reference>
        </references>
      </pivotArea>
    </format>
    <format dxfId="348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771"/>
          </reference>
          <reference field="82" count="1">
            <x v="2235"/>
          </reference>
        </references>
      </pivotArea>
    </format>
    <format dxfId="348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3768"/>
          </reference>
          <reference field="82" count="1">
            <x v="2232"/>
          </reference>
        </references>
      </pivotArea>
    </format>
    <format dxfId="3485">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3711"/>
          </reference>
          <reference field="82" count="1">
            <x v="2167"/>
          </reference>
        </references>
      </pivotArea>
    </format>
    <format dxfId="3484">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x v="2284"/>
          </reference>
        </references>
      </pivotArea>
    </format>
    <format dxfId="3483">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810"/>
          </reference>
          <reference field="82" count="1">
            <x v="2285"/>
          </reference>
        </references>
      </pivotArea>
    </format>
    <format dxfId="3482">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3767"/>
          </reference>
          <reference field="82" count="1">
            <x v="2231"/>
          </reference>
        </references>
      </pivotArea>
    </format>
    <format dxfId="3481">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3765"/>
          </reference>
          <reference field="82" count="1">
            <x v="2229"/>
          </reference>
        </references>
      </pivotArea>
    </format>
    <format dxfId="3480">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3766"/>
          </reference>
          <reference field="82" count="1">
            <x v="2230"/>
          </reference>
        </references>
      </pivotArea>
    </format>
    <format dxfId="3479">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x v="2284"/>
          </reference>
        </references>
      </pivotArea>
    </format>
    <format dxfId="3478">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810"/>
          </reference>
          <reference field="82" count="1">
            <x v="2285"/>
          </reference>
        </references>
      </pivotArea>
    </format>
    <format dxfId="3477">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762"/>
          </reference>
          <reference field="82" count="1">
            <x v="2311"/>
          </reference>
        </references>
      </pivotArea>
    </format>
    <format dxfId="3476">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835"/>
          </reference>
          <reference field="82" count="1">
            <x v="2322"/>
          </reference>
        </references>
      </pivotArea>
    </format>
    <format dxfId="3475">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784"/>
          </reference>
          <reference field="82" count="1">
            <x v="2312"/>
          </reference>
        </references>
      </pivotArea>
    </format>
    <format dxfId="3474">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834"/>
          </reference>
          <reference field="82" count="1">
            <x v="2321"/>
          </reference>
        </references>
      </pivotArea>
    </format>
    <format dxfId="3473">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x v="2286"/>
          </reference>
        </references>
      </pivotArea>
    </format>
    <format dxfId="3472">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811"/>
          </reference>
          <reference field="82" count="1">
            <x v="2287"/>
          </reference>
        </references>
      </pivotArea>
    </format>
    <format dxfId="3471">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x v="2233"/>
          </reference>
        </references>
      </pivotArea>
    </format>
    <format dxfId="3470">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3775"/>
          </reference>
          <reference field="82" count="1">
            <x v="2242"/>
          </reference>
        </references>
      </pivotArea>
    </format>
    <format dxfId="3469">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3776"/>
          </reference>
          <reference field="82" count="1">
            <x v="2243"/>
          </reference>
        </references>
      </pivotArea>
    </format>
    <format dxfId="3468">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3777"/>
          </reference>
          <reference field="82" count="1">
            <x v="2244"/>
          </reference>
        </references>
      </pivotArea>
    </format>
    <format dxfId="3467">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3713"/>
          </reference>
          <reference field="82" count="1">
            <x v="2154"/>
          </reference>
        </references>
      </pivotArea>
    </format>
    <format dxfId="3466">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3714"/>
          </reference>
          <reference field="82" count="1">
            <x v="2155"/>
          </reference>
        </references>
      </pivotArea>
    </format>
    <format dxfId="3465">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3772"/>
          </reference>
          <reference field="82" count="1">
            <x v="2239"/>
          </reference>
        </references>
      </pivotArea>
    </format>
    <format dxfId="3464">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3773"/>
          </reference>
          <reference field="82" count="1">
            <x v="2240"/>
          </reference>
        </references>
      </pivotArea>
    </format>
    <format dxfId="3463">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3774"/>
          </reference>
          <reference field="82" count="1">
            <x v="2241"/>
          </reference>
        </references>
      </pivotArea>
    </format>
    <format dxfId="3462">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812"/>
          </reference>
          <reference field="82" count="1">
            <x v="2288"/>
          </reference>
        </references>
      </pivotArea>
    </format>
    <format dxfId="3461">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3813"/>
          </reference>
          <reference field="82" count="1">
            <x v="2289"/>
          </reference>
        </references>
      </pivotArea>
    </format>
    <format dxfId="3460">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3723"/>
          </reference>
          <reference field="82" count="1">
            <x v="2169"/>
          </reference>
        </references>
      </pivotArea>
    </format>
    <format dxfId="3459">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3772"/>
          </reference>
          <reference field="82" count="1">
            <x v="2239"/>
          </reference>
        </references>
      </pivotArea>
    </format>
    <format dxfId="3458">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3773"/>
          </reference>
          <reference field="82" count="1">
            <x v="2240"/>
          </reference>
        </references>
      </pivotArea>
    </format>
    <format dxfId="3457">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3774"/>
          </reference>
          <reference field="82" count="1">
            <x v="2241"/>
          </reference>
        </references>
      </pivotArea>
    </format>
    <format dxfId="3456">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812"/>
          </reference>
          <reference field="82" count="1">
            <x v="2288"/>
          </reference>
        </references>
      </pivotArea>
    </format>
    <format dxfId="3455">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3781"/>
          </reference>
          <reference field="82" count="1">
            <x v="2248"/>
          </reference>
        </references>
      </pivotArea>
    </format>
    <format dxfId="3454">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3782"/>
          </reference>
          <reference field="82" count="1">
            <x v="2249"/>
          </reference>
        </references>
      </pivotArea>
    </format>
    <format dxfId="3453">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3783"/>
          </reference>
          <reference field="82" count="1">
            <x v="2250"/>
          </reference>
        </references>
      </pivotArea>
    </format>
    <format dxfId="3452">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3709"/>
          </reference>
          <reference field="82" count="1">
            <x v="2149"/>
          </reference>
        </references>
      </pivotArea>
    </format>
    <format dxfId="3451">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x v="2150"/>
          </reference>
        </references>
      </pivotArea>
    </format>
    <format dxfId="3450">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3727"/>
          </reference>
          <reference field="82" count="1">
            <x v="2204"/>
          </reference>
        </references>
      </pivotArea>
    </format>
    <format dxfId="3449">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3733"/>
          </reference>
          <reference field="82" count="1">
            <x v="2205"/>
          </reference>
        </references>
      </pivotArea>
    </format>
    <format dxfId="3448">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3729"/>
          </reference>
          <reference field="82" count="1">
            <x v="2202"/>
          </reference>
        </references>
      </pivotArea>
    </format>
    <format dxfId="344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3751"/>
          </reference>
          <reference field="82" count="1">
            <x v="2203"/>
          </reference>
        </references>
      </pivotArea>
    </format>
    <format dxfId="3446">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3778"/>
          </reference>
          <reference field="82" count="1">
            <x v="2245"/>
          </reference>
        </references>
      </pivotArea>
    </format>
    <format dxfId="3445">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3779"/>
          </reference>
          <reference field="82" count="1">
            <x v="2246"/>
          </reference>
        </references>
      </pivotArea>
    </format>
    <format dxfId="3444">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3780"/>
          </reference>
          <reference field="82" count="1">
            <x v="2247"/>
          </reference>
        </references>
      </pivotArea>
    </format>
    <format dxfId="3443">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3823"/>
          </reference>
          <reference field="82" count="1">
            <x v="2301"/>
          </reference>
        </references>
      </pivotArea>
    </format>
    <format dxfId="3442">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3716"/>
          </reference>
          <reference field="82" count="1">
            <x v="2157"/>
          </reference>
        </references>
      </pivotArea>
    </format>
    <format dxfId="3441">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3760"/>
          </reference>
          <reference field="82" count="1">
            <x v="2223"/>
          </reference>
        </references>
      </pivotArea>
    </format>
    <format dxfId="3440">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3759"/>
          </reference>
          <reference field="82" count="1">
            <x v="2222"/>
          </reference>
        </references>
      </pivotArea>
    </format>
    <format dxfId="3439">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3761"/>
          </reference>
          <reference field="82" count="1">
            <x v="2224"/>
          </reference>
        </references>
      </pivotArea>
    </format>
    <format dxfId="3438">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3721"/>
          </reference>
          <reference field="82" count="1">
            <x v="2165"/>
          </reference>
        </references>
      </pivotArea>
    </format>
    <format dxfId="3437">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3716"/>
          </reference>
          <reference field="82" count="1">
            <x v="2157"/>
          </reference>
        </references>
      </pivotArea>
    </format>
    <format dxfId="3436">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3754"/>
          </reference>
          <reference field="82" count="1">
            <x v="2208"/>
          </reference>
        </references>
      </pivotArea>
    </format>
    <format dxfId="3435">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3755"/>
          </reference>
          <reference field="82" count="1">
            <x v="2209"/>
          </reference>
        </references>
      </pivotArea>
    </format>
    <format dxfId="3434">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3752"/>
          </reference>
          <reference field="82" count="1">
            <x v="2206"/>
          </reference>
        </references>
      </pivotArea>
    </format>
    <format dxfId="3433">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3753"/>
          </reference>
          <reference field="82" count="1">
            <x v="2207"/>
          </reference>
        </references>
      </pivotArea>
    </format>
    <format dxfId="3432">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3757"/>
          </reference>
          <reference field="82" count="1">
            <x v="2219"/>
          </reference>
        </references>
      </pivotArea>
    </format>
    <format dxfId="3431">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3758"/>
          </reference>
          <reference field="82" count="1">
            <x v="2220"/>
          </reference>
        </references>
      </pivotArea>
    </format>
    <format dxfId="3430">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3697"/>
          </reference>
          <reference field="82" count="1">
            <x v="2221"/>
          </reference>
        </references>
      </pivotArea>
    </format>
    <format dxfId="3429">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x v="2150"/>
          </reference>
        </references>
      </pivotArea>
    </format>
    <format dxfId="3428">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3757"/>
          </reference>
          <reference field="82" count="1">
            <x v="2219"/>
          </reference>
        </references>
      </pivotArea>
    </format>
    <format dxfId="3427">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3758"/>
          </reference>
          <reference field="82" count="1">
            <x v="2220"/>
          </reference>
        </references>
      </pivotArea>
    </format>
    <format dxfId="3426">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3697"/>
          </reference>
          <reference field="82" count="1">
            <x v="2221"/>
          </reference>
        </references>
      </pivotArea>
    </format>
    <format dxfId="3425">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3715"/>
          </reference>
          <reference field="82" count="1">
            <x v="2156"/>
          </reference>
        </references>
      </pivotArea>
    </format>
    <format dxfId="3424">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x v="2150"/>
          </reference>
        </references>
      </pivotArea>
    </format>
    <format dxfId="3423">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3762"/>
          </reference>
          <reference field="82" count="1">
            <x v="2225"/>
          </reference>
        </references>
      </pivotArea>
    </format>
    <format dxfId="3422">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3763"/>
          </reference>
          <reference field="82" count="1">
            <x v="2226"/>
          </reference>
        </references>
      </pivotArea>
    </format>
    <format dxfId="3421">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3707"/>
          </reference>
          <reference field="82" count="1">
            <x v="2227"/>
          </reference>
        </references>
      </pivotArea>
    </format>
    <format dxfId="3420">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3788"/>
          </reference>
          <reference field="82" count="1">
            <x v="2270"/>
          </reference>
        </references>
      </pivotArea>
    </format>
    <format dxfId="3419">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3793"/>
          </reference>
          <reference field="82" count="1">
            <x v="2269"/>
          </reference>
        </references>
      </pivotArea>
    </format>
    <format dxfId="3418">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3797"/>
          </reference>
          <reference field="82" count="1">
            <x v="2271"/>
          </reference>
        </references>
      </pivotArea>
    </format>
    <format dxfId="3417">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3762"/>
          </reference>
          <reference field="82" count="1">
            <x v="2225"/>
          </reference>
        </references>
      </pivotArea>
    </format>
    <format dxfId="3416">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3763"/>
          </reference>
          <reference field="82" count="1">
            <x v="2226"/>
          </reference>
        </references>
      </pivotArea>
    </format>
    <format dxfId="3415">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3707"/>
          </reference>
          <reference field="82" count="1">
            <x v="2227"/>
          </reference>
        </references>
      </pivotArea>
    </format>
    <format dxfId="3414">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3714"/>
          </reference>
          <reference field="82" count="1">
            <x v="2292"/>
          </reference>
        </references>
      </pivotArea>
    </format>
    <format dxfId="3413">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selected="0">
            <x v="3832"/>
          </reference>
          <reference field="82" count="1">
            <x v="2323"/>
          </reference>
        </references>
      </pivotArea>
    </format>
    <format dxfId="3412">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selected="0">
            <x v="3694"/>
          </reference>
          <reference field="82" count="1">
            <x v="2133"/>
          </reference>
        </references>
      </pivotArea>
    </format>
    <format dxfId="3411">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selected="0">
            <x v="3693"/>
          </reference>
          <reference field="82" count="1">
            <x v="2132"/>
          </reference>
        </references>
      </pivotArea>
    </format>
    <format dxfId="3410">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selected="0">
            <x v="3831"/>
          </reference>
          <reference field="82" count="1">
            <x v="2345"/>
          </reference>
        </references>
      </pivotArea>
    </format>
    <format dxfId="3409">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3824"/>
          </reference>
          <reference field="82" count="1">
            <x v="2302"/>
          </reference>
        </references>
      </pivotArea>
    </format>
    <format dxfId="3408">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3825"/>
          </reference>
          <reference field="82" count="1">
            <x v="2303"/>
          </reference>
        </references>
      </pivotArea>
    </format>
    <format dxfId="3407">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3826"/>
          </reference>
          <reference field="82" count="1">
            <x v="2304"/>
          </reference>
        </references>
      </pivotArea>
    </format>
    <format dxfId="3406">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3827"/>
          </reference>
          <reference field="82" count="1">
            <x v="2305"/>
          </reference>
        </references>
      </pivotArea>
    </format>
    <format dxfId="3405">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3694"/>
          </reference>
          <reference field="82" count="1">
            <x v="2133"/>
          </reference>
        </references>
      </pivotArea>
    </format>
    <format dxfId="3404">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3693"/>
          </reference>
          <reference field="82" count="1">
            <x v="2132"/>
          </reference>
        </references>
      </pivotArea>
    </format>
    <format dxfId="3403">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3824"/>
          </reference>
          <reference field="82" count="1">
            <x v="2302"/>
          </reference>
        </references>
      </pivotArea>
    </format>
    <format dxfId="3402">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3825"/>
          </reference>
          <reference field="82" count="1">
            <x v="2303"/>
          </reference>
        </references>
      </pivotArea>
    </format>
    <format dxfId="3401">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3826"/>
          </reference>
          <reference field="82" count="1">
            <x v="2304"/>
          </reference>
        </references>
      </pivotArea>
    </format>
    <format dxfId="3400">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3827"/>
          </reference>
          <reference field="82" count="1">
            <x v="2305"/>
          </reference>
        </references>
      </pivotArea>
    </format>
    <format dxfId="3399">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3824"/>
          </reference>
          <reference field="82" count="1">
            <x v="2302"/>
          </reference>
        </references>
      </pivotArea>
    </format>
    <format dxfId="3398">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3825"/>
          </reference>
          <reference field="82" count="1">
            <x v="2303"/>
          </reference>
        </references>
      </pivotArea>
    </format>
    <format dxfId="3397">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3826"/>
          </reference>
          <reference field="82" count="1">
            <x v="2304"/>
          </reference>
        </references>
      </pivotArea>
    </format>
    <format dxfId="3396">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3827"/>
          </reference>
          <reference field="82" count="1">
            <x v="2305"/>
          </reference>
        </references>
      </pivotArea>
    </format>
    <format dxfId="3395">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3707"/>
          </reference>
          <reference field="82" count="1">
            <x v="2227"/>
          </reference>
        </references>
      </pivotArea>
    </format>
    <format dxfId="3394">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3785"/>
          </reference>
          <reference field="82" count="1">
            <x v="2252"/>
          </reference>
        </references>
      </pivotArea>
    </format>
    <format dxfId="3393">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3784"/>
          </reference>
          <reference field="82" count="1">
            <x v="2251"/>
          </reference>
        </references>
      </pivotArea>
    </format>
    <format dxfId="3392">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711"/>
          </reference>
          <reference field="82" count="1">
            <x v="2151"/>
          </reference>
        </references>
      </pivotArea>
    </format>
    <format dxfId="3391">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3712"/>
          </reference>
          <reference field="82" count="1">
            <x v="2152"/>
          </reference>
        </references>
      </pivotArea>
    </format>
    <format dxfId="3390">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x v="2153"/>
          </reference>
        </references>
      </pivotArea>
    </format>
    <format dxfId="3389">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3748"/>
          </reference>
          <reference field="82" count="1">
            <x v="2198"/>
          </reference>
        </references>
      </pivotArea>
    </format>
    <format dxfId="3388">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3738"/>
          </reference>
          <reference field="82" count="1">
            <x v="2199"/>
          </reference>
        </references>
      </pivotArea>
    </format>
    <format dxfId="3387">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3749"/>
          </reference>
          <reference field="82" count="1">
            <x v="2200"/>
          </reference>
        </references>
      </pivotArea>
    </format>
    <format dxfId="3386">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3750"/>
          </reference>
          <reference field="82" count="1">
            <x v="2201"/>
          </reference>
        </references>
      </pivotArea>
    </format>
    <format dxfId="3385">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3773"/>
          </reference>
          <reference field="82" count="1">
            <x v="2258"/>
          </reference>
        </references>
      </pivotArea>
    </format>
    <format dxfId="3384">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3792"/>
          </reference>
          <reference field="82" count="1">
            <x v="2262"/>
          </reference>
        </references>
      </pivotArea>
    </format>
    <format dxfId="3383">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3793"/>
          </reference>
          <reference field="82" count="1">
            <x v="2263"/>
          </reference>
        </references>
      </pivotArea>
    </format>
    <format dxfId="3382">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3822"/>
          </reference>
          <reference field="82" count="1">
            <x v="2299"/>
          </reference>
        </references>
      </pivotArea>
    </format>
    <format dxfId="3381">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3714"/>
          </reference>
          <reference field="82" count="1">
            <x v="2300"/>
          </reference>
        </references>
      </pivotArea>
    </format>
    <format dxfId="3380">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selected="0">
            <x v="3703"/>
          </reference>
          <reference field="82" count="1">
            <x v="2143"/>
          </reference>
        </references>
      </pivotArea>
    </format>
    <format dxfId="3379">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selected="0">
            <x v="3705"/>
          </reference>
          <reference field="82" count="1">
            <x v="2145"/>
          </reference>
        </references>
      </pivotArea>
    </format>
    <format dxfId="3378">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selected="0">
            <x v="3706"/>
          </reference>
          <reference field="82" count="1">
            <x v="2146"/>
          </reference>
        </references>
      </pivotArea>
    </format>
    <format dxfId="3377">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3707"/>
          </reference>
          <reference field="82" count="1">
            <x v="2147"/>
          </reference>
        </references>
      </pivotArea>
    </format>
    <format dxfId="3376">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selected="0">
            <x v="3704"/>
          </reference>
          <reference field="82" count="1">
            <x v="2144"/>
          </reference>
        </references>
      </pivotArea>
    </format>
    <format dxfId="3375">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711"/>
          </reference>
          <reference field="82" count="1">
            <x v="2151"/>
          </reference>
        </references>
      </pivotArea>
    </format>
    <format dxfId="3374">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3712"/>
          </reference>
          <reference field="82" count="1">
            <x v="2152"/>
          </reference>
        </references>
      </pivotArea>
    </format>
    <format dxfId="3373">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711"/>
          </reference>
          <reference field="82" count="1">
            <x v="2151"/>
          </reference>
        </references>
      </pivotArea>
    </format>
    <format dxfId="3372">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3712"/>
          </reference>
          <reference field="82" count="1">
            <x v="2152"/>
          </reference>
        </references>
      </pivotArea>
    </format>
    <format dxfId="3371">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x v="2153"/>
          </reference>
        </references>
      </pivotArea>
    </format>
    <format dxfId="3370">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3746"/>
          </reference>
          <reference field="82" count="1">
            <x v="2194"/>
          </reference>
        </references>
      </pivotArea>
    </format>
    <format dxfId="3369">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3744"/>
          </reference>
          <reference field="82" count="1">
            <x v="2195"/>
          </reference>
        </references>
      </pivotArea>
    </format>
    <format dxfId="3368">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3747"/>
          </reference>
          <reference field="82" count="1">
            <x v="2196"/>
          </reference>
        </references>
      </pivotArea>
    </format>
    <format dxfId="3367">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3739"/>
          </reference>
          <reference field="82" count="1">
            <x v="2197"/>
          </reference>
        </references>
      </pivotArea>
    </format>
    <format dxfId="3366">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3705"/>
          </reference>
          <reference field="82" count="1">
            <x v="2259"/>
          </reference>
        </references>
      </pivotArea>
    </format>
    <format dxfId="3365">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3771"/>
          </reference>
          <reference field="82" count="1">
            <x v="2260"/>
          </reference>
        </references>
      </pivotArea>
    </format>
    <format dxfId="3364">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3791"/>
          </reference>
          <reference field="82" count="1">
            <x v="2261"/>
          </reference>
        </references>
      </pivotArea>
    </format>
    <format dxfId="3363">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3822"/>
          </reference>
          <reference field="82" count="1">
            <x v="2299"/>
          </reference>
        </references>
      </pivotArea>
    </format>
    <format dxfId="3362">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selected="0">
            <x v="3708"/>
          </reference>
          <reference field="82" count="1">
            <x v="2148"/>
          </reference>
        </references>
      </pivotArea>
    </format>
    <format dxfId="3361">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3707"/>
          </reference>
          <reference field="82" count="1">
            <x v="2147"/>
          </reference>
        </references>
      </pivotArea>
    </format>
    <format dxfId="3360">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selected="0">
            <x v="3704"/>
          </reference>
          <reference field="82" count="1">
            <x v="2144"/>
          </reference>
        </references>
      </pivotArea>
    </format>
    <format dxfId="3359">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711"/>
          </reference>
          <reference field="82" count="1">
            <x v="2151"/>
          </reference>
        </references>
      </pivotArea>
    </format>
    <format dxfId="3358">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3712"/>
          </reference>
          <reference field="82" count="1">
            <x v="2152"/>
          </reference>
        </references>
      </pivotArea>
    </format>
    <format dxfId="3357">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3693"/>
          </reference>
          <reference field="82" count="1">
            <x v="2137"/>
          </reference>
        </references>
      </pivotArea>
    </format>
    <format dxfId="3356">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3697"/>
          </reference>
          <reference field="82" count="1">
            <x v="2136"/>
          </reference>
        </references>
      </pivotArea>
    </format>
    <format dxfId="3355">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3695"/>
          </reference>
          <reference field="82" count="1">
            <x v="2134"/>
          </reference>
        </references>
      </pivotArea>
    </format>
    <format dxfId="3354">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3696"/>
          </reference>
          <reference field="82" count="1">
            <x v="2135"/>
          </reference>
        </references>
      </pivotArea>
    </format>
    <format dxfId="3353">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3756"/>
          </reference>
          <reference field="82" count="1">
            <x v="2210"/>
          </reference>
        </references>
      </pivotArea>
    </format>
    <format dxfId="3352">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3786"/>
          </reference>
          <reference field="82" count="1">
            <x v="2253"/>
          </reference>
        </references>
      </pivotArea>
    </format>
    <format dxfId="3351">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3787"/>
          </reference>
          <reference field="82" count="1">
            <x v="2254"/>
          </reference>
        </references>
      </pivotArea>
    </format>
    <format dxfId="3350">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3788"/>
          </reference>
          <reference field="82" count="1">
            <x v="2255"/>
          </reference>
        </references>
      </pivotArea>
    </format>
    <format dxfId="3349">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3794"/>
          </reference>
          <reference field="82" count="1">
            <x v="2265"/>
          </reference>
        </references>
      </pivotArea>
    </format>
    <format dxfId="3348">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3772"/>
          </reference>
          <reference field="82" count="1">
            <x v="2266"/>
          </reference>
        </references>
      </pivotArea>
    </format>
    <format dxfId="3347">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3704"/>
          </reference>
          <reference field="82" count="1">
            <x v="2264"/>
          </reference>
        </references>
      </pivotArea>
    </format>
    <format dxfId="3346">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3756"/>
          </reference>
          <reference field="82" count="1">
            <x v="2210"/>
          </reference>
        </references>
      </pivotArea>
    </format>
    <format dxfId="3345">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3789"/>
          </reference>
          <reference field="82" count="1">
            <x v="2256"/>
          </reference>
        </references>
      </pivotArea>
    </format>
    <format dxfId="3344">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3790"/>
          </reference>
          <reference field="82" count="1">
            <x v="2257"/>
          </reference>
        </references>
      </pivotArea>
    </format>
    <format dxfId="3343">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3773"/>
          </reference>
          <reference field="82" count="1">
            <x v="2258"/>
          </reference>
        </references>
      </pivotArea>
    </format>
    <format dxfId="3342">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3794"/>
          </reference>
          <reference field="82" count="1">
            <x v="2265"/>
          </reference>
        </references>
      </pivotArea>
    </format>
    <format dxfId="3341">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3772"/>
          </reference>
          <reference field="82" count="1">
            <x v="2266"/>
          </reference>
        </references>
      </pivotArea>
    </format>
    <format dxfId="3340">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3795"/>
          </reference>
          <reference field="82" count="1">
            <x v="2267"/>
          </reference>
        </references>
      </pivotArea>
    </format>
    <format dxfId="333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3704"/>
          </reference>
          <reference field="82" count="1">
            <x v="2264"/>
          </reference>
        </references>
      </pivotArea>
    </format>
    <format dxfId="333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3796"/>
          </reference>
          <reference field="82" count="1">
            <x v="2268"/>
          </reference>
        </references>
      </pivotArea>
    </format>
    <format dxfId="3337">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3820"/>
          </reference>
          <reference field="82" count="1">
            <x v="2297"/>
          </reference>
        </references>
      </pivotArea>
    </format>
    <format dxfId="3336">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3821"/>
          </reference>
          <reference field="82" count="1">
            <x v="2298"/>
          </reference>
        </references>
      </pivotArea>
    </format>
    <format dxfId="3335">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selected="0">
            <x v="3835"/>
          </reference>
          <reference field="82" count="1">
            <x v="2326"/>
          </reference>
        </references>
      </pivotArea>
    </format>
    <format dxfId="3334">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selected="0">
            <x v="3836"/>
          </reference>
          <reference field="82" count="1">
            <x v="2327"/>
          </reference>
        </references>
      </pivotArea>
    </format>
    <format dxfId="3333">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selected="0">
            <x v="3837"/>
          </reference>
          <reference field="82" count="1">
            <x v="2328"/>
          </reference>
        </references>
      </pivotArea>
    </format>
    <format dxfId="3332">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selected="0">
            <x v="3826"/>
          </reference>
          <reference field="82" count="1">
            <x v="2304"/>
          </reference>
        </references>
      </pivotArea>
    </format>
    <format dxfId="3331">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selected="0">
            <x v="3757"/>
          </reference>
          <reference field="82" count="1">
            <x v="2219"/>
          </reference>
        </references>
      </pivotArea>
    </format>
    <format dxfId="3330">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selected="0">
            <x v="3839"/>
          </reference>
          <reference field="82" count="1">
            <x v="2333"/>
          </reference>
        </references>
      </pivotArea>
    </format>
    <format dxfId="3329">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selected="0">
            <x v="3840"/>
          </reference>
          <reference field="82" count="1">
            <x v="2334"/>
          </reference>
        </references>
      </pivotArea>
    </format>
    <format dxfId="3328">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selected="0">
            <x v="3798"/>
          </reference>
          <reference field="82" count="1">
            <x v="2335"/>
          </reference>
        </references>
      </pivotArea>
    </format>
    <format dxfId="3327">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3757"/>
          </reference>
          <reference field="82" count="1">
            <x v="2330"/>
          </reference>
        </references>
      </pivotArea>
    </format>
    <format dxfId="3326">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3839"/>
          </reference>
          <reference field="82" count="1">
            <x v="2331"/>
          </reference>
        </references>
      </pivotArea>
    </format>
    <format dxfId="3325">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3799"/>
          </reference>
          <reference field="82" count="1">
            <x v="2332"/>
          </reference>
        </references>
      </pivotArea>
    </format>
    <format dxfId="3324">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3838"/>
          </reference>
          <reference field="82" count="1">
            <x v="2329"/>
          </reference>
        </references>
      </pivotArea>
    </format>
    <format dxfId="3323">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3711"/>
          </reference>
          <reference field="82" count="1">
            <x v="2161"/>
          </reference>
        </references>
      </pivotArea>
    </format>
    <format dxfId="3322">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3718"/>
          </reference>
          <reference field="82" count="1">
            <x v="2162"/>
          </reference>
        </references>
      </pivotArea>
    </format>
    <format dxfId="3321">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3808"/>
          </reference>
          <reference field="82" count="1">
            <x v="2283"/>
          </reference>
        </references>
      </pivotArea>
    </format>
    <format dxfId="3320">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3778"/>
          </reference>
          <reference field="82" count="1">
            <x v="2341"/>
          </reference>
        </references>
      </pivotArea>
    </format>
    <format dxfId="3319">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3776"/>
          </reference>
          <reference field="82" count="1">
            <x v="2342"/>
          </reference>
        </references>
      </pivotArea>
    </format>
    <format dxfId="3318">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3842"/>
          </reference>
          <reference field="82" count="1">
            <x v="2344"/>
          </reference>
        </references>
      </pivotArea>
    </format>
    <format dxfId="3317">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735"/>
          </reference>
          <reference field="82" count="1">
            <x v="2183"/>
          </reference>
        </references>
      </pivotArea>
    </format>
    <format dxfId="3316">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730"/>
          </reference>
          <reference field="82" count="1">
            <x v="2178"/>
          </reference>
        </references>
      </pivotArea>
    </format>
    <format dxfId="3315">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736"/>
          </reference>
          <reference field="82" count="1">
            <x v="2184"/>
          </reference>
        </references>
      </pivotArea>
    </format>
    <format dxfId="3314">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737"/>
          </reference>
          <reference field="82" count="1">
            <x v="2185"/>
          </reference>
        </references>
      </pivotArea>
    </format>
    <format dxfId="3313">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703"/>
          </reference>
          <reference field="82" count="1">
            <x v="2143"/>
          </reference>
        </references>
      </pivotArea>
    </format>
    <format dxfId="3312">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3797"/>
          </reference>
          <reference field="82" count="1">
            <x v="2310"/>
          </reference>
        </references>
      </pivotArea>
    </format>
    <format dxfId="3311">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3762"/>
          </reference>
          <reference field="82" count="1">
            <x v="2311"/>
          </reference>
        </references>
      </pivotArea>
    </format>
    <format dxfId="3310">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3795"/>
          </reference>
          <reference field="82" count="1">
            <x v="2313"/>
          </reference>
        </references>
      </pivotArea>
    </format>
    <format dxfId="3309">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3784"/>
          </reference>
          <reference field="82" count="1">
            <x v="2312"/>
          </reference>
        </references>
      </pivotArea>
    </format>
    <format dxfId="3308">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735"/>
          </reference>
          <reference field="82" count="1">
            <x v="2183"/>
          </reference>
        </references>
      </pivotArea>
    </format>
    <format dxfId="3307">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730"/>
          </reference>
          <reference field="82" count="1">
            <x v="2178"/>
          </reference>
        </references>
      </pivotArea>
    </format>
    <format dxfId="3306">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736"/>
          </reference>
          <reference field="82" count="1">
            <x v="2184"/>
          </reference>
        </references>
      </pivotArea>
    </format>
    <format dxfId="3305">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737"/>
          </reference>
          <reference field="82" count="1">
            <x v="2185"/>
          </reference>
        </references>
      </pivotArea>
    </format>
    <format dxfId="330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703"/>
          </reference>
          <reference field="82" count="1">
            <x v="2143"/>
          </reference>
        </references>
      </pivotArea>
    </format>
    <format dxfId="3303">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3797"/>
          </reference>
          <reference field="82" count="1">
            <x v="2310"/>
          </reference>
        </references>
      </pivotArea>
    </format>
    <format dxfId="3302">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3762"/>
          </reference>
          <reference field="82" count="1">
            <x v="2311"/>
          </reference>
        </references>
      </pivotArea>
    </format>
    <format dxfId="3301">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3795"/>
          </reference>
          <reference field="82" count="1">
            <x v="2313"/>
          </reference>
        </references>
      </pivotArea>
    </format>
    <format dxfId="3300">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3784"/>
          </reference>
          <reference field="82" count="1">
            <x v="2312"/>
          </reference>
        </references>
      </pivotArea>
    </format>
    <format dxfId="3299">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735"/>
          </reference>
          <reference field="82" count="1">
            <x v="2183"/>
          </reference>
        </references>
      </pivotArea>
    </format>
    <format dxfId="3298">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730"/>
          </reference>
          <reference field="82" count="1">
            <x v="2178"/>
          </reference>
        </references>
      </pivotArea>
    </format>
    <format dxfId="3297">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736"/>
          </reference>
          <reference field="82" count="1">
            <x v="2184"/>
          </reference>
        </references>
      </pivotArea>
    </format>
    <format dxfId="3296">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737"/>
          </reference>
          <reference field="82" count="1">
            <x v="2185"/>
          </reference>
        </references>
      </pivotArea>
    </format>
    <format dxfId="3295">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703"/>
          </reference>
          <reference field="82" count="1">
            <x v="2143"/>
          </reference>
        </references>
      </pivotArea>
    </format>
    <format dxfId="3294">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3797"/>
          </reference>
          <reference field="82" count="1">
            <x v="2310"/>
          </reference>
        </references>
      </pivotArea>
    </format>
    <format dxfId="329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3762"/>
          </reference>
          <reference field="82" count="1">
            <x v="2311"/>
          </reference>
        </references>
      </pivotArea>
    </format>
    <format dxfId="3292">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3795"/>
          </reference>
          <reference field="82" count="1">
            <x v="2313"/>
          </reference>
        </references>
      </pivotArea>
    </format>
    <format dxfId="3291">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3784"/>
          </reference>
          <reference field="82" count="1">
            <x v="2312"/>
          </reference>
        </references>
      </pivotArea>
    </format>
    <format dxfId="3290">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selected="0">
            <x v="3841"/>
          </reference>
          <reference field="82" count="1">
            <x v="2337"/>
          </reference>
        </references>
      </pivotArea>
    </format>
    <format dxfId="3289">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835"/>
          </reference>
          <reference field="82" count="1">
            <x v="2340"/>
          </reference>
        </references>
      </pivotArea>
    </format>
    <format dxfId="3288">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784"/>
          </reference>
          <reference field="82" count="1">
            <x v="2338"/>
          </reference>
        </references>
      </pivotArea>
    </format>
    <format dxfId="3287">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834"/>
          </reference>
          <reference field="82" count="1">
            <x v="2339"/>
          </reference>
        </references>
      </pivotArea>
    </format>
    <format dxfId="3286">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3707"/>
          </reference>
          <reference field="82" count="1">
            <x v="2147"/>
          </reference>
        </references>
      </pivotArea>
    </format>
    <format dxfId="3285">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694"/>
          </reference>
          <reference field="82" count="1">
            <x v="2318"/>
          </reference>
        </references>
      </pivotArea>
    </format>
    <format dxfId="3284">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833"/>
          </reference>
          <reference field="82" count="1">
            <x v="2319"/>
          </reference>
        </references>
      </pivotArea>
    </format>
    <format dxfId="3283">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758"/>
          </reference>
          <reference field="82" count="1">
            <x v="2320"/>
          </reference>
        </references>
      </pivotArea>
    </format>
    <format dxfId="3282">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3707"/>
          </reference>
          <reference field="82" count="1">
            <x v="2147"/>
          </reference>
        </references>
      </pivotArea>
    </format>
    <format dxfId="3281">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694"/>
          </reference>
          <reference field="82" count="1">
            <x v="2318"/>
          </reference>
        </references>
      </pivotArea>
    </format>
    <format dxfId="3280">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833"/>
          </reference>
          <reference field="82" count="1">
            <x v="2319"/>
          </reference>
        </references>
      </pivotArea>
    </format>
    <format dxfId="3279">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758"/>
          </reference>
          <reference field="82" count="1">
            <x v="2320"/>
          </reference>
        </references>
      </pivotArea>
    </format>
    <format dxfId="3278">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selected="0">
            <x v="3702"/>
          </reference>
          <reference field="82" count="1">
            <x v="2307"/>
          </reference>
        </references>
      </pivotArea>
    </format>
    <format dxfId="3277">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selected="0">
            <x v="3829"/>
          </reference>
          <reference field="82" count="1">
            <x v="2308"/>
          </reference>
        </references>
      </pivotArea>
    </format>
    <format dxfId="3276">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selected="0">
            <x v="3828"/>
          </reference>
          <reference field="82" count="1">
            <x v="2306"/>
          </reference>
        </references>
      </pivotArea>
    </format>
    <format dxfId="3275">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selected="0">
            <x v="3830"/>
          </reference>
          <reference field="82" count="1">
            <x v="2309"/>
          </reference>
        </references>
      </pivotArea>
    </format>
    <format dxfId="3274">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3806"/>
          </reference>
          <reference field="82" count="1">
            <x v="2281"/>
          </reference>
        </references>
      </pivotArea>
    </format>
    <format dxfId="3273">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3807"/>
          </reference>
          <reference field="82" count="1">
            <x v="2282"/>
          </reference>
        </references>
      </pivotArea>
    </format>
    <format dxfId="3272">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3805"/>
          </reference>
          <reference field="82" count="1">
            <x v="2280"/>
          </reference>
        </references>
      </pivotArea>
    </format>
    <format dxfId="3271">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735"/>
          </reference>
          <reference field="82" count="1">
            <x v="2183"/>
          </reference>
        </references>
      </pivotArea>
    </format>
    <format dxfId="3270">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730"/>
          </reference>
          <reference field="82" count="1">
            <x v="2178"/>
          </reference>
        </references>
      </pivotArea>
    </format>
    <format dxfId="3269">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736"/>
          </reference>
          <reference field="82" count="1">
            <x v="2184"/>
          </reference>
        </references>
      </pivotArea>
    </format>
    <format dxfId="3268">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737"/>
          </reference>
          <reference field="82" count="1">
            <x v="2185"/>
          </reference>
        </references>
      </pivotArea>
    </format>
    <format dxfId="3267">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3781"/>
          </reference>
          <reference field="82" count="1">
            <x v="2314"/>
          </reference>
        </references>
      </pivotArea>
    </format>
    <format dxfId="3266">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3832"/>
          </reference>
          <reference field="82" count="1">
            <x v="2316"/>
          </reference>
        </references>
      </pivotArea>
    </format>
    <format dxfId="3265">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3785"/>
          </reference>
          <reference field="82" count="1">
            <x v="2317"/>
          </reference>
        </references>
      </pivotArea>
    </format>
    <format dxfId="3264">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3831"/>
          </reference>
          <reference field="82" count="1">
            <x v="2315"/>
          </reference>
        </references>
      </pivotArea>
    </format>
    <format dxfId="3263">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3781"/>
          </reference>
          <reference field="82" count="1">
            <x v="2314"/>
          </reference>
        </references>
      </pivotArea>
    </format>
    <format dxfId="3262">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3832"/>
          </reference>
          <reference field="82" count="1">
            <x v="2316"/>
          </reference>
        </references>
      </pivotArea>
    </format>
    <format dxfId="3261">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3785"/>
          </reference>
          <reference field="82" count="1">
            <x v="2317"/>
          </reference>
        </references>
      </pivotArea>
    </format>
    <format dxfId="3260">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3831"/>
          </reference>
          <reference field="82" count="1">
            <x v="2315"/>
          </reference>
        </references>
      </pivotArea>
    </format>
    <format dxfId="3259">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3699"/>
          </reference>
          <reference field="82" count="1">
            <x v="2139"/>
          </reference>
        </references>
      </pivotArea>
    </format>
    <format dxfId="3258">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3843"/>
          </reference>
          <reference field="82" count="1">
            <x v="2346"/>
          </reference>
        </references>
      </pivotArea>
    </format>
    <format dxfId="3257">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3726"/>
          </reference>
          <reference field="82" count="1">
            <x v="2173"/>
          </reference>
        </references>
      </pivotArea>
    </format>
    <format dxfId="3256">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3700"/>
          </reference>
          <reference field="82" count="1">
            <x v="2140"/>
          </reference>
        </references>
      </pivotArea>
    </format>
    <format dxfId="3255">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3726"/>
          </reference>
          <reference field="82" count="1">
            <x v="2174"/>
          </reference>
        </references>
      </pivotArea>
    </format>
    <format dxfId="3254">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3845"/>
          </reference>
          <reference field="82" count="1">
            <x v="2348"/>
          </reference>
        </references>
      </pivotArea>
    </format>
    <format dxfId="3253">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3847"/>
          </reference>
          <reference field="82" count="1">
            <x v="2350"/>
          </reference>
        </references>
      </pivotArea>
    </format>
    <format dxfId="3252">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3846"/>
          </reference>
          <reference field="82" count="1">
            <x v="2349"/>
          </reference>
        </references>
      </pivotArea>
    </format>
    <format dxfId="3251">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3722"/>
          </reference>
          <reference field="82" count="1">
            <x v="2166"/>
          </reference>
        </references>
      </pivotArea>
    </format>
    <format dxfId="3250">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3847"/>
          </reference>
          <reference field="82" count="1">
            <x v="2350"/>
          </reference>
        </references>
      </pivotArea>
    </format>
    <format dxfId="3249">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3698"/>
          </reference>
          <reference field="82" count="1">
            <x v="2138"/>
          </reference>
        </references>
      </pivotArea>
    </format>
    <format dxfId="3248">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3775"/>
          </reference>
          <reference field="82" count="1">
            <x v="2343"/>
          </reference>
        </references>
      </pivotArea>
    </format>
    <format dxfId="324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3799"/>
          </reference>
          <reference field="82" count="1">
            <x v="2273"/>
          </reference>
        </references>
      </pivotArea>
    </format>
    <format dxfId="324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3800"/>
          </reference>
          <reference field="82" count="1">
            <x v="2274"/>
          </reference>
        </references>
      </pivotArea>
    </format>
    <format dxfId="324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3805"/>
          </reference>
          <reference field="82" count="1">
            <x v="2279"/>
          </reference>
        </references>
      </pivotArea>
    </format>
    <format dxfId="324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3803"/>
          </reference>
          <reference field="82" count="1">
            <x v="2277"/>
          </reference>
        </references>
      </pivotArea>
    </format>
    <format dxfId="324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3802"/>
          </reference>
          <reference field="82" count="1">
            <x v="2276"/>
          </reference>
        </references>
      </pivotArea>
    </format>
    <format dxfId="324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3801"/>
          </reference>
          <reference field="82" count="1">
            <x v="2275"/>
          </reference>
        </references>
      </pivotArea>
    </format>
    <format dxfId="324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3798"/>
          </reference>
          <reference field="82" count="1">
            <x v="2272"/>
          </reference>
        </references>
      </pivotArea>
    </format>
    <format dxfId="324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3804"/>
          </reference>
          <reference field="82" count="1">
            <x v="2278"/>
          </reference>
        </references>
      </pivotArea>
    </format>
    <format dxfId="3239">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3844"/>
          </reference>
          <reference field="82" count="1">
            <x v="2347"/>
          </reference>
        </references>
      </pivotArea>
    </format>
    <format dxfId="3238">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3725"/>
          </reference>
          <reference field="82" count="1">
            <x v="2172"/>
          </reference>
        </references>
      </pivotArea>
    </format>
    <format dxfId="3237">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3724"/>
          </reference>
          <reference field="82" count="1">
            <x v="2170"/>
          </reference>
        </references>
      </pivotArea>
    </format>
    <format dxfId="3236">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3799"/>
          </reference>
          <reference field="82" count="1">
            <x v="2273"/>
          </reference>
        </references>
      </pivotArea>
    </format>
    <format dxfId="3235">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3798"/>
          </reference>
          <reference field="82" count="1">
            <x v="2272"/>
          </reference>
        </references>
      </pivotArea>
    </format>
    <format dxfId="3234">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3724"/>
          </reference>
          <reference field="82" count="1">
            <x v="2171"/>
          </reference>
        </references>
      </pivotArea>
    </format>
    <format dxfId="3233">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3759"/>
          </reference>
          <reference field="82" count="1">
            <x v="2336"/>
          </reference>
        </references>
      </pivotArea>
    </format>
    <format dxfId="3232">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3817"/>
          </reference>
          <reference field="82" count="1">
            <x v="2294"/>
          </reference>
        </references>
      </pivotArea>
    </format>
    <format dxfId="3231">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3819"/>
          </reference>
          <reference field="82" count="1">
            <x v="2296"/>
          </reference>
        </references>
      </pivotArea>
    </format>
    <format dxfId="3230">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3720"/>
          </reference>
          <reference field="82" count="1">
            <x v="2164"/>
          </reference>
        </references>
      </pivotArea>
    </format>
    <format dxfId="3229">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3719"/>
          </reference>
          <reference field="82" count="1">
            <x v="2163"/>
          </reference>
        </references>
      </pivotArea>
    </format>
    <format dxfId="3228">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3832"/>
          </reference>
          <reference field="82" count="1">
            <x v="2323"/>
          </reference>
        </references>
      </pivotArea>
    </format>
    <format dxfId="3227">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694"/>
          </reference>
          <reference field="82" count="1">
            <x v="2133"/>
          </reference>
        </references>
      </pivotArea>
    </format>
    <format dxfId="3226">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833"/>
          </reference>
          <reference field="82" count="1">
            <x v="2324"/>
          </reference>
        </references>
      </pivotArea>
    </format>
    <format dxfId="3225">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758"/>
          </reference>
          <reference field="82" count="1">
            <x v="2325"/>
          </reference>
        </references>
      </pivotArea>
    </format>
    <format dxfId="3224">
      <pivotArea dataOnly="0" labelOnly="1" outline="0" fieldPosition="0">
        <references count="10">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812"/>
          </reference>
          <reference field="82" count="1">
            <x v="2288"/>
          </reference>
        </references>
      </pivotArea>
    </format>
    <format dxfId="3223">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728"/>
          </reference>
          <reference field="82" count="1" selected="0">
            <x v="2176"/>
          </reference>
          <reference field="85" count="1" selected="0">
            <x v="4"/>
          </reference>
          <reference field="87" count="1">
            <x v="3091"/>
          </reference>
        </references>
      </pivotArea>
    </format>
    <format dxfId="3222">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730"/>
          </reference>
          <reference field="82" count="1" selected="0">
            <x v="2178"/>
          </reference>
          <reference field="85" count="1" selected="0">
            <x v="4"/>
          </reference>
          <reference field="87" count="1">
            <x v="3093"/>
          </reference>
        </references>
      </pivotArea>
    </format>
    <format dxfId="3221">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731"/>
          </reference>
          <reference field="82" count="1" selected="0">
            <x v="2179"/>
          </reference>
          <reference field="85" count="1" selected="0">
            <x v="4"/>
          </reference>
          <reference field="87" count="1">
            <x v="3094"/>
          </reference>
        </references>
      </pivotArea>
    </format>
    <format dxfId="3220">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727"/>
          </reference>
          <reference field="82" count="1" selected="0">
            <x v="2175"/>
          </reference>
          <reference field="85" count="1" selected="0">
            <x v="4"/>
          </reference>
          <reference field="87" count="1">
            <x v="3090"/>
          </reference>
        </references>
      </pivotArea>
    </format>
    <format dxfId="3219">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732"/>
          </reference>
          <reference field="82" count="1" selected="0">
            <x v="2180"/>
          </reference>
          <reference field="85" count="1" selected="0">
            <x v="4"/>
          </reference>
          <reference field="87" count="1">
            <x v="3095"/>
          </reference>
        </references>
      </pivotArea>
    </format>
    <format dxfId="3218">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733"/>
          </reference>
          <reference field="82" count="1" selected="0">
            <x v="2181"/>
          </reference>
          <reference field="85" count="1" selected="0">
            <x v="4"/>
          </reference>
          <reference field="87" count="1">
            <x v="3096"/>
          </reference>
        </references>
      </pivotArea>
    </format>
    <format dxfId="3217">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734"/>
          </reference>
          <reference field="82" count="1" selected="0">
            <x v="2182"/>
          </reference>
          <reference field="85" count="1" selected="0">
            <x v="4"/>
          </reference>
          <reference field="87" count="1">
            <x v="3097"/>
          </reference>
        </references>
      </pivotArea>
    </format>
    <format dxfId="3216">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729"/>
          </reference>
          <reference field="82" count="1" selected="0">
            <x v="2177"/>
          </reference>
          <reference field="85" count="1" selected="0">
            <x v="4"/>
          </reference>
          <reference field="87" count="1">
            <x v="3092"/>
          </reference>
        </references>
      </pivotArea>
    </format>
    <format dxfId="3215">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6"/>
          </reference>
          <reference field="85" count="1" selected="0">
            <x v="0"/>
          </reference>
          <reference field="87" count="1">
            <x v="3134"/>
          </reference>
        </references>
      </pivotArea>
    </format>
    <format dxfId="3214">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770"/>
          </reference>
          <reference field="82" count="1" selected="0">
            <x v="2237"/>
          </reference>
          <reference field="85" count="1" selected="0">
            <x v="0"/>
          </reference>
          <reference field="87" count="1">
            <x v="3135"/>
          </reference>
        </references>
      </pivotArea>
    </format>
    <format dxfId="3213">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771"/>
          </reference>
          <reference field="82" count="1" selected="0">
            <x v="2238"/>
          </reference>
          <reference field="85" count="1" selected="0">
            <x v="0"/>
          </reference>
          <reference field="87" count="1">
            <x v="3136"/>
          </reference>
        </references>
      </pivotArea>
    </format>
    <format dxfId="3212">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4"/>
          </reference>
          <reference field="85" count="1" selected="0">
            <x v="7"/>
          </reference>
          <reference field="87" count="1">
            <x v="3179"/>
          </reference>
        </references>
      </pivotArea>
    </format>
    <format dxfId="3211">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810"/>
          </reference>
          <reference field="82" count="1" selected="0">
            <x v="2285"/>
          </reference>
          <reference field="85" count="1" selected="0">
            <x v="7"/>
          </reference>
          <reference field="87" count="1">
            <x v="3180"/>
          </reference>
        </references>
      </pivotArea>
    </format>
    <format dxfId="3210">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762"/>
          </reference>
          <reference field="82" count="1" selected="0">
            <x v="2311"/>
          </reference>
          <reference field="85" count="1" selected="0">
            <x v="4"/>
          </reference>
          <reference field="87" count="1">
            <x v="3203"/>
          </reference>
        </references>
      </pivotArea>
    </format>
    <format dxfId="3209">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835"/>
          </reference>
          <reference field="82" count="1" selected="0">
            <x v="2322"/>
          </reference>
          <reference field="85" count="1" selected="0">
            <x v="4"/>
          </reference>
          <reference field="87" count="1">
            <x v="3216"/>
          </reference>
        </references>
      </pivotArea>
    </format>
    <format dxfId="3208">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784"/>
          </reference>
          <reference field="82" count="1" selected="0">
            <x v="2312"/>
          </reference>
          <reference field="85" count="1" selected="0">
            <x v="4"/>
          </reference>
          <reference field="87" count="1">
            <x v="3204"/>
          </reference>
        </references>
      </pivotArea>
    </format>
    <format dxfId="3207">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834"/>
          </reference>
          <reference field="82" count="1" selected="0">
            <x v="2321"/>
          </reference>
          <reference field="85" count="1" selected="0">
            <x v="4"/>
          </reference>
          <reference field="87" count="1">
            <x v="3215"/>
          </reference>
        </references>
      </pivotArea>
    </format>
    <format dxfId="3206">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6"/>
          </reference>
          <reference field="85" count="1" selected="0">
            <x v="7"/>
          </reference>
          <reference field="87" count="1">
            <x v="3179"/>
          </reference>
        </references>
      </pivotArea>
    </format>
    <format dxfId="3205">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811"/>
          </reference>
          <reference field="82" count="1" selected="0">
            <x v="2287"/>
          </reference>
          <reference field="85" count="1" selected="0">
            <x v="7"/>
          </reference>
          <reference field="87" count="1">
            <x v="3181"/>
          </reference>
        </references>
      </pivotArea>
    </format>
    <format dxfId="3204">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3"/>
          </reference>
          <reference field="85" count="1" selected="0">
            <x v="0"/>
          </reference>
          <reference field="87" count="1">
            <x v="3134"/>
          </reference>
        </references>
      </pivotArea>
    </format>
    <format dxfId="3203">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770"/>
          </reference>
          <reference field="82" count="1" selected="0">
            <x v="2234"/>
          </reference>
          <reference field="85" count="1" selected="0">
            <x v="0"/>
          </reference>
          <reference field="87" count="1">
            <x v="3135"/>
          </reference>
        </references>
      </pivotArea>
    </format>
    <format dxfId="3202">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771"/>
          </reference>
          <reference field="82" count="1" selected="0">
            <x v="2235"/>
          </reference>
          <reference field="85" count="1" selected="0">
            <x v="0"/>
          </reference>
          <reference field="87" count="1">
            <x v="3136"/>
          </reference>
        </references>
      </pivotArea>
    </format>
    <format dxfId="3201">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768"/>
          </reference>
          <reference field="82" count="1" selected="0">
            <x v="2232"/>
          </reference>
          <reference field="85" count="1" selected="0">
            <x v="0"/>
          </reference>
          <reference field="87" count="1">
            <x v="3133"/>
          </reference>
        </references>
      </pivotArea>
    </format>
    <format dxfId="3200">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6"/>
          </reference>
          <reference field="85" count="1" selected="0">
            <x v="7"/>
          </reference>
          <reference field="87" count="1">
            <x v="3179"/>
          </reference>
        </references>
      </pivotArea>
    </format>
    <format dxfId="3199">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811"/>
          </reference>
          <reference field="82" count="1" selected="0">
            <x v="2287"/>
          </reference>
          <reference field="85" count="1" selected="0">
            <x v="7"/>
          </reference>
          <reference field="87" count="1">
            <x v="3181"/>
          </reference>
        </references>
      </pivotArea>
    </format>
    <format dxfId="3198">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3"/>
          </reference>
          <reference field="85" count="1" selected="0">
            <x v="0"/>
          </reference>
          <reference field="87" count="1">
            <x v="3134"/>
          </reference>
        </references>
      </pivotArea>
    </format>
    <format dxfId="3197">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770"/>
          </reference>
          <reference field="82" count="1" selected="0">
            <x v="2234"/>
          </reference>
          <reference field="85" count="1" selected="0">
            <x v="0"/>
          </reference>
          <reference field="87" count="1">
            <x v="3135"/>
          </reference>
        </references>
      </pivotArea>
    </format>
    <format dxfId="3196">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771"/>
          </reference>
          <reference field="82" count="1" selected="0">
            <x v="2235"/>
          </reference>
          <reference field="85" count="1" selected="0">
            <x v="0"/>
          </reference>
          <reference field="87" count="1">
            <x v="3136"/>
          </reference>
        </references>
      </pivotArea>
    </format>
    <format dxfId="3195">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768"/>
          </reference>
          <reference field="82" count="1" selected="0">
            <x v="2232"/>
          </reference>
          <reference field="85" count="1" selected="0">
            <x v="0"/>
          </reference>
          <reference field="87" count="1">
            <x v="3133"/>
          </reference>
        </references>
      </pivotArea>
    </format>
    <format dxfId="3194">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6"/>
          </reference>
          <reference field="85" count="1" selected="0">
            <x v="7"/>
          </reference>
          <reference field="87" count="1">
            <x v="3179"/>
          </reference>
        </references>
      </pivotArea>
    </format>
    <format dxfId="3193">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811"/>
          </reference>
          <reference field="82" count="1" selected="0">
            <x v="2287"/>
          </reference>
          <reference field="85" count="1" selected="0">
            <x v="7"/>
          </reference>
          <reference field="87" count="1">
            <x v="3181"/>
          </reference>
        </references>
      </pivotArea>
    </format>
    <format dxfId="3192">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717"/>
          </reference>
          <reference field="82" count="1" selected="0">
            <x v="2158"/>
          </reference>
          <reference field="85" count="1" selected="0">
            <x v="7"/>
          </reference>
          <reference field="87" count="1">
            <x v="3080"/>
          </reference>
        </references>
      </pivotArea>
    </format>
    <format dxfId="3191">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selected="0">
            <x v="2160"/>
          </reference>
          <reference field="85" count="1" selected="0">
            <x v="7"/>
          </reference>
          <reference field="87" count="1">
            <x v="3073"/>
          </reference>
        </references>
      </pivotArea>
    </format>
    <format dxfId="3190">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3764"/>
          </reference>
          <reference field="82" count="1" selected="0">
            <x v="2228"/>
          </reference>
          <reference field="85" count="1" selected="0">
            <x v="0"/>
          </reference>
          <reference field="87" count="1">
            <x v="3129"/>
          </reference>
        </references>
      </pivotArea>
    </format>
    <format dxfId="3189">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767"/>
          </reference>
          <reference field="82" count="1" selected="0">
            <x v="2231"/>
          </reference>
          <reference field="85" count="1" selected="0">
            <x v="0"/>
          </reference>
          <reference field="87" count="1">
            <x v="3132"/>
          </reference>
        </references>
      </pivotArea>
    </format>
    <format dxfId="3188">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765"/>
          </reference>
          <reference field="82" count="1" selected="0">
            <x v="2229"/>
          </reference>
          <reference field="85" count="1" selected="0">
            <x v="0"/>
          </reference>
          <reference field="87" count="1">
            <x v="3130"/>
          </reference>
        </references>
      </pivotArea>
    </format>
    <format dxfId="3187">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766"/>
          </reference>
          <reference field="82" count="1" selected="0">
            <x v="2230"/>
          </reference>
          <reference field="85" count="1" selected="0">
            <x v="0"/>
          </reference>
          <reference field="87" count="1">
            <x v="3131"/>
          </reference>
        </references>
      </pivotArea>
    </format>
    <format dxfId="3186">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4"/>
          </reference>
          <reference field="85" count="1" selected="0">
            <x v="7"/>
          </reference>
          <reference field="87" count="1">
            <x v="3179"/>
          </reference>
        </references>
      </pivotArea>
    </format>
    <format dxfId="3185">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810"/>
          </reference>
          <reference field="82" count="1" selected="0">
            <x v="2285"/>
          </reference>
          <reference field="85" count="1" selected="0">
            <x v="7"/>
          </reference>
          <reference field="87" count="1">
            <x v="3180"/>
          </reference>
        </references>
      </pivotArea>
    </format>
    <format dxfId="3184">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762"/>
          </reference>
          <reference field="82" count="1" selected="0">
            <x v="2311"/>
          </reference>
          <reference field="85" count="1" selected="0">
            <x v="4"/>
          </reference>
          <reference field="87" count="1">
            <x v="3203"/>
          </reference>
        </references>
      </pivotArea>
    </format>
    <format dxfId="3183">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835"/>
          </reference>
          <reference field="82" count="1" selected="0">
            <x v="2322"/>
          </reference>
          <reference field="85" count="1" selected="0">
            <x v="4"/>
          </reference>
          <reference field="87" count="1">
            <x v="3216"/>
          </reference>
        </references>
      </pivotArea>
    </format>
    <format dxfId="3182">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784"/>
          </reference>
          <reference field="82" count="1" selected="0">
            <x v="2312"/>
          </reference>
          <reference field="85" count="1" selected="0">
            <x v="4"/>
          </reference>
          <reference field="87" count="1">
            <x v="3204"/>
          </reference>
        </references>
      </pivotArea>
    </format>
    <format dxfId="3181">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834"/>
          </reference>
          <reference field="82" count="1" selected="0">
            <x v="2321"/>
          </reference>
          <reference field="85" count="1" selected="0">
            <x v="4"/>
          </reference>
          <reference field="87" count="1">
            <x v="3215"/>
          </reference>
        </references>
      </pivotArea>
    </format>
    <format dxfId="3180">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711"/>
          </reference>
          <reference field="82" count="1" selected="0">
            <x v="2168"/>
          </reference>
          <reference field="85" count="1" selected="0">
            <x v="7"/>
          </reference>
          <reference field="87" count="1">
            <x v="3074"/>
          </reference>
        </references>
      </pivotArea>
    </format>
    <format dxfId="3179">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717"/>
          </reference>
          <reference field="82" count="1" selected="0">
            <x v="2159"/>
          </reference>
          <reference field="85" count="1" selected="0">
            <x v="7"/>
          </reference>
          <reference field="87" count="1">
            <x v="3080"/>
          </reference>
        </references>
      </pivotArea>
    </format>
    <format dxfId="317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728"/>
          </reference>
          <reference field="82" count="1" selected="0">
            <x v="2212"/>
          </reference>
          <reference field="85" count="1" selected="0">
            <x v="4"/>
          </reference>
          <reference field="87" count="1">
            <x v="3091"/>
          </reference>
        </references>
      </pivotArea>
    </format>
    <format dxfId="317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730"/>
          </reference>
          <reference field="82" count="1" selected="0">
            <x v="2214"/>
          </reference>
          <reference field="85" count="1" selected="0">
            <x v="4"/>
          </reference>
          <reference field="87" count="1">
            <x v="3093"/>
          </reference>
        </references>
      </pivotArea>
    </format>
    <format dxfId="317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731"/>
          </reference>
          <reference field="82" count="1" selected="0">
            <x v="2215"/>
          </reference>
          <reference field="85" count="1" selected="0">
            <x v="4"/>
          </reference>
          <reference field="87" count="1">
            <x v="3094"/>
          </reference>
        </references>
      </pivotArea>
    </format>
    <format dxfId="317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727"/>
          </reference>
          <reference field="82" count="1" selected="0">
            <x v="2211"/>
          </reference>
          <reference field="85" count="1" selected="0">
            <x v="4"/>
          </reference>
          <reference field="87" count="1">
            <x v="3090"/>
          </reference>
        </references>
      </pivotArea>
    </format>
    <format dxfId="317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732"/>
          </reference>
          <reference field="82" count="1" selected="0">
            <x v="2216"/>
          </reference>
          <reference field="85" count="1" selected="0">
            <x v="4"/>
          </reference>
          <reference field="87" count="1">
            <x v="3095"/>
          </reference>
        </references>
      </pivotArea>
    </format>
    <format dxfId="317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733"/>
          </reference>
          <reference field="82" count="1" selected="0">
            <x v="2217"/>
          </reference>
          <reference field="85" count="1" selected="0">
            <x v="4"/>
          </reference>
          <reference field="87" count="1">
            <x v="3096"/>
          </reference>
        </references>
      </pivotArea>
    </format>
    <format dxfId="317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734"/>
          </reference>
          <reference field="82" count="1" selected="0">
            <x v="2218"/>
          </reference>
          <reference field="85" count="1" selected="0">
            <x v="4"/>
          </reference>
          <reference field="87" count="1">
            <x v="3097"/>
          </reference>
        </references>
      </pivotArea>
    </format>
    <format dxfId="317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729"/>
          </reference>
          <reference field="82" count="1" selected="0">
            <x v="2213"/>
          </reference>
          <reference field="85" count="1" selected="0">
            <x v="4"/>
          </reference>
          <reference field="87" count="1">
            <x v="3092"/>
          </reference>
        </references>
      </pivotArea>
    </format>
    <format dxfId="3170">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3"/>
          </reference>
          <reference field="85" count="1" selected="0">
            <x v="0"/>
          </reference>
          <reference field="87" count="1">
            <x v="3134"/>
          </reference>
        </references>
      </pivotArea>
    </format>
    <format dxfId="3169">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770"/>
          </reference>
          <reference field="82" count="1" selected="0">
            <x v="2234"/>
          </reference>
          <reference field="85" count="1" selected="0">
            <x v="0"/>
          </reference>
          <reference field="87" count="1">
            <x v="3135"/>
          </reference>
        </references>
      </pivotArea>
    </format>
    <format dxfId="3168">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771"/>
          </reference>
          <reference field="82" count="1" selected="0">
            <x v="2235"/>
          </reference>
          <reference field="85" count="1" selected="0">
            <x v="0"/>
          </reference>
          <reference field="87" count="1">
            <x v="3136"/>
          </reference>
        </references>
      </pivotArea>
    </format>
    <format dxfId="3167">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768"/>
          </reference>
          <reference field="82" count="1" selected="0">
            <x v="2232"/>
          </reference>
          <reference field="85" count="1" selected="0">
            <x v="0"/>
          </reference>
          <reference field="87" count="1">
            <x v="3133"/>
          </reference>
        </references>
      </pivotArea>
    </format>
    <format dxfId="3166">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711"/>
          </reference>
          <reference field="82" count="1" selected="0">
            <x v="2167"/>
          </reference>
          <reference field="85" count="1" selected="0">
            <x v="7"/>
          </reference>
          <reference field="87" count="1">
            <x v="3074"/>
          </reference>
        </references>
      </pivotArea>
    </format>
    <format dxfId="3165">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4"/>
          </reference>
          <reference field="85" count="1" selected="0">
            <x v="7"/>
          </reference>
          <reference field="87" count="1">
            <x v="3179"/>
          </reference>
        </references>
      </pivotArea>
    </format>
    <format dxfId="3164">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810"/>
          </reference>
          <reference field="82" count="1" selected="0">
            <x v="2285"/>
          </reference>
          <reference field="85" count="1" selected="0">
            <x v="7"/>
          </reference>
          <reference field="87" count="1">
            <x v="3180"/>
          </reference>
        </references>
      </pivotArea>
    </format>
    <format dxfId="3163">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767"/>
          </reference>
          <reference field="82" count="1" selected="0">
            <x v="2231"/>
          </reference>
          <reference field="85" count="1" selected="0">
            <x v="0"/>
          </reference>
          <reference field="87" count="1">
            <x v="3132"/>
          </reference>
        </references>
      </pivotArea>
    </format>
    <format dxfId="3162">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765"/>
          </reference>
          <reference field="82" count="1" selected="0">
            <x v="2229"/>
          </reference>
          <reference field="85" count="1" selected="0">
            <x v="0"/>
          </reference>
          <reference field="87" count="1">
            <x v="3130"/>
          </reference>
        </references>
      </pivotArea>
    </format>
    <format dxfId="3161">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766"/>
          </reference>
          <reference field="82" count="1" selected="0">
            <x v="2230"/>
          </reference>
          <reference field="85" count="1" selected="0">
            <x v="0"/>
          </reference>
          <reference field="87" count="1">
            <x v="3131"/>
          </reference>
        </references>
      </pivotArea>
    </format>
    <format dxfId="3160">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4"/>
          </reference>
          <reference field="85" count="1" selected="0">
            <x v="7"/>
          </reference>
          <reference field="87" count="1">
            <x v="3179"/>
          </reference>
        </references>
      </pivotArea>
    </format>
    <format dxfId="3159">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810"/>
          </reference>
          <reference field="82" count="1" selected="0">
            <x v="2285"/>
          </reference>
          <reference field="85" count="1" selected="0">
            <x v="7"/>
          </reference>
          <reference field="87" count="1">
            <x v="3180"/>
          </reference>
        </references>
      </pivotArea>
    </format>
    <format dxfId="3158">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762"/>
          </reference>
          <reference field="82" count="1" selected="0">
            <x v="2311"/>
          </reference>
          <reference field="85" count="1" selected="0">
            <x v="4"/>
          </reference>
          <reference field="87" count="1">
            <x v="3203"/>
          </reference>
        </references>
      </pivotArea>
    </format>
    <format dxfId="3157">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835"/>
          </reference>
          <reference field="82" count="1" selected="0">
            <x v="2322"/>
          </reference>
          <reference field="85" count="1" selected="0">
            <x v="4"/>
          </reference>
          <reference field="87" count="1">
            <x v="3216"/>
          </reference>
        </references>
      </pivotArea>
    </format>
    <format dxfId="3156">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784"/>
          </reference>
          <reference field="82" count="1" selected="0">
            <x v="2312"/>
          </reference>
          <reference field="85" count="1" selected="0">
            <x v="4"/>
          </reference>
          <reference field="87" count="1">
            <x v="3204"/>
          </reference>
        </references>
      </pivotArea>
    </format>
    <format dxfId="3155">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834"/>
          </reference>
          <reference field="82" count="1" selected="0">
            <x v="2321"/>
          </reference>
          <reference field="85" count="1" selected="0">
            <x v="4"/>
          </reference>
          <reference field="87" count="1">
            <x v="3215"/>
          </reference>
        </references>
      </pivotArea>
    </format>
    <format dxfId="3154">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6"/>
          </reference>
          <reference field="85" count="1" selected="0">
            <x v="7"/>
          </reference>
          <reference field="87" count="1">
            <x v="3179"/>
          </reference>
        </references>
      </pivotArea>
    </format>
    <format dxfId="3153">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811"/>
          </reference>
          <reference field="82" count="1" selected="0">
            <x v="2287"/>
          </reference>
          <reference field="85" count="1" selected="0">
            <x v="7"/>
          </reference>
          <reference field="87" count="1">
            <x v="3181"/>
          </reference>
        </references>
      </pivotArea>
    </format>
    <format dxfId="3152">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3"/>
          </reference>
          <reference field="85" count="1" selected="0">
            <x v="0"/>
          </reference>
          <reference field="87" count="1">
            <x v="3134"/>
          </reference>
        </references>
      </pivotArea>
    </format>
    <format dxfId="3151">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3775"/>
          </reference>
          <reference field="82" count="1" selected="0">
            <x v="2242"/>
          </reference>
          <reference field="85" count="1" selected="0">
            <x v="0"/>
          </reference>
          <reference field="87" count="1">
            <x v="3140"/>
          </reference>
        </references>
      </pivotArea>
    </format>
    <format dxfId="3150">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3776"/>
          </reference>
          <reference field="82" count="1" selected="0">
            <x v="2243"/>
          </reference>
          <reference field="85" count="1" selected="0">
            <x v="0"/>
          </reference>
          <reference field="87" count="1">
            <x v="3141"/>
          </reference>
        </references>
      </pivotArea>
    </format>
    <format dxfId="3149">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3777"/>
          </reference>
          <reference field="82" count="1" selected="0">
            <x v="2244"/>
          </reference>
          <reference field="85" count="1" selected="0">
            <x v="0"/>
          </reference>
          <reference field="87" count="1">
            <x v="3142"/>
          </reference>
        </references>
      </pivotArea>
    </format>
    <format dxfId="3148">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3713"/>
          </reference>
          <reference field="82" count="1" selected="0">
            <x v="2154"/>
          </reference>
          <reference field="85" count="1" selected="0">
            <x v="7"/>
          </reference>
          <reference field="87" count="1">
            <x v="3076"/>
          </reference>
        </references>
      </pivotArea>
    </format>
    <format dxfId="3147">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714"/>
          </reference>
          <reference field="82" count="1" selected="0">
            <x v="2155"/>
          </reference>
          <reference field="85" count="1" selected="0">
            <x v="7"/>
          </reference>
          <reference field="87" count="1">
            <x v="3077"/>
          </reference>
        </references>
      </pivotArea>
    </format>
    <format dxfId="3146">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772"/>
          </reference>
          <reference field="82" count="1" selected="0">
            <x v="2239"/>
          </reference>
          <reference field="85" count="1" selected="0">
            <x v="0"/>
          </reference>
          <reference field="87" count="1">
            <x v="3137"/>
          </reference>
        </references>
      </pivotArea>
    </format>
    <format dxfId="3145">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773"/>
          </reference>
          <reference field="82" count="1" selected="0">
            <x v="2240"/>
          </reference>
          <reference field="85" count="1" selected="0">
            <x v="0"/>
          </reference>
          <reference field="87" count="1">
            <x v="3138"/>
          </reference>
        </references>
      </pivotArea>
    </format>
    <format dxfId="3144">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774"/>
          </reference>
          <reference field="82" count="1" selected="0">
            <x v="2241"/>
          </reference>
          <reference field="85" count="1" selected="0">
            <x v="0"/>
          </reference>
          <reference field="87" count="1">
            <x v="3139"/>
          </reference>
        </references>
      </pivotArea>
    </format>
    <format dxfId="3143">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812"/>
          </reference>
          <reference field="82" count="1" selected="0">
            <x v="2288"/>
          </reference>
          <reference field="85" count="1" selected="0">
            <x v="7"/>
          </reference>
          <reference field="87" count="1">
            <x v="3182"/>
          </reference>
        </references>
      </pivotArea>
    </format>
    <format dxfId="3142">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3813"/>
          </reference>
          <reference field="82" count="1" selected="0">
            <x v="2289"/>
          </reference>
          <reference field="85" count="1" selected="0">
            <x v="7"/>
          </reference>
          <reference field="87" count="1">
            <x v="3183"/>
          </reference>
        </references>
      </pivotArea>
    </format>
    <format dxfId="3141">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3723"/>
          </reference>
          <reference field="82" count="1" selected="0">
            <x v="2169"/>
          </reference>
          <reference field="85" count="1" selected="0">
            <x v="7"/>
          </reference>
          <reference field="87" count="1">
            <x v="3086"/>
          </reference>
        </references>
      </pivotArea>
    </format>
    <format dxfId="3140">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772"/>
          </reference>
          <reference field="82" count="1" selected="0">
            <x v="2239"/>
          </reference>
          <reference field="85" count="1" selected="0">
            <x v="0"/>
          </reference>
          <reference field="87" count="1">
            <x v="3137"/>
          </reference>
        </references>
      </pivotArea>
    </format>
    <format dxfId="3139">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773"/>
          </reference>
          <reference field="82" count="1" selected="0">
            <x v="2240"/>
          </reference>
          <reference field="85" count="1" selected="0">
            <x v="0"/>
          </reference>
          <reference field="87" count="1">
            <x v="3138"/>
          </reference>
        </references>
      </pivotArea>
    </format>
    <format dxfId="3138">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774"/>
          </reference>
          <reference field="82" count="1" selected="0">
            <x v="2241"/>
          </reference>
          <reference field="85" count="1" selected="0">
            <x v="0"/>
          </reference>
          <reference field="87" count="1">
            <x v="3139"/>
          </reference>
        </references>
      </pivotArea>
    </format>
    <format dxfId="3137">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812"/>
          </reference>
          <reference field="82" count="1" selected="0">
            <x v="2288"/>
          </reference>
          <reference field="85" count="1" selected="0">
            <x v="7"/>
          </reference>
          <reference field="87" count="1">
            <x v="3182"/>
          </reference>
        </references>
      </pivotArea>
    </format>
    <format dxfId="3136">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3781"/>
          </reference>
          <reference field="82" count="1" selected="0">
            <x v="2248"/>
          </reference>
          <reference field="85" count="1" selected="0">
            <x v="0"/>
          </reference>
          <reference field="87" count="1">
            <x v="3146"/>
          </reference>
        </references>
      </pivotArea>
    </format>
    <format dxfId="3135">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3782"/>
          </reference>
          <reference field="82" count="1" selected="0">
            <x v="2249"/>
          </reference>
          <reference field="85" count="1" selected="0">
            <x v="0"/>
          </reference>
          <reference field="87" count="1">
            <x v="3147"/>
          </reference>
        </references>
      </pivotArea>
    </format>
    <format dxfId="3134">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3783"/>
          </reference>
          <reference field="82" count="1" selected="0">
            <x v="2250"/>
          </reference>
          <reference field="85" count="1" selected="0">
            <x v="0"/>
          </reference>
          <reference field="87" count="1">
            <x v="3148"/>
          </reference>
        </references>
      </pivotArea>
    </format>
    <format dxfId="3133">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3709"/>
          </reference>
          <reference field="82" count="1" selected="0">
            <x v="2149"/>
          </reference>
          <reference field="85" count="1" selected="0">
            <x v="7"/>
          </reference>
          <reference field="87" count="1">
            <x v="3072"/>
          </reference>
        </references>
      </pivotArea>
    </format>
    <format dxfId="3132">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selected="0">
            <x v="2150"/>
          </reference>
          <reference field="85" count="1" selected="0">
            <x v="7"/>
          </reference>
          <reference field="87" count="1">
            <x v="3073"/>
          </reference>
        </references>
      </pivotArea>
    </format>
    <format dxfId="3131">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3727"/>
          </reference>
          <reference field="82" count="1" selected="0">
            <x v="2204"/>
          </reference>
          <reference field="85" count="1" selected="0">
            <x v="4"/>
          </reference>
          <reference field="87" count="1">
            <x v="3090"/>
          </reference>
        </references>
      </pivotArea>
    </format>
    <format dxfId="3130">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3733"/>
          </reference>
          <reference field="82" count="1" selected="0">
            <x v="2205"/>
          </reference>
          <reference field="85" count="1" selected="0">
            <x v="4"/>
          </reference>
          <reference field="87" count="1">
            <x v="3096"/>
          </reference>
        </references>
      </pivotArea>
    </format>
    <format dxfId="3129">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3729"/>
          </reference>
          <reference field="82" count="1" selected="0">
            <x v="2202"/>
          </reference>
          <reference field="85" count="1" selected="0">
            <x v="4"/>
          </reference>
          <reference field="87" count="1">
            <x v="3092"/>
          </reference>
        </references>
      </pivotArea>
    </format>
    <format dxfId="3128">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3751"/>
          </reference>
          <reference field="82" count="1" selected="0">
            <x v="2203"/>
          </reference>
          <reference field="85" count="1" selected="0">
            <x v="4"/>
          </reference>
          <reference field="87" count="1">
            <x v="3114"/>
          </reference>
        </references>
      </pivotArea>
    </format>
    <format dxfId="3127">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3778"/>
          </reference>
          <reference field="82" count="1" selected="0">
            <x v="2245"/>
          </reference>
          <reference field="85" count="1" selected="0">
            <x v="0"/>
          </reference>
          <reference field="87" count="1">
            <x v="3143"/>
          </reference>
        </references>
      </pivotArea>
    </format>
    <format dxfId="3126">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3779"/>
          </reference>
          <reference field="82" count="1" selected="0">
            <x v="2246"/>
          </reference>
          <reference field="85" count="1" selected="0">
            <x v="0"/>
          </reference>
          <reference field="87" count="1">
            <x v="3144"/>
          </reference>
        </references>
      </pivotArea>
    </format>
    <format dxfId="3125">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3780"/>
          </reference>
          <reference field="82" count="1" selected="0">
            <x v="2247"/>
          </reference>
          <reference field="85" count="1" selected="0">
            <x v="0"/>
          </reference>
          <reference field="87" count="1">
            <x v="3145"/>
          </reference>
        </references>
      </pivotArea>
    </format>
    <format dxfId="3124">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823"/>
          </reference>
          <reference field="82" count="1" selected="0">
            <x v="2301"/>
          </reference>
          <reference field="85" count="1" selected="0">
            <x v="7"/>
          </reference>
          <reference field="87" count="1">
            <x v="3193"/>
          </reference>
        </references>
      </pivotArea>
    </format>
    <format dxfId="3123">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716"/>
          </reference>
          <reference field="82" count="1" selected="0">
            <x v="2157"/>
          </reference>
          <reference field="85" count="1" selected="0">
            <x v="7"/>
          </reference>
          <reference field="87" count="1">
            <x v="3079"/>
          </reference>
        </references>
      </pivotArea>
    </format>
    <format dxfId="3122">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3760"/>
          </reference>
          <reference field="82" count="1" selected="0">
            <x v="2223"/>
          </reference>
          <reference field="85" count="1" selected="0">
            <x v="0"/>
          </reference>
          <reference field="87" count="1">
            <x v="3124"/>
          </reference>
        </references>
      </pivotArea>
    </format>
    <format dxfId="3121">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3759"/>
          </reference>
          <reference field="82" count="1" selected="0">
            <x v="2222"/>
          </reference>
          <reference field="85" count="1" selected="0">
            <x v="0"/>
          </reference>
          <reference field="87" count="1">
            <x v="3123"/>
          </reference>
        </references>
      </pivotArea>
    </format>
    <format dxfId="3120">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3761"/>
          </reference>
          <reference field="82" count="1" selected="0">
            <x v="2224"/>
          </reference>
          <reference field="85" count="1" selected="0">
            <x v="0"/>
          </reference>
          <reference field="87" count="1">
            <x v="3125"/>
          </reference>
        </references>
      </pivotArea>
    </format>
    <format dxfId="3119">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3721"/>
          </reference>
          <reference field="82" count="1" selected="0">
            <x v="2165"/>
          </reference>
          <reference field="85" count="1" selected="0">
            <x v="7"/>
          </reference>
          <reference field="87" count="1">
            <x v="3084"/>
          </reference>
        </references>
      </pivotArea>
    </format>
    <format dxfId="3118">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716"/>
          </reference>
          <reference field="82" count="1" selected="0">
            <x v="2157"/>
          </reference>
          <reference field="85" count="1" selected="0">
            <x v="7"/>
          </reference>
          <reference field="87" count="1">
            <x v="3079"/>
          </reference>
        </references>
      </pivotArea>
    </format>
    <format dxfId="3117">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3754"/>
          </reference>
          <reference field="82" count="1" selected="0">
            <x v="2208"/>
          </reference>
          <reference field="85" count="1" selected="0">
            <x v="4"/>
          </reference>
          <reference field="87" count="1">
            <x v="3117"/>
          </reference>
        </references>
      </pivotArea>
    </format>
    <format dxfId="3116">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3755"/>
          </reference>
          <reference field="82" count="1" selected="0">
            <x v="2209"/>
          </reference>
          <reference field="85" count="1" selected="0">
            <x v="4"/>
          </reference>
          <reference field="87" count="1">
            <x v="3118"/>
          </reference>
        </references>
      </pivotArea>
    </format>
    <format dxfId="3115">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3752"/>
          </reference>
          <reference field="82" count="1" selected="0">
            <x v="2206"/>
          </reference>
          <reference field="85" count="1" selected="0">
            <x v="4"/>
          </reference>
          <reference field="87" count="1">
            <x v="3115"/>
          </reference>
        </references>
      </pivotArea>
    </format>
    <format dxfId="3114">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3753"/>
          </reference>
          <reference field="82" count="1" selected="0">
            <x v="2207"/>
          </reference>
          <reference field="85" count="1" selected="0">
            <x v="4"/>
          </reference>
          <reference field="87" count="1">
            <x v="3116"/>
          </reference>
        </references>
      </pivotArea>
    </format>
    <format dxfId="3113">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757"/>
          </reference>
          <reference field="82" count="1" selected="0">
            <x v="2219"/>
          </reference>
          <reference field="85" count="1" selected="0">
            <x v="0"/>
          </reference>
          <reference field="87" count="1">
            <x v="3120"/>
          </reference>
        </references>
      </pivotArea>
    </format>
    <format dxfId="3112">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758"/>
          </reference>
          <reference field="82" count="1" selected="0">
            <x v="2220"/>
          </reference>
          <reference field="85" count="1" selected="0">
            <x v="0"/>
          </reference>
          <reference field="87" count="1">
            <x v="3121"/>
          </reference>
        </references>
      </pivotArea>
    </format>
    <format dxfId="3111">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697"/>
          </reference>
          <reference field="82" count="1" selected="0">
            <x v="2221"/>
          </reference>
          <reference field="85" count="1" selected="0">
            <x v="0"/>
          </reference>
          <reference field="87" count="1">
            <x v="3122"/>
          </reference>
        </references>
      </pivotArea>
    </format>
    <format dxfId="3110">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selected="0">
            <x v="2150"/>
          </reference>
          <reference field="85" count="1" selected="0">
            <x v="7"/>
          </reference>
          <reference field="87" count="1">
            <x v="3073"/>
          </reference>
        </references>
      </pivotArea>
    </format>
    <format dxfId="3109">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757"/>
          </reference>
          <reference field="82" count="1" selected="0">
            <x v="2219"/>
          </reference>
          <reference field="85" count="1" selected="0">
            <x v="0"/>
          </reference>
          <reference field="87" count="1">
            <x v="3120"/>
          </reference>
        </references>
      </pivotArea>
    </format>
    <format dxfId="3108">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758"/>
          </reference>
          <reference field="82" count="1" selected="0">
            <x v="2220"/>
          </reference>
          <reference field="85" count="1" selected="0">
            <x v="0"/>
          </reference>
          <reference field="87" count="1">
            <x v="3121"/>
          </reference>
        </references>
      </pivotArea>
    </format>
    <format dxfId="3107">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697"/>
          </reference>
          <reference field="82" count="1" selected="0">
            <x v="2221"/>
          </reference>
          <reference field="85" count="1" selected="0">
            <x v="0"/>
          </reference>
          <reference field="87" count="1">
            <x v="3122"/>
          </reference>
        </references>
      </pivotArea>
    </format>
    <format dxfId="3106">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3715"/>
          </reference>
          <reference field="82" count="1" selected="0">
            <x v="2156"/>
          </reference>
          <reference field="85" count="1" selected="0">
            <x v="7"/>
          </reference>
          <reference field="87" count="1">
            <x v="3078"/>
          </reference>
        </references>
      </pivotArea>
    </format>
    <format dxfId="3105">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selected="0">
            <x v="2150"/>
          </reference>
          <reference field="85" count="1" selected="0">
            <x v="7"/>
          </reference>
          <reference field="87" count="1">
            <x v="3073"/>
          </reference>
        </references>
      </pivotArea>
    </format>
    <format dxfId="3104">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762"/>
          </reference>
          <reference field="82" count="1" selected="0">
            <x v="2225"/>
          </reference>
          <reference field="85" count="1" selected="0">
            <x v="0"/>
          </reference>
          <reference field="87" count="1">
            <x v="3126"/>
          </reference>
        </references>
      </pivotArea>
    </format>
    <format dxfId="3103">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763"/>
          </reference>
          <reference field="82" count="1" selected="0">
            <x v="2226"/>
          </reference>
          <reference field="85" count="1" selected="0">
            <x v="0"/>
          </reference>
          <reference field="87" count="1">
            <x v="3127"/>
          </reference>
        </references>
      </pivotArea>
    </format>
    <format dxfId="3102">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707"/>
          </reference>
          <reference field="82" count="1" selected="0">
            <x v="2227"/>
          </reference>
          <reference field="85" count="1" selected="0">
            <x v="0"/>
          </reference>
          <reference field="87" count="1">
            <x v="3128"/>
          </reference>
        </references>
      </pivotArea>
    </format>
    <format dxfId="3101">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788"/>
          </reference>
          <reference field="82" count="1" selected="0">
            <x v="2270"/>
          </reference>
          <reference field="85" count="1" selected="0">
            <x v="2"/>
          </reference>
          <reference field="87" count="1">
            <x v="3166"/>
          </reference>
        </references>
      </pivotArea>
    </format>
    <format dxfId="3100">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3793"/>
          </reference>
          <reference field="82" count="1" selected="0">
            <x v="2269"/>
          </reference>
          <reference field="85" count="1" selected="0">
            <x v="2"/>
          </reference>
          <reference field="87" count="1">
            <x v="3165"/>
          </reference>
        </references>
      </pivotArea>
    </format>
    <format dxfId="3099">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3797"/>
          </reference>
          <reference field="82" count="1" selected="0">
            <x v="2271"/>
          </reference>
          <reference field="85" count="1" selected="0">
            <x v="2"/>
          </reference>
          <reference field="87" count="1">
            <x v="3167"/>
          </reference>
        </references>
      </pivotArea>
    </format>
    <format dxfId="3098">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762"/>
          </reference>
          <reference field="82" count="1" selected="0">
            <x v="2225"/>
          </reference>
          <reference field="85" count="1" selected="0">
            <x v="0"/>
          </reference>
          <reference field="87" count="1">
            <x v="3126"/>
          </reference>
        </references>
      </pivotArea>
    </format>
    <format dxfId="3097">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763"/>
          </reference>
          <reference field="82" count="1" selected="0">
            <x v="2226"/>
          </reference>
          <reference field="85" count="1" selected="0">
            <x v="0"/>
          </reference>
          <reference field="87" count="1">
            <x v="3127"/>
          </reference>
        </references>
      </pivotArea>
    </format>
    <format dxfId="3096">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707"/>
          </reference>
          <reference field="82" count="1" selected="0">
            <x v="2227"/>
          </reference>
          <reference field="85" count="1" selected="0">
            <x v="0"/>
          </reference>
          <reference field="87" count="1">
            <x v="3128"/>
          </reference>
        </references>
      </pivotArea>
    </format>
    <format dxfId="3095">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714"/>
          </reference>
          <reference field="82" count="1" selected="0">
            <x v="2292"/>
          </reference>
          <reference field="85" count="1" selected="0">
            <x v="7"/>
          </reference>
          <reference field="87" count="1">
            <x v="3077"/>
          </reference>
        </references>
      </pivotArea>
    </format>
    <format dxfId="3094">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3832"/>
          </reference>
          <reference field="82" count="1" selected="0">
            <x v="2323"/>
          </reference>
          <reference field="85" count="1" selected="0">
            <x v="4"/>
          </reference>
          <reference field="87" count="1">
            <x v="3209"/>
          </reference>
        </references>
      </pivotArea>
    </format>
    <format dxfId="3093">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3694"/>
          </reference>
          <reference field="82" count="1" selected="0">
            <x v="2133"/>
          </reference>
          <reference field="85" count="1" selected="0">
            <x v="4"/>
          </reference>
          <reference field="87" count="1">
            <x v="3212"/>
          </reference>
        </references>
      </pivotArea>
    </format>
    <format dxfId="3092">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3693"/>
          </reference>
          <reference field="82" count="1" selected="0">
            <x v="2132"/>
          </reference>
          <reference field="85" count="1" selected="0">
            <x v="4"/>
          </reference>
          <reference field="87" count="1">
            <x v="3231"/>
          </reference>
        </references>
      </pivotArea>
    </format>
    <format dxfId="3091">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3831"/>
          </reference>
          <reference field="82" count="1" selected="0">
            <x v="2345"/>
          </reference>
          <reference field="85" count="1" selected="0">
            <x v="4"/>
          </reference>
          <reference field="87" count="1">
            <x v="3208"/>
          </reference>
        </references>
      </pivotArea>
    </format>
    <format dxfId="3090">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824"/>
          </reference>
          <reference field="82" count="1" selected="0">
            <x v="2302"/>
          </reference>
          <reference field="85" count="1" selected="0">
            <x v="4"/>
          </reference>
          <reference field="87" count="1">
            <x v="3194"/>
          </reference>
        </references>
      </pivotArea>
    </format>
    <format dxfId="3089">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825"/>
          </reference>
          <reference field="82" count="1" selected="0">
            <x v="2303"/>
          </reference>
          <reference field="85" count="1" selected="0">
            <x v="4"/>
          </reference>
          <reference field="87" count="1">
            <x v="3195"/>
          </reference>
        </references>
      </pivotArea>
    </format>
    <format dxfId="3088">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826"/>
          </reference>
          <reference field="82" count="1" selected="0">
            <x v="2304"/>
          </reference>
          <reference field="85" count="1" selected="0">
            <x v="4"/>
          </reference>
          <reference field="87" count="1">
            <x v="3196"/>
          </reference>
        </references>
      </pivotArea>
    </format>
    <format dxfId="3087">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827"/>
          </reference>
          <reference field="82" count="1" selected="0">
            <x v="2305"/>
          </reference>
          <reference field="85" count="1" selected="0">
            <x v="4"/>
          </reference>
          <reference field="87" count="1">
            <x v="3197"/>
          </reference>
        </references>
      </pivotArea>
    </format>
    <format dxfId="3086">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3694"/>
          </reference>
          <reference field="82" count="1" selected="0">
            <x v="2133"/>
          </reference>
          <reference field="85" count="1" selected="0">
            <x v="3"/>
          </reference>
          <reference field="87" count="1">
            <x v="3057"/>
          </reference>
        </references>
      </pivotArea>
    </format>
    <format dxfId="3085">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3693"/>
          </reference>
          <reference field="82" count="1" selected="0">
            <x v="2132"/>
          </reference>
          <reference field="85" count="1" selected="0">
            <x v="3"/>
          </reference>
          <reference field="87" count="1">
            <x v="3056"/>
          </reference>
        </references>
      </pivotArea>
    </format>
    <format dxfId="3084">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824"/>
          </reference>
          <reference field="82" count="1" selected="0">
            <x v="2302"/>
          </reference>
          <reference field="85" count="1" selected="0">
            <x v="4"/>
          </reference>
          <reference field="87" count="1">
            <x v="3194"/>
          </reference>
        </references>
      </pivotArea>
    </format>
    <format dxfId="3083">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825"/>
          </reference>
          <reference field="82" count="1" selected="0">
            <x v="2303"/>
          </reference>
          <reference field="85" count="1" selected="0">
            <x v="4"/>
          </reference>
          <reference field="87" count="1">
            <x v="3195"/>
          </reference>
        </references>
      </pivotArea>
    </format>
    <format dxfId="3082">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826"/>
          </reference>
          <reference field="82" count="1" selected="0">
            <x v="2304"/>
          </reference>
          <reference field="85" count="1" selected="0">
            <x v="4"/>
          </reference>
          <reference field="87" count="1">
            <x v="3196"/>
          </reference>
        </references>
      </pivotArea>
    </format>
    <format dxfId="3081">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827"/>
          </reference>
          <reference field="82" count="1" selected="0">
            <x v="2305"/>
          </reference>
          <reference field="85" count="1" selected="0">
            <x v="4"/>
          </reference>
          <reference field="87" count="1">
            <x v="3197"/>
          </reference>
        </references>
      </pivotArea>
    </format>
    <format dxfId="3080">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824"/>
          </reference>
          <reference field="82" count="1" selected="0">
            <x v="2302"/>
          </reference>
          <reference field="85" count="1" selected="0">
            <x v="4"/>
          </reference>
          <reference field="87" count="1">
            <x v="3194"/>
          </reference>
        </references>
      </pivotArea>
    </format>
    <format dxfId="3079">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825"/>
          </reference>
          <reference field="82" count="1" selected="0">
            <x v="2303"/>
          </reference>
          <reference field="85" count="1" selected="0">
            <x v="4"/>
          </reference>
          <reference field="87" count="1">
            <x v="3195"/>
          </reference>
        </references>
      </pivotArea>
    </format>
    <format dxfId="3078">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826"/>
          </reference>
          <reference field="82" count="1" selected="0">
            <x v="2304"/>
          </reference>
          <reference field="85" count="1" selected="0">
            <x v="4"/>
          </reference>
          <reference field="87" count="1">
            <x v="3196"/>
          </reference>
        </references>
      </pivotArea>
    </format>
    <format dxfId="3077">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827"/>
          </reference>
          <reference field="82" count="1" selected="0">
            <x v="2305"/>
          </reference>
          <reference field="85" count="1" selected="0">
            <x v="4"/>
          </reference>
          <reference field="87" count="1">
            <x v="3197"/>
          </reference>
        </references>
      </pivotArea>
    </format>
    <format dxfId="3076">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3707"/>
          </reference>
          <reference field="82" count="1" selected="0">
            <x v="2227"/>
          </reference>
          <reference field="85" count="1" selected="0">
            <x v="0"/>
          </reference>
          <reference field="87" count="1">
            <x v="3128"/>
          </reference>
        </references>
      </pivotArea>
    </format>
    <format dxfId="3075">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3785"/>
          </reference>
          <reference field="82" count="1" selected="0">
            <x v="2252"/>
          </reference>
          <reference field="85" count="1" selected="0">
            <x v="0"/>
          </reference>
          <reference field="87" count="1">
            <x v="3150"/>
          </reference>
        </references>
      </pivotArea>
    </format>
    <format dxfId="3074">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3784"/>
          </reference>
          <reference field="82" count="1" selected="0">
            <x v="2251"/>
          </reference>
          <reference field="85" count="1" selected="0">
            <x v="0"/>
          </reference>
          <reference field="87" count="1">
            <x v="3149"/>
          </reference>
        </references>
      </pivotArea>
    </format>
    <format dxfId="3073">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711"/>
          </reference>
          <reference field="82" count="1" selected="0">
            <x v="2151"/>
          </reference>
          <reference field="85" count="1" selected="0">
            <x v="7"/>
          </reference>
          <reference field="87" count="1">
            <x v="3074"/>
          </reference>
        </references>
      </pivotArea>
    </format>
    <format dxfId="3072">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712"/>
          </reference>
          <reference field="82" count="1" selected="0">
            <x v="2152"/>
          </reference>
          <reference field="85" count="1" selected="0">
            <x v="7"/>
          </reference>
          <reference field="87" count="1">
            <x v="3075"/>
          </reference>
        </references>
      </pivotArea>
    </format>
    <format dxfId="3071">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selected="0">
            <x v="2153"/>
          </reference>
          <reference field="85" count="1" selected="0">
            <x v="7"/>
          </reference>
          <reference field="87" count="1">
            <x v="3073"/>
          </reference>
        </references>
      </pivotArea>
    </format>
    <format dxfId="3070">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3748"/>
          </reference>
          <reference field="82" count="1" selected="0">
            <x v="2198"/>
          </reference>
          <reference field="85" count="1" selected="0">
            <x v="4"/>
          </reference>
          <reference field="87" count="1">
            <x v="3111"/>
          </reference>
        </references>
      </pivotArea>
    </format>
    <format dxfId="3069">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3738"/>
          </reference>
          <reference field="82" count="1" selected="0">
            <x v="2199"/>
          </reference>
          <reference field="85" count="1" selected="0">
            <x v="4"/>
          </reference>
          <reference field="87" count="1">
            <x v="3101"/>
          </reference>
        </references>
      </pivotArea>
    </format>
    <format dxfId="3068">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3749"/>
          </reference>
          <reference field="82" count="1" selected="0">
            <x v="2200"/>
          </reference>
          <reference field="85" count="1" selected="0">
            <x v="4"/>
          </reference>
          <reference field="87" count="1">
            <x v="3112"/>
          </reference>
        </references>
      </pivotArea>
    </format>
    <format dxfId="3067">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3750"/>
          </reference>
          <reference field="82" count="1" selected="0">
            <x v="2201"/>
          </reference>
          <reference field="85" count="1" selected="0">
            <x v="4"/>
          </reference>
          <reference field="87" count="1">
            <x v="3113"/>
          </reference>
        </references>
      </pivotArea>
    </format>
    <format dxfId="3066">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773"/>
          </reference>
          <reference field="82" count="1" selected="0">
            <x v="2258"/>
          </reference>
          <reference field="85" count="1" selected="0">
            <x v="0"/>
          </reference>
          <reference field="87" count="1">
            <x v="3138"/>
          </reference>
        </references>
      </pivotArea>
    </format>
    <format dxfId="3065">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3792"/>
          </reference>
          <reference field="82" count="1" selected="0">
            <x v="2262"/>
          </reference>
          <reference field="85" count="1" selected="0">
            <x v="0"/>
          </reference>
          <reference field="87" count="1">
            <x v="3158"/>
          </reference>
        </references>
      </pivotArea>
    </format>
    <format dxfId="3064">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3793"/>
          </reference>
          <reference field="82" count="1" selected="0">
            <x v="2263"/>
          </reference>
          <reference field="85" count="1" selected="0">
            <x v="0"/>
          </reference>
          <reference field="87" count="1">
            <x v="3159"/>
          </reference>
        </references>
      </pivotArea>
    </format>
    <format dxfId="3063">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822"/>
          </reference>
          <reference field="82" count="1" selected="0">
            <x v="2299"/>
          </reference>
          <reference field="85" count="1" selected="0">
            <x v="7"/>
          </reference>
          <reference field="87" count="1">
            <x v="3192"/>
          </reference>
        </references>
      </pivotArea>
    </format>
    <format dxfId="3062">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714"/>
          </reference>
          <reference field="82" count="1" selected="0">
            <x v="2300"/>
          </reference>
          <reference field="85" count="1" selected="0">
            <x v="7"/>
          </reference>
          <reference field="87" count="1">
            <x v="3077"/>
          </reference>
        </references>
      </pivotArea>
    </format>
    <format dxfId="3061">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3703"/>
          </reference>
          <reference field="82" count="1" selected="0">
            <x v="2143"/>
          </reference>
          <reference field="85" count="1" selected="0">
            <x v="3"/>
          </reference>
          <reference field="87" count="1">
            <x v="3066"/>
          </reference>
        </references>
      </pivotArea>
    </format>
    <format dxfId="3060">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3705"/>
          </reference>
          <reference field="82" count="1" selected="0">
            <x v="2145"/>
          </reference>
          <reference field="85" count="1" selected="0">
            <x v="3"/>
          </reference>
          <reference field="87" count="1">
            <x v="3068"/>
          </reference>
        </references>
      </pivotArea>
    </format>
    <format dxfId="3059">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3706"/>
          </reference>
          <reference field="82" count="1" selected="0">
            <x v="2146"/>
          </reference>
          <reference field="85" count="1" selected="0">
            <x v="3"/>
          </reference>
          <reference field="87" count="1">
            <x v="3069"/>
          </reference>
        </references>
      </pivotArea>
    </format>
    <format dxfId="3058">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707"/>
          </reference>
          <reference field="82" count="1" selected="0">
            <x v="2147"/>
          </reference>
          <reference field="85" count="1" selected="0">
            <x v="3"/>
          </reference>
          <reference field="87" count="1">
            <x v="3070"/>
          </reference>
        </references>
      </pivotArea>
    </format>
    <format dxfId="3057">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3704"/>
          </reference>
          <reference field="82" count="1" selected="0">
            <x v="2144"/>
          </reference>
          <reference field="85" count="1" selected="0">
            <x v="3"/>
          </reference>
          <reference field="87" count="1">
            <x v="3067"/>
          </reference>
        </references>
      </pivotArea>
    </format>
    <format dxfId="3056">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711"/>
          </reference>
          <reference field="82" count="1" selected="0">
            <x v="2151"/>
          </reference>
          <reference field="85" count="1" selected="0">
            <x v="7"/>
          </reference>
          <reference field="87" count="1">
            <x v="3074"/>
          </reference>
        </references>
      </pivotArea>
    </format>
    <format dxfId="3055">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712"/>
          </reference>
          <reference field="82" count="1" selected="0">
            <x v="2152"/>
          </reference>
          <reference field="85" count="1" selected="0">
            <x v="7"/>
          </reference>
          <reference field="87" count="1">
            <x v="3075"/>
          </reference>
        </references>
      </pivotArea>
    </format>
    <format dxfId="3054">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711"/>
          </reference>
          <reference field="82" count="1" selected="0">
            <x v="2151"/>
          </reference>
          <reference field="85" count="1" selected="0">
            <x v="7"/>
          </reference>
          <reference field="87" count="1">
            <x v="3074"/>
          </reference>
        </references>
      </pivotArea>
    </format>
    <format dxfId="3053">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712"/>
          </reference>
          <reference field="82" count="1" selected="0">
            <x v="2152"/>
          </reference>
          <reference field="85" count="1" selected="0">
            <x v="7"/>
          </reference>
          <reference field="87" count="1">
            <x v="3075"/>
          </reference>
        </references>
      </pivotArea>
    </format>
    <format dxfId="3052">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selected="0">
            <x v="2153"/>
          </reference>
          <reference field="85" count="1" selected="0">
            <x v="7"/>
          </reference>
          <reference field="87" count="1">
            <x v="3073"/>
          </reference>
        </references>
      </pivotArea>
    </format>
    <format dxfId="3051">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3746"/>
          </reference>
          <reference field="82" count="1" selected="0">
            <x v="2194"/>
          </reference>
          <reference field="85" count="1" selected="0">
            <x v="4"/>
          </reference>
          <reference field="87" count="1">
            <x v="3109"/>
          </reference>
        </references>
      </pivotArea>
    </format>
    <format dxfId="3050">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3744"/>
          </reference>
          <reference field="82" count="1" selected="0">
            <x v="2195"/>
          </reference>
          <reference field="85" count="1" selected="0">
            <x v="4"/>
          </reference>
          <reference field="87" count="1">
            <x v="3107"/>
          </reference>
        </references>
      </pivotArea>
    </format>
    <format dxfId="3049">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3747"/>
          </reference>
          <reference field="82" count="1" selected="0">
            <x v="2196"/>
          </reference>
          <reference field="85" count="1" selected="0">
            <x v="4"/>
          </reference>
          <reference field="87" count="1">
            <x v="3110"/>
          </reference>
        </references>
      </pivotArea>
    </format>
    <format dxfId="304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3739"/>
          </reference>
          <reference field="82" count="1" selected="0">
            <x v="2197"/>
          </reference>
          <reference field="85" count="1" selected="0">
            <x v="4"/>
          </reference>
          <reference field="87" count="1">
            <x v="3102"/>
          </reference>
        </references>
      </pivotArea>
    </format>
    <format dxfId="3047">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3705"/>
          </reference>
          <reference field="82" count="1" selected="0">
            <x v="2259"/>
          </reference>
          <reference field="85" count="1" selected="0">
            <x v="0"/>
          </reference>
          <reference field="87" count="1">
            <x v="3156"/>
          </reference>
        </references>
      </pivotArea>
    </format>
    <format dxfId="3046">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3771"/>
          </reference>
          <reference field="82" count="1" selected="0">
            <x v="2260"/>
          </reference>
          <reference field="85" count="1" selected="0">
            <x v="0"/>
          </reference>
          <reference field="87" count="1">
            <x v="3136"/>
          </reference>
        </references>
      </pivotArea>
    </format>
    <format dxfId="3045">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3791"/>
          </reference>
          <reference field="82" count="1" selected="0">
            <x v="2261"/>
          </reference>
          <reference field="85" count="1" selected="0">
            <x v="0"/>
          </reference>
          <reference field="87" count="1">
            <x v="3157"/>
          </reference>
        </references>
      </pivotArea>
    </format>
    <format dxfId="3044">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822"/>
          </reference>
          <reference field="82" count="1" selected="0">
            <x v="2299"/>
          </reference>
          <reference field="85" count="1" selected="0">
            <x v="7"/>
          </reference>
          <reference field="87" count="1">
            <x v="3192"/>
          </reference>
        </references>
      </pivotArea>
    </format>
    <format dxfId="3043">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3708"/>
          </reference>
          <reference field="82" count="1" selected="0">
            <x v="2148"/>
          </reference>
          <reference field="85" count="1" selected="0">
            <x v="3"/>
          </reference>
          <reference field="87" count="1">
            <x v="3071"/>
          </reference>
        </references>
      </pivotArea>
    </format>
    <format dxfId="3042">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707"/>
          </reference>
          <reference field="82" count="1" selected="0">
            <x v="2147"/>
          </reference>
          <reference field="85" count="1" selected="0">
            <x v="3"/>
          </reference>
          <reference field="87" count="1">
            <x v="3070"/>
          </reference>
        </references>
      </pivotArea>
    </format>
    <format dxfId="3041">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3704"/>
          </reference>
          <reference field="82" count="1" selected="0">
            <x v="2144"/>
          </reference>
          <reference field="85" count="1" selected="0">
            <x v="3"/>
          </reference>
          <reference field="87" count="1">
            <x v="3067"/>
          </reference>
        </references>
      </pivotArea>
    </format>
    <format dxfId="3040">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711"/>
          </reference>
          <reference field="82" count="1" selected="0">
            <x v="2151"/>
          </reference>
          <reference field="85" count="1" selected="0">
            <x v="7"/>
          </reference>
          <reference field="87" count="1">
            <x v="3074"/>
          </reference>
        </references>
      </pivotArea>
    </format>
    <format dxfId="3039">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712"/>
          </reference>
          <reference field="82" count="1" selected="0">
            <x v="2152"/>
          </reference>
          <reference field="85" count="1" selected="0">
            <x v="7"/>
          </reference>
          <reference field="87" count="1">
            <x v="3075"/>
          </reference>
        </references>
      </pivotArea>
    </format>
    <format dxfId="3038">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3693"/>
          </reference>
          <reference field="82" count="1" selected="0">
            <x v="2137"/>
          </reference>
          <reference field="85" count="1" selected="0">
            <x v="3"/>
          </reference>
          <reference field="87" count="1">
            <x v="3056"/>
          </reference>
        </references>
      </pivotArea>
    </format>
    <format dxfId="303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3697"/>
          </reference>
          <reference field="82" count="1" selected="0">
            <x v="2136"/>
          </reference>
          <reference field="85" count="1" selected="0">
            <x v="3"/>
          </reference>
          <reference field="87" count="1">
            <x v="3060"/>
          </reference>
        </references>
      </pivotArea>
    </format>
    <format dxfId="3036">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3695"/>
          </reference>
          <reference field="82" count="1" selected="0">
            <x v="2134"/>
          </reference>
          <reference field="85" count="1" selected="0">
            <x v="3"/>
          </reference>
          <reference field="87" count="1">
            <x v="3058"/>
          </reference>
        </references>
      </pivotArea>
    </format>
    <format dxfId="3035">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3696"/>
          </reference>
          <reference field="82" count="1" selected="0">
            <x v="2135"/>
          </reference>
          <reference field="85" count="1" selected="0">
            <x v="3"/>
          </reference>
          <reference field="87" count="1">
            <x v="3059"/>
          </reference>
        </references>
      </pivotArea>
    </format>
    <format dxfId="3034">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756"/>
          </reference>
          <reference field="82" count="1" selected="0">
            <x v="2210"/>
          </reference>
          <reference field="85" count="1" selected="0">
            <x v="4"/>
          </reference>
          <reference field="87" count="1">
            <x v="3119"/>
          </reference>
        </references>
      </pivotArea>
    </format>
    <format dxfId="3033">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3786"/>
          </reference>
          <reference field="82" count="1" selected="0">
            <x v="2253"/>
          </reference>
          <reference field="85" count="1" selected="0">
            <x v="0"/>
          </reference>
          <reference field="87" count="1">
            <x v="3151"/>
          </reference>
        </references>
      </pivotArea>
    </format>
    <format dxfId="3032">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3787"/>
          </reference>
          <reference field="82" count="1" selected="0">
            <x v="2254"/>
          </reference>
          <reference field="85" count="1" selected="0">
            <x v="0"/>
          </reference>
          <reference field="87" count="1">
            <x v="3152"/>
          </reference>
        </references>
      </pivotArea>
    </format>
    <format dxfId="3031">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3788"/>
          </reference>
          <reference field="82" count="1" selected="0">
            <x v="2255"/>
          </reference>
          <reference field="85" count="1" selected="0">
            <x v="0"/>
          </reference>
          <reference field="87" count="1">
            <x v="3153"/>
          </reference>
        </references>
      </pivotArea>
    </format>
    <format dxfId="3030">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794"/>
          </reference>
          <reference field="82" count="1" selected="0">
            <x v="2265"/>
          </reference>
          <reference field="85" count="1" selected="0">
            <x v="2"/>
          </reference>
          <reference field="87" count="1">
            <x v="3161"/>
          </reference>
        </references>
      </pivotArea>
    </format>
    <format dxfId="3029">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772"/>
          </reference>
          <reference field="82" count="1" selected="0">
            <x v="2266"/>
          </reference>
          <reference field="85" count="1" selected="0">
            <x v="2"/>
          </reference>
          <reference field="87" count="1">
            <x v="3162"/>
          </reference>
        </references>
      </pivotArea>
    </format>
    <format dxfId="3028">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704"/>
          </reference>
          <reference field="82" count="1" selected="0">
            <x v="2264"/>
          </reference>
          <reference field="85" count="1" selected="0">
            <x v="2"/>
          </reference>
          <reference field="87" count="1">
            <x v="3160"/>
          </reference>
        </references>
      </pivotArea>
    </format>
    <format dxfId="3027">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756"/>
          </reference>
          <reference field="82" count="1" selected="0">
            <x v="2210"/>
          </reference>
          <reference field="85" count="1" selected="0">
            <x v="4"/>
          </reference>
          <reference field="87" count="1">
            <x v="3119"/>
          </reference>
        </references>
      </pivotArea>
    </format>
    <format dxfId="3026">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3789"/>
          </reference>
          <reference field="82" count="1" selected="0">
            <x v="2256"/>
          </reference>
          <reference field="85" count="1" selected="0">
            <x v="0"/>
          </reference>
          <reference field="87" count="1">
            <x v="3154"/>
          </reference>
        </references>
      </pivotArea>
    </format>
    <format dxfId="3025">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3790"/>
          </reference>
          <reference field="82" count="1" selected="0">
            <x v="2257"/>
          </reference>
          <reference field="85" count="1" selected="0">
            <x v="0"/>
          </reference>
          <reference field="87" count="1">
            <x v="3155"/>
          </reference>
        </references>
      </pivotArea>
    </format>
    <format dxfId="3024">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3773"/>
          </reference>
          <reference field="82" count="1" selected="0">
            <x v="2258"/>
          </reference>
          <reference field="85" count="1" selected="0">
            <x v="0"/>
          </reference>
          <reference field="87" count="1">
            <x v="3138"/>
          </reference>
        </references>
      </pivotArea>
    </format>
    <format dxfId="302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794"/>
          </reference>
          <reference field="82" count="1" selected="0">
            <x v="2265"/>
          </reference>
          <reference field="85" count="1" selected="0">
            <x v="2"/>
          </reference>
          <reference field="87" count="1">
            <x v="3161"/>
          </reference>
        </references>
      </pivotArea>
    </format>
    <format dxfId="302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772"/>
          </reference>
          <reference field="82" count="1" selected="0">
            <x v="2266"/>
          </reference>
          <reference field="85" count="1" selected="0">
            <x v="2"/>
          </reference>
          <reference field="87" count="1">
            <x v="3162"/>
          </reference>
        </references>
      </pivotArea>
    </format>
    <format dxfId="302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3795"/>
          </reference>
          <reference field="82" count="1" selected="0">
            <x v="2267"/>
          </reference>
          <reference field="85" count="1" selected="0">
            <x v="2"/>
          </reference>
          <reference field="87" count="1">
            <x v="3163"/>
          </reference>
        </references>
      </pivotArea>
    </format>
    <format dxfId="3020">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704"/>
          </reference>
          <reference field="82" count="1" selected="0">
            <x v="2264"/>
          </reference>
          <reference field="85" count="1" selected="0">
            <x v="2"/>
          </reference>
          <reference field="87" count="1">
            <x v="3160"/>
          </reference>
        </references>
      </pivotArea>
    </format>
    <format dxfId="3019">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3796"/>
          </reference>
          <reference field="82" count="1" selected="0">
            <x v="2268"/>
          </reference>
          <reference field="85" count="1" selected="0">
            <x v="2"/>
          </reference>
          <reference field="87" count="1">
            <x v="3164"/>
          </reference>
        </references>
      </pivotArea>
    </format>
    <format dxfId="3018">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820"/>
          </reference>
          <reference field="82" count="1" selected="0">
            <x v="2297"/>
          </reference>
          <reference field="85" count="1" selected="0">
            <x v="7"/>
          </reference>
          <reference field="87" count="1">
            <x v="3190"/>
          </reference>
        </references>
      </pivotArea>
    </format>
    <format dxfId="3017">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3821"/>
          </reference>
          <reference field="82" count="1" selected="0">
            <x v="2298"/>
          </reference>
          <reference field="85" count="1" selected="0">
            <x v="7"/>
          </reference>
          <reference field="87" count="1">
            <x v="3191"/>
          </reference>
        </references>
      </pivotArea>
    </format>
    <format dxfId="3016">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3835"/>
          </reference>
          <reference field="82" count="1" selected="0">
            <x v="2326"/>
          </reference>
          <reference field="85" count="1" selected="0">
            <x v="4"/>
          </reference>
          <reference field="87" count="1">
            <x v="3216"/>
          </reference>
        </references>
      </pivotArea>
    </format>
    <format dxfId="3015">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3836"/>
          </reference>
          <reference field="82" count="1" selected="0">
            <x v="2327"/>
          </reference>
          <reference field="85" count="1" selected="0">
            <x v="4"/>
          </reference>
          <reference field="87" count="1">
            <x v="3217"/>
          </reference>
        </references>
      </pivotArea>
    </format>
    <format dxfId="3014">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3837"/>
          </reference>
          <reference field="82" count="1" selected="0">
            <x v="2328"/>
          </reference>
          <reference field="85" count="1" selected="0">
            <x v="4"/>
          </reference>
          <reference field="87" count="1">
            <x v="3218"/>
          </reference>
        </references>
      </pivotArea>
    </format>
    <format dxfId="3013">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3826"/>
          </reference>
          <reference field="82" count="1" selected="0">
            <x v="2304"/>
          </reference>
          <reference field="85" count="1" selected="0">
            <x v="4"/>
          </reference>
          <reference field="87" count="1">
            <x v="3196"/>
          </reference>
        </references>
      </pivotArea>
    </format>
    <format dxfId="3012">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3757"/>
          </reference>
          <reference field="82" count="1" selected="0">
            <x v="2219"/>
          </reference>
          <reference field="85" count="1" selected="0">
            <x v="4"/>
          </reference>
          <reference field="87" count="1">
            <x v="3220"/>
          </reference>
        </references>
      </pivotArea>
    </format>
    <format dxfId="3011">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3839"/>
          </reference>
          <reference field="82" count="1" selected="0">
            <x v="2333"/>
          </reference>
          <reference field="85" count="1" selected="0">
            <x v="4"/>
          </reference>
          <reference field="87" count="1">
            <x v="3221"/>
          </reference>
        </references>
      </pivotArea>
    </format>
    <format dxfId="3010">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3840"/>
          </reference>
          <reference field="82" count="1" selected="0">
            <x v="2334"/>
          </reference>
          <reference field="85" count="1" selected="0">
            <x v="4"/>
          </reference>
          <reference field="87" count="1">
            <x v="3223"/>
          </reference>
        </references>
      </pivotArea>
    </format>
    <format dxfId="3009">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3798"/>
          </reference>
          <reference field="82" count="1" selected="0">
            <x v="2335"/>
          </reference>
          <reference field="85" count="1" selected="0">
            <x v="4"/>
          </reference>
          <reference field="87" count="1">
            <x v="3224"/>
          </reference>
        </references>
      </pivotArea>
    </format>
    <format dxfId="3008">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757"/>
          </reference>
          <reference field="82" count="1" selected="0">
            <x v="2330"/>
          </reference>
          <reference field="85" count="1" selected="0">
            <x v="4"/>
          </reference>
          <reference field="87" count="1">
            <x v="3220"/>
          </reference>
        </references>
      </pivotArea>
    </format>
    <format dxfId="300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839"/>
          </reference>
          <reference field="82" count="1" selected="0">
            <x v="2331"/>
          </reference>
          <reference field="85" count="1" selected="0">
            <x v="4"/>
          </reference>
          <reference field="87" count="1">
            <x v="3221"/>
          </reference>
        </references>
      </pivotArea>
    </format>
    <format dxfId="3006">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799"/>
          </reference>
          <reference field="82" count="1" selected="0">
            <x v="2332"/>
          </reference>
          <reference field="85" count="1" selected="0">
            <x v="4"/>
          </reference>
          <reference field="87" count="1">
            <x v="3222"/>
          </reference>
        </references>
      </pivotArea>
    </format>
    <format dxfId="3005">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838"/>
          </reference>
          <reference field="82" count="1" selected="0">
            <x v="2329"/>
          </reference>
          <reference field="85" count="1" selected="0">
            <x v="4"/>
          </reference>
          <reference field="87" count="1">
            <x v="3219"/>
          </reference>
        </references>
      </pivotArea>
    </format>
    <format dxfId="3004">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3711"/>
          </reference>
          <reference field="82" count="1" selected="0">
            <x v="2161"/>
          </reference>
          <reference field="85" count="1" selected="0">
            <x v="7"/>
          </reference>
          <reference field="87" count="1">
            <x v="3074"/>
          </reference>
        </references>
      </pivotArea>
    </format>
    <format dxfId="3003">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3718"/>
          </reference>
          <reference field="82" count="1" selected="0">
            <x v="2162"/>
          </reference>
          <reference field="85" count="1" selected="0">
            <x v="7"/>
          </reference>
          <reference field="87" count="1">
            <x v="3081"/>
          </reference>
        </references>
      </pivotArea>
    </format>
    <format dxfId="3002">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808"/>
          </reference>
          <reference field="82" count="1" selected="0">
            <x v="2283"/>
          </reference>
          <reference field="85" count="1" selected="0">
            <x v="2"/>
          </reference>
          <reference field="87" count="1">
            <x v="3178"/>
          </reference>
        </references>
      </pivotArea>
    </format>
    <format dxfId="3001">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778"/>
          </reference>
          <reference field="82" count="1" selected="0">
            <x v="2341"/>
          </reference>
          <reference field="85" count="1" selected="0">
            <x v="4"/>
          </reference>
          <reference field="87" count="1">
            <x v="3227"/>
          </reference>
        </references>
      </pivotArea>
    </format>
    <format dxfId="3000">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3776"/>
          </reference>
          <reference field="82" count="1" selected="0">
            <x v="2342"/>
          </reference>
          <reference field="85" count="1" selected="0">
            <x v="4"/>
          </reference>
          <reference field="87" count="1">
            <x v="3228"/>
          </reference>
        </references>
      </pivotArea>
    </format>
    <format dxfId="2999">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842"/>
          </reference>
          <reference field="82" count="1" selected="0">
            <x v="2344"/>
          </reference>
          <reference field="85" count="1" selected="0">
            <x v="4"/>
          </reference>
          <reference field="87" count="1">
            <x v="3230"/>
          </reference>
        </references>
      </pivotArea>
    </format>
    <format dxfId="2998">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735"/>
          </reference>
          <reference field="82" count="1" selected="0">
            <x v="2183"/>
          </reference>
          <reference field="85" count="1" selected="0">
            <x v="4"/>
          </reference>
          <reference field="87" count="1">
            <x v="3098"/>
          </reference>
        </references>
      </pivotArea>
    </format>
    <format dxfId="299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730"/>
          </reference>
          <reference field="82" count="1" selected="0">
            <x v="2178"/>
          </reference>
          <reference field="85" count="1" selected="0">
            <x v="4"/>
          </reference>
          <reference field="87" count="1">
            <x v="3093"/>
          </reference>
        </references>
      </pivotArea>
    </format>
    <format dxfId="2996">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736"/>
          </reference>
          <reference field="82" count="1" selected="0">
            <x v="2184"/>
          </reference>
          <reference field="85" count="1" selected="0">
            <x v="4"/>
          </reference>
          <reference field="87" count="1">
            <x v="3099"/>
          </reference>
        </references>
      </pivotArea>
    </format>
    <format dxfId="2995">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737"/>
          </reference>
          <reference field="82" count="1" selected="0">
            <x v="2185"/>
          </reference>
          <reference field="85" count="1" selected="0">
            <x v="4"/>
          </reference>
          <reference field="87" count="1">
            <x v="3100"/>
          </reference>
        </references>
      </pivotArea>
    </format>
    <format dxfId="299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703"/>
          </reference>
          <reference field="82" count="1" selected="0">
            <x v="2143"/>
          </reference>
          <reference field="85" count="1" selected="0">
            <x v="4"/>
          </reference>
          <reference field="87" count="1">
            <x v="3206"/>
          </reference>
        </references>
      </pivotArea>
    </format>
    <format dxfId="299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797"/>
          </reference>
          <reference field="82" count="1" selected="0">
            <x v="2310"/>
          </reference>
          <reference field="85" count="1" selected="0">
            <x v="4"/>
          </reference>
          <reference field="87" count="1">
            <x v="3202"/>
          </reference>
        </references>
      </pivotArea>
    </format>
    <format dxfId="299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762"/>
          </reference>
          <reference field="82" count="1" selected="0">
            <x v="2311"/>
          </reference>
          <reference field="85" count="1" selected="0">
            <x v="4"/>
          </reference>
          <reference field="87" count="1">
            <x v="3203"/>
          </reference>
        </references>
      </pivotArea>
    </format>
    <format dxfId="2991">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795"/>
          </reference>
          <reference field="82" count="1" selected="0">
            <x v="2313"/>
          </reference>
          <reference field="85" count="1" selected="0">
            <x v="4"/>
          </reference>
          <reference field="87" count="1">
            <x v="3205"/>
          </reference>
        </references>
      </pivotArea>
    </format>
    <format dxfId="2990">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784"/>
          </reference>
          <reference field="82" count="1" selected="0">
            <x v="2312"/>
          </reference>
          <reference field="85" count="1" selected="0">
            <x v="4"/>
          </reference>
          <reference field="87" count="1">
            <x v="3204"/>
          </reference>
        </references>
      </pivotArea>
    </format>
    <format dxfId="2989">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735"/>
          </reference>
          <reference field="82" count="1" selected="0">
            <x v="2183"/>
          </reference>
          <reference field="85" count="1" selected="0">
            <x v="4"/>
          </reference>
          <reference field="87" count="1">
            <x v="3098"/>
          </reference>
        </references>
      </pivotArea>
    </format>
    <format dxfId="2988">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730"/>
          </reference>
          <reference field="82" count="1" selected="0">
            <x v="2178"/>
          </reference>
          <reference field="85" count="1" selected="0">
            <x v="4"/>
          </reference>
          <reference field="87" count="1">
            <x v="3093"/>
          </reference>
        </references>
      </pivotArea>
    </format>
    <format dxfId="2987">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736"/>
          </reference>
          <reference field="82" count="1" selected="0">
            <x v="2184"/>
          </reference>
          <reference field="85" count="1" selected="0">
            <x v="4"/>
          </reference>
          <reference field="87" count="1">
            <x v="3099"/>
          </reference>
        </references>
      </pivotArea>
    </format>
    <format dxfId="2986">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737"/>
          </reference>
          <reference field="82" count="1" selected="0">
            <x v="2185"/>
          </reference>
          <reference field="85" count="1" selected="0">
            <x v="4"/>
          </reference>
          <reference field="87" count="1">
            <x v="3100"/>
          </reference>
        </references>
      </pivotArea>
    </format>
    <format dxfId="298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703"/>
          </reference>
          <reference field="82" count="1" selected="0">
            <x v="2143"/>
          </reference>
          <reference field="85" count="1" selected="0">
            <x v="4"/>
          </reference>
          <reference field="87" count="1">
            <x v="3206"/>
          </reference>
        </references>
      </pivotArea>
    </format>
    <format dxfId="2984">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797"/>
          </reference>
          <reference field="82" count="1" selected="0">
            <x v="2310"/>
          </reference>
          <reference field="85" count="1" selected="0">
            <x v="4"/>
          </reference>
          <reference field="87" count="1">
            <x v="3202"/>
          </reference>
        </references>
      </pivotArea>
    </format>
    <format dxfId="298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762"/>
          </reference>
          <reference field="82" count="1" selected="0">
            <x v="2311"/>
          </reference>
          <reference field="85" count="1" selected="0">
            <x v="4"/>
          </reference>
          <reference field="87" count="1">
            <x v="3203"/>
          </reference>
        </references>
      </pivotArea>
    </format>
    <format dxfId="2982">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795"/>
          </reference>
          <reference field="82" count="1" selected="0">
            <x v="2313"/>
          </reference>
          <reference field="85" count="1" selected="0">
            <x v="4"/>
          </reference>
          <reference field="87" count="1">
            <x v="3205"/>
          </reference>
        </references>
      </pivotArea>
    </format>
    <format dxfId="2981">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784"/>
          </reference>
          <reference field="82" count="1" selected="0">
            <x v="2312"/>
          </reference>
          <reference field="85" count="1" selected="0">
            <x v="4"/>
          </reference>
          <reference field="87" count="1">
            <x v="3204"/>
          </reference>
        </references>
      </pivotArea>
    </format>
    <format dxfId="2980">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735"/>
          </reference>
          <reference field="82" count="1" selected="0">
            <x v="2183"/>
          </reference>
          <reference field="85" count="1" selected="0">
            <x v="4"/>
          </reference>
          <reference field="87" count="1">
            <x v="3098"/>
          </reference>
        </references>
      </pivotArea>
    </format>
    <format dxfId="297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730"/>
          </reference>
          <reference field="82" count="1" selected="0">
            <x v="2178"/>
          </reference>
          <reference field="85" count="1" selected="0">
            <x v="4"/>
          </reference>
          <reference field="87" count="1">
            <x v="3093"/>
          </reference>
        </references>
      </pivotArea>
    </format>
    <format dxfId="2978">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736"/>
          </reference>
          <reference field="82" count="1" selected="0">
            <x v="2184"/>
          </reference>
          <reference field="85" count="1" selected="0">
            <x v="4"/>
          </reference>
          <reference field="87" count="1">
            <x v="3099"/>
          </reference>
        </references>
      </pivotArea>
    </format>
    <format dxfId="2977">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737"/>
          </reference>
          <reference field="82" count="1" selected="0">
            <x v="2185"/>
          </reference>
          <reference field="85" count="1" selected="0">
            <x v="4"/>
          </reference>
          <reference field="87" count="1">
            <x v="3100"/>
          </reference>
        </references>
      </pivotArea>
    </format>
    <format dxfId="297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703"/>
          </reference>
          <reference field="82" count="1" selected="0">
            <x v="2143"/>
          </reference>
          <reference field="85" count="1" selected="0">
            <x v="4"/>
          </reference>
          <reference field="87" count="1">
            <x v="3206"/>
          </reference>
        </references>
      </pivotArea>
    </format>
    <format dxfId="297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797"/>
          </reference>
          <reference field="82" count="1" selected="0">
            <x v="2310"/>
          </reference>
          <reference field="85" count="1" selected="0">
            <x v="4"/>
          </reference>
          <reference field="87" count="1">
            <x v="3202"/>
          </reference>
        </references>
      </pivotArea>
    </format>
    <format dxfId="297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762"/>
          </reference>
          <reference field="82" count="1" selected="0">
            <x v="2311"/>
          </reference>
          <reference field="85" count="1" selected="0">
            <x v="4"/>
          </reference>
          <reference field="87" count="1">
            <x v="3203"/>
          </reference>
        </references>
      </pivotArea>
    </format>
    <format dxfId="2973">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795"/>
          </reference>
          <reference field="82" count="1" selected="0">
            <x v="2313"/>
          </reference>
          <reference field="85" count="1" selected="0">
            <x v="4"/>
          </reference>
          <reference field="87" count="1">
            <x v="3205"/>
          </reference>
        </references>
      </pivotArea>
    </format>
    <format dxfId="2972">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784"/>
          </reference>
          <reference field="82" count="1" selected="0">
            <x v="2312"/>
          </reference>
          <reference field="85" count="1" selected="0">
            <x v="4"/>
          </reference>
          <reference field="87" count="1">
            <x v="3204"/>
          </reference>
        </references>
      </pivotArea>
    </format>
    <format dxfId="2971">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3841"/>
          </reference>
          <reference field="82" count="1" selected="0">
            <x v="2337"/>
          </reference>
          <reference field="85" count="1" selected="0">
            <x v="4"/>
          </reference>
          <reference field="87" count="1">
            <x v="3226"/>
          </reference>
        </references>
      </pivotArea>
    </format>
    <format dxfId="2970">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835"/>
          </reference>
          <reference field="82" count="1" selected="0">
            <x v="2340"/>
          </reference>
          <reference field="85" count="1" selected="0">
            <x v="4"/>
          </reference>
          <reference field="87" count="1">
            <x v="3216"/>
          </reference>
        </references>
      </pivotArea>
    </format>
    <format dxfId="2969">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784"/>
          </reference>
          <reference field="82" count="1" selected="0">
            <x v="2338"/>
          </reference>
          <reference field="85" count="1" selected="0">
            <x v="4"/>
          </reference>
          <reference field="87" count="1">
            <x v="3204"/>
          </reference>
        </references>
      </pivotArea>
    </format>
    <format dxfId="2968">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834"/>
          </reference>
          <reference field="82" count="1" selected="0">
            <x v="2339"/>
          </reference>
          <reference field="85" count="1" selected="0">
            <x v="4"/>
          </reference>
          <reference field="87" count="1">
            <x v="3215"/>
          </reference>
        </references>
      </pivotArea>
    </format>
    <format dxfId="2967">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707"/>
          </reference>
          <reference field="82" count="1" selected="0">
            <x v="2147"/>
          </reference>
          <reference field="85" count="1" selected="0">
            <x v="4"/>
          </reference>
          <reference field="87" count="1">
            <x v="3211"/>
          </reference>
        </references>
      </pivotArea>
    </format>
    <format dxfId="2966">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694"/>
          </reference>
          <reference field="82" count="1" selected="0">
            <x v="2318"/>
          </reference>
          <reference field="85" count="1" selected="0">
            <x v="4"/>
          </reference>
          <reference field="87" count="1">
            <x v="3212"/>
          </reference>
        </references>
      </pivotArea>
    </format>
    <format dxfId="2965">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833"/>
          </reference>
          <reference field="82" count="1" selected="0">
            <x v="2319"/>
          </reference>
          <reference field="85" count="1" selected="0">
            <x v="4"/>
          </reference>
          <reference field="87" count="1">
            <x v="3213"/>
          </reference>
        </references>
      </pivotArea>
    </format>
    <format dxfId="2964">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758"/>
          </reference>
          <reference field="82" count="1" selected="0">
            <x v="2320"/>
          </reference>
          <reference field="85" count="1" selected="0">
            <x v="4"/>
          </reference>
          <reference field="87" count="1">
            <x v="3214"/>
          </reference>
        </references>
      </pivotArea>
    </format>
    <format dxfId="2963">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707"/>
          </reference>
          <reference field="82" count="1" selected="0">
            <x v="2147"/>
          </reference>
          <reference field="85" count="1" selected="0">
            <x v="4"/>
          </reference>
          <reference field="87" count="1">
            <x v="3211"/>
          </reference>
        </references>
      </pivotArea>
    </format>
    <format dxfId="296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694"/>
          </reference>
          <reference field="82" count="1" selected="0">
            <x v="2318"/>
          </reference>
          <reference field="85" count="1" selected="0">
            <x v="4"/>
          </reference>
          <reference field="87" count="1">
            <x v="3212"/>
          </reference>
        </references>
      </pivotArea>
    </format>
    <format dxfId="2961">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833"/>
          </reference>
          <reference field="82" count="1" selected="0">
            <x v="2319"/>
          </reference>
          <reference field="85" count="1" selected="0">
            <x v="4"/>
          </reference>
          <reference field="87" count="1">
            <x v="3213"/>
          </reference>
        </references>
      </pivotArea>
    </format>
    <format dxfId="2960">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758"/>
          </reference>
          <reference field="82" count="1" selected="0">
            <x v="2320"/>
          </reference>
          <reference field="85" count="1" selected="0">
            <x v="4"/>
          </reference>
          <reference field="87" count="1">
            <x v="3214"/>
          </reference>
        </references>
      </pivotArea>
    </format>
    <format dxfId="2959">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3702"/>
          </reference>
          <reference field="82" count="1" selected="0">
            <x v="2307"/>
          </reference>
          <reference field="85" count="1" selected="0">
            <x v="4"/>
          </reference>
          <reference field="87" count="1">
            <x v="3199"/>
          </reference>
        </references>
      </pivotArea>
    </format>
    <format dxfId="2958">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3829"/>
          </reference>
          <reference field="82" count="1" selected="0">
            <x v="2308"/>
          </reference>
          <reference field="85" count="1" selected="0">
            <x v="4"/>
          </reference>
          <reference field="87" count="1">
            <x v="3200"/>
          </reference>
        </references>
      </pivotArea>
    </format>
    <format dxfId="2957">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3828"/>
          </reference>
          <reference field="82" count="1" selected="0">
            <x v="2306"/>
          </reference>
          <reference field="85" count="1" selected="0">
            <x v="4"/>
          </reference>
          <reference field="87" count="1">
            <x v="3198"/>
          </reference>
        </references>
      </pivotArea>
    </format>
    <format dxfId="2956">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3830"/>
          </reference>
          <reference field="82" count="1" selected="0">
            <x v="2309"/>
          </reference>
          <reference field="85" count="1" selected="0">
            <x v="4"/>
          </reference>
          <reference field="87" count="1">
            <x v="3201"/>
          </reference>
        </references>
      </pivotArea>
    </format>
    <format dxfId="2955">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3806"/>
          </reference>
          <reference field="82" count="1" selected="0">
            <x v="2281"/>
          </reference>
          <reference field="85" count="1" selected="0">
            <x v="2"/>
          </reference>
          <reference field="87" count="1">
            <x v="3176"/>
          </reference>
        </references>
      </pivotArea>
    </format>
    <format dxfId="2954">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3807"/>
          </reference>
          <reference field="82" count="1" selected="0">
            <x v="2282"/>
          </reference>
          <reference field="85" count="1" selected="0">
            <x v="2"/>
          </reference>
          <reference field="87" count="1">
            <x v="3177"/>
          </reference>
        </references>
      </pivotArea>
    </format>
    <format dxfId="2953">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3805"/>
          </reference>
          <reference field="82" count="1" selected="0">
            <x v="2280"/>
          </reference>
          <reference field="85" count="1" selected="0">
            <x v="2"/>
          </reference>
          <reference field="87" count="1">
            <x v="3175"/>
          </reference>
        </references>
      </pivotArea>
    </format>
    <format dxfId="295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735"/>
          </reference>
          <reference field="82" count="1" selected="0">
            <x v="2183"/>
          </reference>
          <reference field="85" count="1" selected="0">
            <x v="4"/>
          </reference>
          <reference field="87" count="1">
            <x v="3098"/>
          </reference>
        </references>
      </pivotArea>
    </format>
    <format dxfId="2951">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730"/>
          </reference>
          <reference field="82" count="1" selected="0">
            <x v="2178"/>
          </reference>
          <reference field="85" count="1" selected="0">
            <x v="4"/>
          </reference>
          <reference field="87" count="1">
            <x v="3093"/>
          </reference>
        </references>
      </pivotArea>
    </format>
    <format dxfId="2950">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736"/>
          </reference>
          <reference field="82" count="1" selected="0">
            <x v="2184"/>
          </reference>
          <reference field="85" count="1" selected="0">
            <x v="4"/>
          </reference>
          <reference field="87" count="1">
            <x v="3099"/>
          </reference>
        </references>
      </pivotArea>
    </format>
    <format dxfId="2949">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737"/>
          </reference>
          <reference field="82" count="1" selected="0">
            <x v="2185"/>
          </reference>
          <reference field="85" count="1" selected="0">
            <x v="4"/>
          </reference>
          <reference field="87" count="1">
            <x v="3100"/>
          </reference>
        </references>
      </pivotArea>
    </format>
    <format dxfId="2948">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781"/>
          </reference>
          <reference field="82" count="1" selected="0">
            <x v="2314"/>
          </reference>
          <reference field="85" count="1" selected="0">
            <x v="4"/>
          </reference>
          <reference field="87" count="1">
            <x v="3207"/>
          </reference>
        </references>
      </pivotArea>
    </format>
    <format dxfId="294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832"/>
          </reference>
          <reference field="82" count="1" selected="0">
            <x v="2316"/>
          </reference>
          <reference field="85" count="1" selected="0">
            <x v="4"/>
          </reference>
          <reference field="87" count="1">
            <x v="3209"/>
          </reference>
        </references>
      </pivotArea>
    </format>
    <format dxfId="2946">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785"/>
          </reference>
          <reference field="82" count="1" selected="0">
            <x v="2317"/>
          </reference>
          <reference field="85" count="1" selected="0">
            <x v="4"/>
          </reference>
          <reference field="87" count="1">
            <x v="3210"/>
          </reference>
        </references>
      </pivotArea>
    </format>
    <format dxfId="2945">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831"/>
          </reference>
          <reference field="82" count="1" selected="0">
            <x v="2315"/>
          </reference>
          <reference field="85" count="1" selected="0">
            <x v="4"/>
          </reference>
          <reference field="87" count="1">
            <x v="3208"/>
          </reference>
        </references>
      </pivotArea>
    </format>
    <format dxfId="2944">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781"/>
          </reference>
          <reference field="82" count="1" selected="0">
            <x v="2314"/>
          </reference>
          <reference field="85" count="1" selected="0">
            <x v="4"/>
          </reference>
          <reference field="87" count="1">
            <x v="3207"/>
          </reference>
        </references>
      </pivotArea>
    </format>
    <format dxfId="2943">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832"/>
          </reference>
          <reference field="82" count="1" selected="0">
            <x v="2316"/>
          </reference>
          <reference field="85" count="1" selected="0">
            <x v="4"/>
          </reference>
          <reference field="87" count="1">
            <x v="3209"/>
          </reference>
        </references>
      </pivotArea>
    </format>
    <format dxfId="2942">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785"/>
          </reference>
          <reference field="82" count="1" selected="0">
            <x v="2317"/>
          </reference>
          <reference field="85" count="1" selected="0">
            <x v="4"/>
          </reference>
          <reference field="87" count="1">
            <x v="3210"/>
          </reference>
        </references>
      </pivotArea>
    </format>
    <format dxfId="2941">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831"/>
          </reference>
          <reference field="82" count="1" selected="0">
            <x v="2315"/>
          </reference>
          <reference field="85" count="1" selected="0">
            <x v="4"/>
          </reference>
          <reference field="87" count="1">
            <x v="3208"/>
          </reference>
        </references>
      </pivotArea>
    </format>
    <format dxfId="2940">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3699"/>
          </reference>
          <reference field="82" count="1" selected="0">
            <x v="2139"/>
          </reference>
          <reference field="85" count="1" selected="0">
            <x v="3"/>
          </reference>
          <reference field="87" count="1">
            <x v="3062"/>
          </reference>
        </references>
      </pivotArea>
    </format>
    <format dxfId="2939">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843"/>
          </reference>
          <reference field="82" count="1" selected="0">
            <x v="2346"/>
          </reference>
          <reference field="85" count="1" selected="0">
            <x v="4"/>
          </reference>
          <reference field="87" count="1">
            <x v="3232"/>
          </reference>
        </references>
      </pivotArea>
    </format>
    <format dxfId="2938">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726"/>
          </reference>
          <reference field="82" count="1" selected="0">
            <x v="2173"/>
          </reference>
          <reference field="85" count="1" selected="0">
            <x v="7"/>
          </reference>
          <reference field="87" count="1">
            <x v="3089"/>
          </reference>
        </references>
      </pivotArea>
    </format>
    <format dxfId="2937">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3700"/>
          </reference>
          <reference field="82" count="1" selected="0">
            <x v="2140"/>
          </reference>
          <reference field="85" count="1" selected="0">
            <x v="3"/>
          </reference>
          <reference field="87" count="1">
            <x v="3063"/>
          </reference>
        </references>
      </pivotArea>
    </format>
    <format dxfId="2936">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726"/>
          </reference>
          <reference field="82" count="1" selected="0">
            <x v="2174"/>
          </reference>
          <reference field="85" count="1" selected="0">
            <x v="7"/>
          </reference>
          <reference field="87" count="1">
            <x v="3089"/>
          </reference>
        </references>
      </pivotArea>
    </format>
    <format dxfId="2935">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845"/>
          </reference>
          <reference field="82" count="1" selected="0">
            <x v="2348"/>
          </reference>
          <reference field="85" count="1" selected="0">
            <x v="7"/>
          </reference>
          <reference field="87" count="1">
            <x v="3234"/>
          </reference>
        </references>
      </pivotArea>
    </format>
    <format dxfId="2934">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847"/>
          </reference>
          <reference field="82" count="1" selected="0">
            <x v="2350"/>
          </reference>
          <reference field="85" count="1" selected="0">
            <x v="7"/>
          </reference>
          <reference field="87" count="1">
            <x v="3236"/>
          </reference>
        </references>
      </pivotArea>
    </format>
    <format dxfId="2933">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846"/>
          </reference>
          <reference field="82" count="1" selected="0">
            <x v="2349"/>
          </reference>
          <reference field="85" count="1" selected="0">
            <x v="7"/>
          </reference>
          <reference field="87" count="1">
            <x v="3235"/>
          </reference>
        </references>
      </pivotArea>
    </format>
    <format dxfId="2932">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3722"/>
          </reference>
          <reference field="82" count="1" selected="0">
            <x v="2166"/>
          </reference>
          <reference field="85" count="1" selected="0">
            <x v="2"/>
          </reference>
          <reference field="87" count="1">
            <x v="3085"/>
          </reference>
        </references>
      </pivotArea>
    </format>
    <format dxfId="2931">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847"/>
          </reference>
          <reference field="82" count="1" selected="0">
            <x v="2350"/>
          </reference>
          <reference field="85" count="1" selected="0">
            <x v="7"/>
          </reference>
          <reference field="87" count="1">
            <x v="3236"/>
          </reference>
        </references>
      </pivotArea>
    </format>
    <format dxfId="2930">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3698"/>
          </reference>
          <reference field="82" count="1" selected="0">
            <x v="2138"/>
          </reference>
          <reference field="85" count="1" selected="0">
            <x v="3"/>
          </reference>
          <reference field="87" count="1">
            <x v="3061"/>
          </reference>
        </references>
      </pivotArea>
    </format>
    <format dxfId="2929">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775"/>
          </reference>
          <reference field="82" count="1" selected="0">
            <x v="2343"/>
          </reference>
          <reference field="85" count="1" selected="0">
            <x v="4"/>
          </reference>
          <reference field="87" count="1">
            <x v="3229"/>
          </reference>
        </references>
      </pivotArea>
    </format>
    <format dxfId="292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799"/>
          </reference>
          <reference field="82" count="1" selected="0">
            <x v="2273"/>
          </reference>
          <reference field="85" count="1" selected="0">
            <x v="2"/>
          </reference>
          <reference field="87" count="1">
            <x v="3169"/>
          </reference>
        </references>
      </pivotArea>
    </format>
    <format dxfId="292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3800"/>
          </reference>
          <reference field="82" count="1" selected="0">
            <x v="2274"/>
          </reference>
          <reference field="85" count="1" selected="0">
            <x v="2"/>
          </reference>
          <reference field="87" count="1">
            <x v="3170"/>
          </reference>
        </references>
      </pivotArea>
    </format>
    <format dxfId="292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3805"/>
          </reference>
          <reference field="82" count="1" selected="0">
            <x v="2279"/>
          </reference>
          <reference field="85" count="1" selected="0">
            <x v="2"/>
          </reference>
          <reference field="87" count="1">
            <x v="3175"/>
          </reference>
        </references>
      </pivotArea>
    </format>
    <format dxfId="292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3803"/>
          </reference>
          <reference field="82" count="1" selected="0">
            <x v="2277"/>
          </reference>
          <reference field="85" count="1" selected="0">
            <x v="2"/>
          </reference>
          <reference field="87" count="1">
            <x v="3173"/>
          </reference>
        </references>
      </pivotArea>
    </format>
    <format dxfId="292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3802"/>
          </reference>
          <reference field="82" count="1" selected="0">
            <x v="2276"/>
          </reference>
          <reference field="85" count="1" selected="0">
            <x v="2"/>
          </reference>
          <reference field="87" count="1">
            <x v="3172"/>
          </reference>
        </references>
      </pivotArea>
    </format>
    <format dxfId="292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3801"/>
          </reference>
          <reference field="82" count="1" selected="0">
            <x v="2275"/>
          </reference>
          <reference field="85" count="1" selected="0">
            <x v="2"/>
          </reference>
          <reference field="87" count="1">
            <x v="3171"/>
          </reference>
        </references>
      </pivotArea>
    </format>
    <format dxfId="292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798"/>
          </reference>
          <reference field="82" count="1" selected="0">
            <x v="2272"/>
          </reference>
          <reference field="85" count="1" selected="0">
            <x v="2"/>
          </reference>
          <reference field="87" count="1">
            <x v="3168"/>
          </reference>
        </references>
      </pivotArea>
    </format>
    <format dxfId="292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3804"/>
          </reference>
          <reference field="82" count="1" selected="0">
            <x v="2278"/>
          </reference>
          <reference field="85" count="1" selected="0">
            <x v="2"/>
          </reference>
          <reference field="87" count="1">
            <x v="3174"/>
          </reference>
        </references>
      </pivotArea>
    </format>
    <format dxfId="2920">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844"/>
          </reference>
          <reference field="82" count="1" selected="0">
            <x v="2347"/>
          </reference>
          <reference field="85" count="1" selected="0">
            <x v="4"/>
          </reference>
          <reference field="87" count="1">
            <x v="3233"/>
          </reference>
        </references>
      </pivotArea>
    </format>
    <format dxfId="2919">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3725"/>
          </reference>
          <reference field="82" count="1" selected="0">
            <x v="2172"/>
          </reference>
          <reference field="85" count="1" selected="0">
            <x v="2"/>
          </reference>
          <reference field="87" count="1">
            <x v="3088"/>
          </reference>
        </references>
      </pivotArea>
    </format>
    <format dxfId="2918">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724"/>
          </reference>
          <reference field="82" count="1" selected="0">
            <x v="2170"/>
          </reference>
          <reference field="85" count="1" selected="0">
            <x v="7"/>
          </reference>
          <reference field="87" count="1">
            <x v="3087"/>
          </reference>
        </references>
      </pivotArea>
    </format>
    <format dxfId="2917">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799"/>
          </reference>
          <reference field="82" count="1" selected="0">
            <x v="2273"/>
          </reference>
          <reference field="85" count="1" selected="0">
            <x v="2"/>
          </reference>
          <reference field="87" count="1">
            <x v="3169"/>
          </reference>
        </references>
      </pivotArea>
    </format>
    <format dxfId="2916">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798"/>
          </reference>
          <reference field="82" count="1" selected="0">
            <x v="2272"/>
          </reference>
          <reference field="85" count="1" selected="0">
            <x v="2"/>
          </reference>
          <reference field="87" count="1">
            <x v="3168"/>
          </reference>
        </references>
      </pivotArea>
    </format>
    <format dxfId="2915">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724"/>
          </reference>
          <reference field="82" count="1" selected="0">
            <x v="2171"/>
          </reference>
          <reference field="85" count="1" selected="0">
            <x v="7"/>
          </reference>
          <reference field="87" count="1">
            <x v="3087"/>
          </reference>
        </references>
      </pivotArea>
    </format>
    <format dxfId="2914">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759"/>
          </reference>
          <reference field="82" count="1" selected="0">
            <x v="2336"/>
          </reference>
          <reference field="85" count="1" selected="0">
            <x v="4"/>
          </reference>
          <reference field="87" count="1">
            <x v="3225"/>
          </reference>
        </references>
      </pivotArea>
    </format>
    <format dxfId="2913">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817"/>
          </reference>
          <reference field="82" count="1" selected="0">
            <x v="2294"/>
          </reference>
          <reference field="85" count="1" selected="0">
            <x v="7"/>
          </reference>
          <reference field="87" count="1">
            <x v="3187"/>
          </reference>
        </references>
      </pivotArea>
    </format>
    <format dxfId="2912">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3819"/>
          </reference>
          <reference field="82" count="1" selected="0">
            <x v="2296"/>
          </reference>
          <reference field="85" count="1" selected="0">
            <x v="7"/>
          </reference>
          <reference field="87" count="1">
            <x v="3189"/>
          </reference>
        </references>
      </pivotArea>
    </format>
    <format dxfId="2911">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3720"/>
          </reference>
          <reference field="82" count="1" selected="0">
            <x v="2164"/>
          </reference>
          <reference field="85" count="1" selected="0">
            <x v="7"/>
          </reference>
          <reference field="87" count="1">
            <x v="3083"/>
          </reference>
        </references>
      </pivotArea>
    </format>
    <format dxfId="2910">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3719"/>
          </reference>
          <reference field="82" count="1" selected="0">
            <x v="2163"/>
          </reference>
          <reference field="85" count="1" selected="0">
            <x v="7"/>
          </reference>
          <reference field="87" count="1">
            <x v="3082"/>
          </reference>
        </references>
      </pivotArea>
    </format>
    <format dxfId="2909">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832"/>
          </reference>
          <reference field="82" count="1" selected="0">
            <x v="2323"/>
          </reference>
          <reference field="85" count="1" selected="0">
            <x v="4"/>
          </reference>
          <reference field="87" count="1">
            <x v="3209"/>
          </reference>
        </references>
      </pivotArea>
    </format>
    <format dxfId="2908">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694"/>
          </reference>
          <reference field="82" count="1" selected="0">
            <x v="2133"/>
          </reference>
          <reference field="85" count="1" selected="0">
            <x v="4"/>
          </reference>
          <reference field="87" count="1">
            <x v="3212"/>
          </reference>
        </references>
      </pivotArea>
    </format>
    <format dxfId="2907">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833"/>
          </reference>
          <reference field="82" count="1" selected="0">
            <x v="2324"/>
          </reference>
          <reference field="85" count="1" selected="0">
            <x v="4"/>
          </reference>
          <reference field="87" count="1">
            <x v="3213"/>
          </reference>
        </references>
      </pivotArea>
    </format>
    <format dxfId="2906">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758"/>
          </reference>
          <reference field="82" count="1" selected="0">
            <x v="2325"/>
          </reference>
          <reference field="85" count="1" selected="0">
            <x v="4"/>
          </reference>
          <reference field="87" count="1">
            <x v="3214"/>
          </reference>
        </references>
      </pivotArea>
    </format>
    <format dxfId="2905">
      <pivotArea dataOnly="0" labelOnly="1" outline="0" fieldPosition="0">
        <references count="13">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812"/>
          </reference>
          <reference field="82" count="1" selected="0">
            <x v="2288"/>
          </reference>
          <reference field="85" count="1" selected="0">
            <x v="7"/>
          </reference>
          <reference field="87" count="1">
            <x v="3182"/>
          </reference>
        </references>
      </pivotArea>
    </format>
    <format dxfId="2904">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728"/>
          </reference>
          <reference field="82" count="1" selected="0">
            <x v="2176"/>
          </reference>
          <reference field="85" count="1" selected="0">
            <x v="4"/>
          </reference>
          <reference field="87" count="1" selected="0">
            <x v="3091"/>
          </reference>
          <reference field="88" count="1">
            <x v="1949"/>
          </reference>
        </references>
      </pivotArea>
    </format>
    <format dxfId="2903">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730"/>
          </reference>
          <reference field="82" count="1" selected="0">
            <x v="2178"/>
          </reference>
          <reference field="85" count="1" selected="0">
            <x v="4"/>
          </reference>
          <reference field="87" count="1" selected="0">
            <x v="3093"/>
          </reference>
          <reference field="88" count="1">
            <x v="1951"/>
          </reference>
        </references>
      </pivotArea>
    </format>
    <format dxfId="2902">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731"/>
          </reference>
          <reference field="82" count="1" selected="0">
            <x v="2179"/>
          </reference>
          <reference field="85" count="1" selected="0">
            <x v="4"/>
          </reference>
          <reference field="87" count="1" selected="0">
            <x v="3094"/>
          </reference>
          <reference field="88" count="1">
            <x v="1952"/>
          </reference>
        </references>
      </pivotArea>
    </format>
    <format dxfId="2901">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727"/>
          </reference>
          <reference field="82" count="1" selected="0">
            <x v="2175"/>
          </reference>
          <reference field="85" count="1" selected="0">
            <x v="4"/>
          </reference>
          <reference field="87" count="1" selected="0">
            <x v="3090"/>
          </reference>
          <reference field="88" count="1">
            <x v="1948"/>
          </reference>
        </references>
      </pivotArea>
    </format>
    <format dxfId="2900">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732"/>
          </reference>
          <reference field="82" count="1" selected="0">
            <x v="2180"/>
          </reference>
          <reference field="85" count="1" selected="0">
            <x v="4"/>
          </reference>
          <reference field="87" count="1" selected="0">
            <x v="3095"/>
          </reference>
          <reference field="88" count="1">
            <x v="1953"/>
          </reference>
        </references>
      </pivotArea>
    </format>
    <format dxfId="2899">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733"/>
          </reference>
          <reference field="82" count="1" selected="0">
            <x v="2181"/>
          </reference>
          <reference field="85" count="1" selected="0">
            <x v="4"/>
          </reference>
          <reference field="87" count="1" selected="0">
            <x v="3096"/>
          </reference>
          <reference field="88" count="1">
            <x v="1954"/>
          </reference>
        </references>
      </pivotArea>
    </format>
    <format dxfId="2898">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734"/>
          </reference>
          <reference field="82" count="1" selected="0">
            <x v="2182"/>
          </reference>
          <reference field="85" count="1" selected="0">
            <x v="4"/>
          </reference>
          <reference field="87" count="1" selected="0">
            <x v="3097"/>
          </reference>
          <reference field="88" count="1">
            <x v="1955"/>
          </reference>
        </references>
      </pivotArea>
    </format>
    <format dxfId="2897">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729"/>
          </reference>
          <reference field="82" count="1" selected="0">
            <x v="2177"/>
          </reference>
          <reference field="85" count="1" selected="0">
            <x v="4"/>
          </reference>
          <reference field="87" count="1" selected="0">
            <x v="3092"/>
          </reference>
          <reference field="88" count="1">
            <x v="1950"/>
          </reference>
        </references>
      </pivotArea>
    </format>
    <format dxfId="2896">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6"/>
          </reference>
          <reference field="85" count="1" selected="0">
            <x v="0"/>
          </reference>
          <reference field="87" count="1" selected="0">
            <x v="3134"/>
          </reference>
          <reference field="88" count="1">
            <x v="2009"/>
          </reference>
        </references>
      </pivotArea>
    </format>
    <format dxfId="2895">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770"/>
          </reference>
          <reference field="82" count="1" selected="0">
            <x v="2237"/>
          </reference>
          <reference field="85" count="1" selected="0">
            <x v="0"/>
          </reference>
          <reference field="87" count="1" selected="0">
            <x v="3135"/>
          </reference>
          <reference field="88" count="1">
            <x v="2010"/>
          </reference>
        </references>
      </pivotArea>
    </format>
    <format dxfId="2894">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771"/>
          </reference>
          <reference field="82" count="1" selected="0">
            <x v="2238"/>
          </reference>
          <reference field="85" count="1" selected="0">
            <x v="0"/>
          </reference>
          <reference field="87" count="1" selected="0">
            <x v="3136"/>
          </reference>
          <reference field="88" count="1">
            <x v="2011"/>
          </reference>
        </references>
      </pivotArea>
    </format>
    <format dxfId="2893">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4"/>
          </reference>
          <reference field="85" count="1" selected="0">
            <x v="7"/>
          </reference>
          <reference field="87" count="1" selected="0">
            <x v="3179"/>
          </reference>
          <reference field="88" count="1">
            <x v="2057"/>
          </reference>
        </references>
      </pivotArea>
    </format>
    <format dxfId="2892">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810"/>
          </reference>
          <reference field="82" count="1" selected="0">
            <x v="2285"/>
          </reference>
          <reference field="85" count="1" selected="0">
            <x v="7"/>
          </reference>
          <reference field="87" count="1" selected="0">
            <x v="3180"/>
          </reference>
          <reference field="88" count="1">
            <x v="2058"/>
          </reference>
        </references>
      </pivotArea>
    </format>
    <format dxfId="2891">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762"/>
          </reference>
          <reference field="82" count="1" selected="0">
            <x v="2311"/>
          </reference>
          <reference field="85" count="1" selected="0">
            <x v="4"/>
          </reference>
          <reference field="87" count="1" selected="0">
            <x v="3203"/>
          </reference>
          <reference field="88" count="1">
            <x v="2084"/>
          </reference>
        </references>
      </pivotArea>
    </format>
    <format dxfId="2890">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835"/>
          </reference>
          <reference field="82" count="1" selected="0">
            <x v="2322"/>
          </reference>
          <reference field="85" count="1" selected="0">
            <x v="4"/>
          </reference>
          <reference field="87" count="1" selected="0">
            <x v="3216"/>
          </reference>
          <reference field="88" count="1">
            <x v="2097"/>
          </reference>
        </references>
      </pivotArea>
    </format>
    <format dxfId="2889">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784"/>
          </reference>
          <reference field="82" count="1" selected="0">
            <x v="2312"/>
          </reference>
          <reference field="85" count="1" selected="0">
            <x v="4"/>
          </reference>
          <reference field="87" count="1" selected="0">
            <x v="3204"/>
          </reference>
          <reference field="88" count="1">
            <x v="2085"/>
          </reference>
        </references>
      </pivotArea>
    </format>
    <format dxfId="2888">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834"/>
          </reference>
          <reference field="82" count="1" selected="0">
            <x v="2321"/>
          </reference>
          <reference field="85" count="1" selected="0">
            <x v="4"/>
          </reference>
          <reference field="87" count="1" selected="0">
            <x v="3215"/>
          </reference>
          <reference field="88" count="1">
            <x v="2096"/>
          </reference>
        </references>
      </pivotArea>
    </format>
    <format dxfId="2887">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6"/>
          </reference>
          <reference field="85" count="1" selected="0">
            <x v="7"/>
          </reference>
          <reference field="87" count="1" selected="0">
            <x v="3179"/>
          </reference>
          <reference field="88" count="1">
            <x v="2059"/>
          </reference>
        </references>
      </pivotArea>
    </format>
    <format dxfId="2886">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811"/>
          </reference>
          <reference field="82" count="1" selected="0">
            <x v="2287"/>
          </reference>
          <reference field="85" count="1" selected="0">
            <x v="7"/>
          </reference>
          <reference field="87" count="1" selected="0">
            <x v="3181"/>
          </reference>
          <reference field="88" count="1">
            <x v="2060"/>
          </reference>
        </references>
      </pivotArea>
    </format>
    <format dxfId="2885">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3"/>
          </reference>
          <reference field="85" count="1" selected="0">
            <x v="0"/>
          </reference>
          <reference field="87" count="1" selected="0">
            <x v="3134"/>
          </reference>
          <reference field="88" count="1">
            <x v="2006"/>
          </reference>
        </references>
      </pivotArea>
    </format>
    <format dxfId="2884">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770"/>
          </reference>
          <reference field="82" count="1" selected="0">
            <x v="2234"/>
          </reference>
          <reference field="85" count="1" selected="0">
            <x v="0"/>
          </reference>
          <reference field="87" count="1" selected="0">
            <x v="3135"/>
          </reference>
          <reference field="88" count="1">
            <x v="2007"/>
          </reference>
        </references>
      </pivotArea>
    </format>
    <format dxfId="2883">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771"/>
          </reference>
          <reference field="82" count="1" selected="0">
            <x v="2235"/>
          </reference>
          <reference field="85" count="1" selected="0">
            <x v="0"/>
          </reference>
          <reference field="87" count="1" selected="0">
            <x v="3136"/>
          </reference>
          <reference field="88" count="1">
            <x v="2008"/>
          </reference>
        </references>
      </pivotArea>
    </format>
    <format dxfId="2882">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768"/>
          </reference>
          <reference field="82" count="1" selected="0">
            <x v="2232"/>
          </reference>
          <reference field="85" count="1" selected="0">
            <x v="0"/>
          </reference>
          <reference field="87" count="1" selected="0">
            <x v="3133"/>
          </reference>
          <reference field="88" count="1">
            <x v="2005"/>
          </reference>
        </references>
      </pivotArea>
    </format>
    <format dxfId="2881">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6"/>
          </reference>
          <reference field="85" count="1" selected="0">
            <x v="7"/>
          </reference>
          <reference field="87" count="1" selected="0">
            <x v="3179"/>
          </reference>
          <reference field="88" count="1">
            <x v="2059"/>
          </reference>
        </references>
      </pivotArea>
    </format>
    <format dxfId="2880">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811"/>
          </reference>
          <reference field="82" count="1" selected="0">
            <x v="2287"/>
          </reference>
          <reference field="85" count="1" selected="0">
            <x v="7"/>
          </reference>
          <reference field="87" count="1" selected="0">
            <x v="3181"/>
          </reference>
          <reference field="88" count="1">
            <x v="2060"/>
          </reference>
        </references>
      </pivotArea>
    </format>
    <format dxfId="2879">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3"/>
          </reference>
          <reference field="85" count="1" selected="0">
            <x v="0"/>
          </reference>
          <reference field="87" count="1" selected="0">
            <x v="3134"/>
          </reference>
          <reference field="88" count="1">
            <x v="2006"/>
          </reference>
        </references>
      </pivotArea>
    </format>
    <format dxfId="2878">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770"/>
          </reference>
          <reference field="82" count="1" selected="0">
            <x v="2234"/>
          </reference>
          <reference field="85" count="1" selected="0">
            <x v="0"/>
          </reference>
          <reference field="87" count="1" selected="0">
            <x v="3135"/>
          </reference>
          <reference field="88" count="1">
            <x v="2007"/>
          </reference>
        </references>
      </pivotArea>
    </format>
    <format dxfId="2877">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771"/>
          </reference>
          <reference field="82" count="1" selected="0">
            <x v="2235"/>
          </reference>
          <reference field="85" count="1" selected="0">
            <x v="0"/>
          </reference>
          <reference field="87" count="1" selected="0">
            <x v="3136"/>
          </reference>
          <reference field="88" count="1">
            <x v="2008"/>
          </reference>
        </references>
      </pivotArea>
    </format>
    <format dxfId="2876">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768"/>
          </reference>
          <reference field="82" count="1" selected="0">
            <x v="2232"/>
          </reference>
          <reference field="85" count="1" selected="0">
            <x v="0"/>
          </reference>
          <reference field="87" count="1" selected="0">
            <x v="3133"/>
          </reference>
          <reference field="88" count="1">
            <x v="2005"/>
          </reference>
        </references>
      </pivotArea>
    </format>
    <format dxfId="2875">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6"/>
          </reference>
          <reference field="85" count="1" selected="0">
            <x v="7"/>
          </reference>
          <reference field="87" count="1" selected="0">
            <x v="3179"/>
          </reference>
          <reference field="88" count="1">
            <x v="2059"/>
          </reference>
        </references>
      </pivotArea>
    </format>
    <format dxfId="2874">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811"/>
          </reference>
          <reference field="82" count="1" selected="0">
            <x v="2287"/>
          </reference>
          <reference field="85" count="1" selected="0">
            <x v="7"/>
          </reference>
          <reference field="87" count="1" selected="0">
            <x v="3181"/>
          </reference>
          <reference field="88" count="1">
            <x v="2060"/>
          </reference>
        </references>
      </pivotArea>
    </format>
    <format dxfId="2873">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717"/>
          </reference>
          <reference field="82" count="1" selected="0">
            <x v="2158"/>
          </reference>
          <reference field="85" count="1" selected="0">
            <x v="7"/>
          </reference>
          <reference field="87" count="1" selected="0">
            <x v="3080"/>
          </reference>
          <reference field="88" count="1">
            <x v="1931"/>
          </reference>
        </references>
      </pivotArea>
    </format>
    <format dxfId="2872">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selected="0">
            <x v="2160"/>
          </reference>
          <reference field="85" count="1" selected="0">
            <x v="7"/>
          </reference>
          <reference field="87" count="1" selected="0">
            <x v="3073"/>
          </reference>
          <reference field="88" count="1">
            <x v="1933"/>
          </reference>
        </references>
      </pivotArea>
    </format>
    <format dxfId="2871">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3764"/>
          </reference>
          <reference field="82" count="1" selected="0">
            <x v="2228"/>
          </reference>
          <reference field="85" count="1" selected="0">
            <x v="0"/>
          </reference>
          <reference field="87" count="1" selected="0">
            <x v="3129"/>
          </reference>
          <reference field="88" count="1">
            <x v="2001"/>
          </reference>
        </references>
      </pivotArea>
    </format>
    <format dxfId="2870">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767"/>
          </reference>
          <reference field="82" count="1" selected="0">
            <x v="2231"/>
          </reference>
          <reference field="85" count="1" selected="0">
            <x v="0"/>
          </reference>
          <reference field="87" count="1" selected="0">
            <x v="3132"/>
          </reference>
          <reference field="88" count="1">
            <x v="2004"/>
          </reference>
        </references>
      </pivotArea>
    </format>
    <format dxfId="2869">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765"/>
          </reference>
          <reference field="82" count="1" selected="0">
            <x v="2229"/>
          </reference>
          <reference field="85" count="1" selected="0">
            <x v="0"/>
          </reference>
          <reference field="87" count="1" selected="0">
            <x v="3130"/>
          </reference>
          <reference field="88" count="1">
            <x v="2002"/>
          </reference>
        </references>
      </pivotArea>
    </format>
    <format dxfId="2868">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766"/>
          </reference>
          <reference field="82" count="1" selected="0">
            <x v="2230"/>
          </reference>
          <reference field="85" count="1" selected="0">
            <x v="0"/>
          </reference>
          <reference field="87" count="1" selected="0">
            <x v="3131"/>
          </reference>
          <reference field="88" count="1">
            <x v="2003"/>
          </reference>
        </references>
      </pivotArea>
    </format>
    <format dxfId="2867">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4"/>
          </reference>
          <reference field="85" count="1" selected="0">
            <x v="7"/>
          </reference>
          <reference field="87" count="1" selected="0">
            <x v="3179"/>
          </reference>
          <reference field="88" count="1">
            <x v="2057"/>
          </reference>
        </references>
      </pivotArea>
    </format>
    <format dxfId="2866">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810"/>
          </reference>
          <reference field="82" count="1" selected="0">
            <x v="2285"/>
          </reference>
          <reference field="85" count="1" selected="0">
            <x v="7"/>
          </reference>
          <reference field="87" count="1" selected="0">
            <x v="3180"/>
          </reference>
          <reference field="88" count="1">
            <x v="2058"/>
          </reference>
        </references>
      </pivotArea>
    </format>
    <format dxfId="2865">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762"/>
          </reference>
          <reference field="82" count="1" selected="0">
            <x v="2311"/>
          </reference>
          <reference field="85" count="1" selected="0">
            <x v="4"/>
          </reference>
          <reference field="87" count="1" selected="0">
            <x v="3203"/>
          </reference>
          <reference field="88" count="1">
            <x v="2084"/>
          </reference>
        </references>
      </pivotArea>
    </format>
    <format dxfId="2864">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835"/>
          </reference>
          <reference field="82" count="1" selected="0">
            <x v="2322"/>
          </reference>
          <reference field="85" count="1" selected="0">
            <x v="4"/>
          </reference>
          <reference field="87" count="1" selected="0">
            <x v="3216"/>
          </reference>
          <reference field="88" count="1">
            <x v="2097"/>
          </reference>
        </references>
      </pivotArea>
    </format>
    <format dxfId="2863">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784"/>
          </reference>
          <reference field="82" count="1" selected="0">
            <x v="2312"/>
          </reference>
          <reference field="85" count="1" selected="0">
            <x v="4"/>
          </reference>
          <reference field="87" count="1" selected="0">
            <x v="3204"/>
          </reference>
          <reference field="88" count="1">
            <x v="2085"/>
          </reference>
        </references>
      </pivotArea>
    </format>
    <format dxfId="2862">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834"/>
          </reference>
          <reference field="82" count="1" selected="0">
            <x v="2321"/>
          </reference>
          <reference field="85" count="1" selected="0">
            <x v="4"/>
          </reference>
          <reference field="87" count="1" selected="0">
            <x v="3215"/>
          </reference>
          <reference field="88" count="1">
            <x v="2096"/>
          </reference>
        </references>
      </pivotArea>
    </format>
    <format dxfId="2861">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711"/>
          </reference>
          <reference field="82" count="1" selected="0">
            <x v="2168"/>
          </reference>
          <reference field="85" count="1" selected="0">
            <x v="7"/>
          </reference>
          <reference field="87" count="1" selected="0">
            <x v="3074"/>
          </reference>
          <reference field="88" count="1">
            <x v="1941"/>
          </reference>
        </references>
      </pivotArea>
    </format>
    <format dxfId="2860">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717"/>
          </reference>
          <reference field="82" count="1" selected="0">
            <x v="2159"/>
          </reference>
          <reference field="85" count="1" selected="0">
            <x v="7"/>
          </reference>
          <reference field="87" count="1" selected="0">
            <x v="3080"/>
          </reference>
          <reference field="88" count="1">
            <x v="1932"/>
          </reference>
        </references>
      </pivotArea>
    </format>
    <format dxfId="285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728"/>
          </reference>
          <reference field="82" count="1" selected="0">
            <x v="2212"/>
          </reference>
          <reference field="85" count="1" selected="0">
            <x v="4"/>
          </reference>
          <reference field="87" count="1" selected="0">
            <x v="3091"/>
          </reference>
          <reference field="88" count="1">
            <x v="1985"/>
          </reference>
        </references>
      </pivotArea>
    </format>
    <format dxfId="285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730"/>
          </reference>
          <reference field="82" count="1" selected="0">
            <x v="2214"/>
          </reference>
          <reference field="85" count="1" selected="0">
            <x v="4"/>
          </reference>
          <reference field="87" count="1" selected="0">
            <x v="3093"/>
          </reference>
          <reference field="88" count="1">
            <x v="1987"/>
          </reference>
        </references>
      </pivotArea>
    </format>
    <format dxfId="285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731"/>
          </reference>
          <reference field="82" count="1" selected="0">
            <x v="2215"/>
          </reference>
          <reference field="85" count="1" selected="0">
            <x v="4"/>
          </reference>
          <reference field="87" count="1" selected="0">
            <x v="3094"/>
          </reference>
          <reference field="88" count="1">
            <x v="1988"/>
          </reference>
        </references>
      </pivotArea>
    </format>
    <format dxfId="285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727"/>
          </reference>
          <reference field="82" count="1" selected="0">
            <x v="2211"/>
          </reference>
          <reference field="85" count="1" selected="0">
            <x v="4"/>
          </reference>
          <reference field="87" count="1" selected="0">
            <x v="3090"/>
          </reference>
          <reference field="88" count="1">
            <x v="1984"/>
          </reference>
        </references>
      </pivotArea>
    </format>
    <format dxfId="285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732"/>
          </reference>
          <reference field="82" count="1" selected="0">
            <x v="2216"/>
          </reference>
          <reference field="85" count="1" selected="0">
            <x v="4"/>
          </reference>
          <reference field="87" count="1" selected="0">
            <x v="3095"/>
          </reference>
          <reference field="88" count="1">
            <x v="1989"/>
          </reference>
        </references>
      </pivotArea>
    </format>
    <format dxfId="285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733"/>
          </reference>
          <reference field="82" count="1" selected="0">
            <x v="2217"/>
          </reference>
          <reference field="85" count="1" selected="0">
            <x v="4"/>
          </reference>
          <reference field="87" count="1" selected="0">
            <x v="3096"/>
          </reference>
          <reference field="88" count="1">
            <x v="1990"/>
          </reference>
        </references>
      </pivotArea>
    </format>
    <format dxfId="285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734"/>
          </reference>
          <reference field="82" count="1" selected="0">
            <x v="2218"/>
          </reference>
          <reference field="85" count="1" selected="0">
            <x v="4"/>
          </reference>
          <reference field="87" count="1" selected="0">
            <x v="3097"/>
          </reference>
          <reference field="88" count="1">
            <x v="1991"/>
          </reference>
        </references>
      </pivotArea>
    </format>
    <format dxfId="285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729"/>
          </reference>
          <reference field="82" count="1" selected="0">
            <x v="2213"/>
          </reference>
          <reference field="85" count="1" selected="0">
            <x v="4"/>
          </reference>
          <reference field="87" count="1" selected="0">
            <x v="3092"/>
          </reference>
          <reference field="88" count="1">
            <x v="1986"/>
          </reference>
        </references>
      </pivotArea>
    </format>
    <format dxfId="2851">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3"/>
          </reference>
          <reference field="85" count="1" selected="0">
            <x v="0"/>
          </reference>
          <reference field="87" count="1" selected="0">
            <x v="3134"/>
          </reference>
          <reference field="88" count="1">
            <x v="2006"/>
          </reference>
        </references>
      </pivotArea>
    </format>
    <format dxfId="2850">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770"/>
          </reference>
          <reference field="82" count="1" selected="0">
            <x v="2234"/>
          </reference>
          <reference field="85" count="1" selected="0">
            <x v="0"/>
          </reference>
          <reference field="87" count="1" selected="0">
            <x v="3135"/>
          </reference>
          <reference field="88" count="1">
            <x v="2007"/>
          </reference>
        </references>
      </pivotArea>
    </format>
    <format dxfId="2849">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771"/>
          </reference>
          <reference field="82" count="1" selected="0">
            <x v="2235"/>
          </reference>
          <reference field="85" count="1" selected="0">
            <x v="0"/>
          </reference>
          <reference field="87" count="1" selected="0">
            <x v="3136"/>
          </reference>
          <reference field="88" count="1">
            <x v="2008"/>
          </reference>
        </references>
      </pivotArea>
    </format>
    <format dxfId="2848">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768"/>
          </reference>
          <reference field="82" count="1" selected="0">
            <x v="2232"/>
          </reference>
          <reference field="85" count="1" selected="0">
            <x v="0"/>
          </reference>
          <reference field="87" count="1" selected="0">
            <x v="3133"/>
          </reference>
          <reference field="88" count="1">
            <x v="2005"/>
          </reference>
        </references>
      </pivotArea>
    </format>
    <format dxfId="2847">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711"/>
          </reference>
          <reference field="82" count="1" selected="0">
            <x v="2167"/>
          </reference>
          <reference field="85" count="1" selected="0">
            <x v="7"/>
          </reference>
          <reference field="87" count="1" selected="0">
            <x v="3074"/>
          </reference>
          <reference field="88" count="1">
            <x v="1940"/>
          </reference>
        </references>
      </pivotArea>
    </format>
    <format dxfId="2846">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4"/>
          </reference>
          <reference field="85" count="1" selected="0">
            <x v="7"/>
          </reference>
          <reference field="87" count="1" selected="0">
            <x v="3179"/>
          </reference>
          <reference field="88" count="1">
            <x v="2057"/>
          </reference>
        </references>
      </pivotArea>
    </format>
    <format dxfId="2845">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810"/>
          </reference>
          <reference field="82" count="1" selected="0">
            <x v="2285"/>
          </reference>
          <reference field="85" count="1" selected="0">
            <x v="7"/>
          </reference>
          <reference field="87" count="1" selected="0">
            <x v="3180"/>
          </reference>
          <reference field="88" count="1">
            <x v="2058"/>
          </reference>
        </references>
      </pivotArea>
    </format>
    <format dxfId="2844">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767"/>
          </reference>
          <reference field="82" count="1" selected="0">
            <x v="2231"/>
          </reference>
          <reference field="85" count="1" selected="0">
            <x v="0"/>
          </reference>
          <reference field="87" count="1" selected="0">
            <x v="3132"/>
          </reference>
          <reference field="88" count="1">
            <x v="2004"/>
          </reference>
        </references>
      </pivotArea>
    </format>
    <format dxfId="2843">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765"/>
          </reference>
          <reference field="82" count="1" selected="0">
            <x v="2229"/>
          </reference>
          <reference field="85" count="1" selected="0">
            <x v="0"/>
          </reference>
          <reference field="87" count="1" selected="0">
            <x v="3130"/>
          </reference>
          <reference field="88" count="1">
            <x v="2002"/>
          </reference>
        </references>
      </pivotArea>
    </format>
    <format dxfId="2842">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766"/>
          </reference>
          <reference field="82" count="1" selected="0">
            <x v="2230"/>
          </reference>
          <reference field="85" count="1" selected="0">
            <x v="0"/>
          </reference>
          <reference field="87" count="1" selected="0">
            <x v="3131"/>
          </reference>
          <reference field="88" count="1">
            <x v="2003"/>
          </reference>
        </references>
      </pivotArea>
    </format>
    <format dxfId="2841">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4"/>
          </reference>
          <reference field="85" count="1" selected="0">
            <x v="7"/>
          </reference>
          <reference field="87" count="1" selected="0">
            <x v="3179"/>
          </reference>
          <reference field="88" count="1">
            <x v="2057"/>
          </reference>
        </references>
      </pivotArea>
    </format>
    <format dxfId="2840">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810"/>
          </reference>
          <reference field="82" count="1" selected="0">
            <x v="2285"/>
          </reference>
          <reference field="85" count="1" selected="0">
            <x v="7"/>
          </reference>
          <reference field="87" count="1" selected="0">
            <x v="3180"/>
          </reference>
          <reference field="88" count="1">
            <x v="2058"/>
          </reference>
        </references>
      </pivotArea>
    </format>
    <format dxfId="2839">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762"/>
          </reference>
          <reference field="82" count="1" selected="0">
            <x v="2311"/>
          </reference>
          <reference field="85" count="1" selected="0">
            <x v="4"/>
          </reference>
          <reference field="87" count="1" selected="0">
            <x v="3203"/>
          </reference>
          <reference field="88" count="1">
            <x v="2084"/>
          </reference>
        </references>
      </pivotArea>
    </format>
    <format dxfId="2838">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835"/>
          </reference>
          <reference field="82" count="1" selected="0">
            <x v="2322"/>
          </reference>
          <reference field="85" count="1" selected="0">
            <x v="4"/>
          </reference>
          <reference field="87" count="1" selected="0">
            <x v="3216"/>
          </reference>
          <reference field="88" count="1">
            <x v="2097"/>
          </reference>
        </references>
      </pivotArea>
    </format>
    <format dxfId="2837">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784"/>
          </reference>
          <reference field="82" count="1" selected="0">
            <x v="2312"/>
          </reference>
          <reference field="85" count="1" selected="0">
            <x v="4"/>
          </reference>
          <reference field="87" count="1" selected="0">
            <x v="3204"/>
          </reference>
          <reference field="88" count="1">
            <x v="2085"/>
          </reference>
        </references>
      </pivotArea>
    </format>
    <format dxfId="2836">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834"/>
          </reference>
          <reference field="82" count="1" selected="0">
            <x v="2321"/>
          </reference>
          <reference field="85" count="1" selected="0">
            <x v="4"/>
          </reference>
          <reference field="87" count="1" selected="0">
            <x v="3215"/>
          </reference>
          <reference field="88" count="1">
            <x v="2096"/>
          </reference>
        </references>
      </pivotArea>
    </format>
    <format dxfId="2835">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809"/>
          </reference>
          <reference field="82" count="1" selected="0">
            <x v="2286"/>
          </reference>
          <reference field="85" count="1" selected="0">
            <x v="7"/>
          </reference>
          <reference field="87" count="1" selected="0">
            <x v="3179"/>
          </reference>
          <reference field="88" count="1">
            <x v="2059"/>
          </reference>
        </references>
      </pivotArea>
    </format>
    <format dxfId="2834">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811"/>
          </reference>
          <reference field="82" count="1" selected="0">
            <x v="2287"/>
          </reference>
          <reference field="85" count="1" selected="0">
            <x v="7"/>
          </reference>
          <reference field="87" count="1" selected="0">
            <x v="3181"/>
          </reference>
          <reference field="88" count="1">
            <x v="2060"/>
          </reference>
        </references>
      </pivotArea>
    </format>
    <format dxfId="2833">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769"/>
          </reference>
          <reference field="82" count="1" selected="0">
            <x v="2233"/>
          </reference>
          <reference field="85" count="1" selected="0">
            <x v="0"/>
          </reference>
          <reference field="87" count="1" selected="0">
            <x v="3134"/>
          </reference>
          <reference field="88" count="1">
            <x v="2006"/>
          </reference>
        </references>
      </pivotArea>
    </format>
    <format dxfId="2832">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3775"/>
          </reference>
          <reference field="82" count="1" selected="0">
            <x v="2242"/>
          </reference>
          <reference field="85" count="1" selected="0">
            <x v="0"/>
          </reference>
          <reference field="87" count="1" selected="0">
            <x v="3140"/>
          </reference>
          <reference field="88" count="1">
            <x v="2015"/>
          </reference>
        </references>
      </pivotArea>
    </format>
    <format dxfId="2831">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3776"/>
          </reference>
          <reference field="82" count="1" selected="0">
            <x v="2243"/>
          </reference>
          <reference field="85" count="1" selected="0">
            <x v="0"/>
          </reference>
          <reference field="87" count="1" selected="0">
            <x v="3141"/>
          </reference>
          <reference field="88" count="1">
            <x v="2016"/>
          </reference>
        </references>
      </pivotArea>
    </format>
    <format dxfId="2830">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3777"/>
          </reference>
          <reference field="82" count="1" selected="0">
            <x v="2244"/>
          </reference>
          <reference field="85" count="1" selected="0">
            <x v="0"/>
          </reference>
          <reference field="87" count="1" selected="0">
            <x v="3142"/>
          </reference>
          <reference field="88" count="1">
            <x v="2017"/>
          </reference>
        </references>
      </pivotArea>
    </format>
    <format dxfId="2829">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3713"/>
          </reference>
          <reference field="82" count="1" selected="0">
            <x v="2154"/>
          </reference>
          <reference field="85" count="1" selected="0">
            <x v="7"/>
          </reference>
          <reference field="87" count="1" selected="0">
            <x v="3076"/>
          </reference>
          <reference field="88" count="1">
            <x v="1927"/>
          </reference>
        </references>
      </pivotArea>
    </format>
    <format dxfId="2828">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714"/>
          </reference>
          <reference field="82" count="1" selected="0">
            <x v="2155"/>
          </reference>
          <reference field="85" count="1" selected="0">
            <x v="7"/>
          </reference>
          <reference field="87" count="1" selected="0">
            <x v="3077"/>
          </reference>
          <reference field="88" count="1">
            <x v="1928"/>
          </reference>
        </references>
      </pivotArea>
    </format>
    <format dxfId="2827">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772"/>
          </reference>
          <reference field="82" count="1" selected="0">
            <x v="2239"/>
          </reference>
          <reference field="85" count="1" selected="0">
            <x v="0"/>
          </reference>
          <reference field="87" count="1" selected="0">
            <x v="3137"/>
          </reference>
          <reference field="88" count="1">
            <x v="2012"/>
          </reference>
        </references>
      </pivotArea>
    </format>
    <format dxfId="2826">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773"/>
          </reference>
          <reference field="82" count="1" selected="0">
            <x v="2240"/>
          </reference>
          <reference field="85" count="1" selected="0">
            <x v="0"/>
          </reference>
          <reference field="87" count="1" selected="0">
            <x v="3138"/>
          </reference>
          <reference field="88" count="1">
            <x v="2013"/>
          </reference>
        </references>
      </pivotArea>
    </format>
    <format dxfId="2825">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774"/>
          </reference>
          <reference field="82" count="1" selected="0">
            <x v="2241"/>
          </reference>
          <reference field="85" count="1" selected="0">
            <x v="0"/>
          </reference>
          <reference field="87" count="1" selected="0">
            <x v="3139"/>
          </reference>
          <reference field="88" count="1">
            <x v="2014"/>
          </reference>
        </references>
      </pivotArea>
    </format>
    <format dxfId="2824">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812"/>
          </reference>
          <reference field="82" count="1" selected="0">
            <x v="2288"/>
          </reference>
          <reference field="85" count="1" selected="0">
            <x v="7"/>
          </reference>
          <reference field="87" count="1" selected="0">
            <x v="3182"/>
          </reference>
          <reference field="88" count="1">
            <x v="2061"/>
          </reference>
        </references>
      </pivotArea>
    </format>
    <format dxfId="2823">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3813"/>
          </reference>
          <reference field="82" count="1" selected="0">
            <x v="2289"/>
          </reference>
          <reference field="85" count="1" selected="0">
            <x v="7"/>
          </reference>
          <reference field="87" count="1" selected="0">
            <x v="3183"/>
          </reference>
          <reference field="88" count="1">
            <x v="2062"/>
          </reference>
        </references>
      </pivotArea>
    </format>
    <format dxfId="2822">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3723"/>
          </reference>
          <reference field="82" count="1" selected="0">
            <x v="2169"/>
          </reference>
          <reference field="85" count="1" selected="0">
            <x v="7"/>
          </reference>
          <reference field="87" count="1" selected="0">
            <x v="3086"/>
          </reference>
          <reference field="88" count="1">
            <x v="1942"/>
          </reference>
        </references>
      </pivotArea>
    </format>
    <format dxfId="2821">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772"/>
          </reference>
          <reference field="82" count="1" selected="0">
            <x v="2239"/>
          </reference>
          <reference field="85" count="1" selected="0">
            <x v="0"/>
          </reference>
          <reference field="87" count="1" selected="0">
            <x v="3137"/>
          </reference>
          <reference field="88" count="1">
            <x v="2012"/>
          </reference>
        </references>
      </pivotArea>
    </format>
    <format dxfId="2820">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773"/>
          </reference>
          <reference field="82" count="1" selected="0">
            <x v="2240"/>
          </reference>
          <reference field="85" count="1" selected="0">
            <x v="0"/>
          </reference>
          <reference field="87" count="1" selected="0">
            <x v="3138"/>
          </reference>
          <reference field="88" count="1">
            <x v="2013"/>
          </reference>
        </references>
      </pivotArea>
    </format>
    <format dxfId="2819">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774"/>
          </reference>
          <reference field="82" count="1" selected="0">
            <x v="2241"/>
          </reference>
          <reference field="85" count="1" selected="0">
            <x v="0"/>
          </reference>
          <reference field="87" count="1" selected="0">
            <x v="3139"/>
          </reference>
          <reference field="88" count="1">
            <x v="2014"/>
          </reference>
        </references>
      </pivotArea>
    </format>
    <format dxfId="2818">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812"/>
          </reference>
          <reference field="82" count="1" selected="0">
            <x v="2288"/>
          </reference>
          <reference field="85" count="1" selected="0">
            <x v="7"/>
          </reference>
          <reference field="87" count="1" selected="0">
            <x v="3182"/>
          </reference>
          <reference field="88" count="1">
            <x v="2061"/>
          </reference>
        </references>
      </pivotArea>
    </format>
    <format dxfId="2817">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3781"/>
          </reference>
          <reference field="82" count="1" selected="0">
            <x v="2248"/>
          </reference>
          <reference field="85" count="1" selected="0">
            <x v="0"/>
          </reference>
          <reference field="87" count="1" selected="0">
            <x v="3146"/>
          </reference>
          <reference field="88" count="1">
            <x v="2021"/>
          </reference>
        </references>
      </pivotArea>
    </format>
    <format dxfId="2816">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3782"/>
          </reference>
          <reference field="82" count="1" selected="0">
            <x v="2249"/>
          </reference>
          <reference field="85" count="1" selected="0">
            <x v="0"/>
          </reference>
          <reference field="87" count="1" selected="0">
            <x v="3147"/>
          </reference>
          <reference field="88" count="1">
            <x v="2022"/>
          </reference>
        </references>
      </pivotArea>
    </format>
    <format dxfId="2815">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3783"/>
          </reference>
          <reference field="82" count="1" selected="0">
            <x v="2250"/>
          </reference>
          <reference field="85" count="1" selected="0">
            <x v="0"/>
          </reference>
          <reference field="87" count="1" selected="0">
            <x v="3148"/>
          </reference>
          <reference field="88" count="1">
            <x v="2023"/>
          </reference>
        </references>
      </pivotArea>
    </format>
    <format dxfId="2814">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3709"/>
          </reference>
          <reference field="82" count="1" selected="0">
            <x v="2149"/>
          </reference>
          <reference field="85" count="1" selected="0">
            <x v="7"/>
          </reference>
          <reference field="87" count="1" selected="0">
            <x v="3072"/>
          </reference>
          <reference field="88" count="1">
            <x v="1922"/>
          </reference>
        </references>
      </pivotArea>
    </format>
    <format dxfId="2813">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selected="0">
            <x v="2150"/>
          </reference>
          <reference field="85" count="1" selected="0">
            <x v="7"/>
          </reference>
          <reference field="87" count="1" selected="0">
            <x v="3073"/>
          </reference>
          <reference field="88" count="1">
            <x v="1923"/>
          </reference>
        </references>
      </pivotArea>
    </format>
    <format dxfId="2812">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3727"/>
          </reference>
          <reference field="82" count="1" selected="0">
            <x v="2204"/>
          </reference>
          <reference field="85" count="1" selected="0">
            <x v="4"/>
          </reference>
          <reference field="87" count="1" selected="0">
            <x v="3090"/>
          </reference>
          <reference field="88" count="1">
            <x v="1977"/>
          </reference>
        </references>
      </pivotArea>
    </format>
    <format dxfId="2811">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3733"/>
          </reference>
          <reference field="82" count="1" selected="0">
            <x v="2205"/>
          </reference>
          <reference field="85" count="1" selected="0">
            <x v="4"/>
          </reference>
          <reference field="87" count="1" selected="0">
            <x v="3096"/>
          </reference>
          <reference field="88" count="1">
            <x v="1978"/>
          </reference>
        </references>
      </pivotArea>
    </format>
    <format dxfId="2810">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3729"/>
          </reference>
          <reference field="82" count="1" selected="0">
            <x v="2202"/>
          </reference>
          <reference field="85" count="1" selected="0">
            <x v="4"/>
          </reference>
          <reference field="87" count="1" selected="0">
            <x v="3092"/>
          </reference>
          <reference field="88" count="1">
            <x v="1975"/>
          </reference>
        </references>
      </pivotArea>
    </format>
    <format dxfId="2809">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3751"/>
          </reference>
          <reference field="82" count="1" selected="0">
            <x v="2203"/>
          </reference>
          <reference field="85" count="1" selected="0">
            <x v="4"/>
          </reference>
          <reference field="87" count="1" selected="0">
            <x v="3114"/>
          </reference>
          <reference field="88" count="1">
            <x v="1976"/>
          </reference>
        </references>
      </pivotArea>
    </format>
    <format dxfId="2808">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3778"/>
          </reference>
          <reference field="82" count="1" selected="0">
            <x v="2245"/>
          </reference>
          <reference field="85" count="1" selected="0">
            <x v="0"/>
          </reference>
          <reference field="87" count="1" selected="0">
            <x v="3143"/>
          </reference>
          <reference field="88" count="1">
            <x v="2018"/>
          </reference>
        </references>
      </pivotArea>
    </format>
    <format dxfId="2807">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3779"/>
          </reference>
          <reference field="82" count="1" selected="0">
            <x v="2246"/>
          </reference>
          <reference field="85" count="1" selected="0">
            <x v="0"/>
          </reference>
          <reference field="87" count="1" selected="0">
            <x v="3144"/>
          </reference>
          <reference field="88" count="1">
            <x v="2019"/>
          </reference>
        </references>
      </pivotArea>
    </format>
    <format dxfId="2806">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3780"/>
          </reference>
          <reference field="82" count="1" selected="0">
            <x v="2247"/>
          </reference>
          <reference field="85" count="1" selected="0">
            <x v="0"/>
          </reference>
          <reference field="87" count="1" selected="0">
            <x v="3145"/>
          </reference>
          <reference field="88" count="1">
            <x v="2020"/>
          </reference>
        </references>
      </pivotArea>
    </format>
    <format dxfId="2805">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823"/>
          </reference>
          <reference field="82" count="1" selected="0">
            <x v="2301"/>
          </reference>
          <reference field="85" count="1" selected="0">
            <x v="7"/>
          </reference>
          <reference field="87" count="1" selected="0">
            <x v="3193"/>
          </reference>
          <reference field="88" count="1">
            <x v="2074"/>
          </reference>
        </references>
      </pivotArea>
    </format>
    <format dxfId="2804">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716"/>
          </reference>
          <reference field="82" count="1" selected="0">
            <x v="2157"/>
          </reference>
          <reference field="85" count="1" selected="0">
            <x v="7"/>
          </reference>
          <reference field="87" count="1" selected="0">
            <x v="3079"/>
          </reference>
          <reference field="88" count="1">
            <x v="1930"/>
          </reference>
        </references>
      </pivotArea>
    </format>
    <format dxfId="2803">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3760"/>
          </reference>
          <reference field="82" count="1" selected="0">
            <x v="2223"/>
          </reference>
          <reference field="85" count="1" selected="0">
            <x v="0"/>
          </reference>
          <reference field="87" count="1" selected="0">
            <x v="3124"/>
          </reference>
          <reference field="88" count="1">
            <x v="1996"/>
          </reference>
        </references>
      </pivotArea>
    </format>
    <format dxfId="2802">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3759"/>
          </reference>
          <reference field="82" count="1" selected="0">
            <x v="2222"/>
          </reference>
          <reference field="85" count="1" selected="0">
            <x v="0"/>
          </reference>
          <reference field="87" count="1" selected="0">
            <x v="3123"/>
          </reference>
          <reference field="88" count="1">
            <x v="1995"/>
          </reference>
        </references>
      </pivotArea>
    </format>
    <format dxfId="2801">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3761"/>
          </reference>
          <reference field="82" count="1" selected="0">
            <x v="2224"/>
          </reference>
          <reference field="85" count="1" selected="0">
            <x v="0"/>
          </reference>
          <reference field="87" count="1" selected="0">
            <x v="3125"/>
          </reference>
          <reference field="88" count="1">
            <x v="1997"/>
          </reference>
        </references>
      </pivotArea>
    </format>
    <format dxfId="2800">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3721"/>
          </reference>
          <reference field="82" count="1" selected="0">
            <x v="2165"/>
          </reference>
          <reference field="85" count="1" selected="0">
            <x v="7"/>
          </reference>
          <reference field="87" count="1" selected="0">
            <x v="3084"/>
          </reference>
          <reference field="88" count="1">
            <x v="1938"/>
          </reference>
        </references>
      </pivotArea>
    </format>
    <format dxfId="2799">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716"/>
          </reference>
          <reference field="82" count="1" selected="0">
            <x v="2157"/>
          </reference>
          <reference field="85" count="1" selected="0">
            <x v="7"/>
          </reference>
          <reference field="87" count="1" selected="0">
            <x v="3079"/>
          </reference>
          <reference field="88" count="1">
            <x v="1930"/>
          </reference>
        </references>
      </pivotArea>
    </format>
    <format dxfId="2798">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3754"/>
          </reference>
          <reference field="82" count="1" selected="0">
            <x v="2208"/>
          </reference>
          <reference field="85" count="1" selected="0">
            <x v="4"/>
          </reference>
          <reference field="87" count="1" selected="0">
            <x v="3117"/>
          </reference>
          <reference field="88" count="1">
            <x v="1981"/>
          </reference>
        </references>
      </pivotArea>
    </format>
    <format dxfId="2797">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3755"/>
          </reference>
          <reference field="82" count="1" selected="0">
            <x v="2209"/>
          </reference>
          <reference field="85" count="1" selected="0">
            <x v="4"/>
          </reference>
          <reference field="87" count="1" selected="0">
            <x v="3118"/>
          </reference>
          <reference field="88" count="1">
            <x v="1982"/>
          </reference>
        </references>
      </pivotArea>
    </format>
    <format dxfId="2796">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3752"/>
          </reference>
          <reference field="82" count="1" selected="0">
            <x v="2206"/>
          </reference>
          <reference field="85" count="1" selected="0">
            <x v="4"/>
          </reference>
          <reference field="87" count="1" selected="0">
            <x v="3115"/>
          </reference>
          <reference field="88" count="1">
            <x v="1979"/>
          </reference>
        </references>
      </pivotArea>
    </format>
    <format dxfId="2795">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3753"/>
          </reference>
          <reference field="82" count="1" selected="0">
            <x v="2207"/>
          </reference>
          <reference field="85" count="1" selected="0">
            <x v="4"/>
          </reference>
          <reference field="87" count="1" selected="0">
            <x v="3116"/>
          </reference>
          <reference field="88" count="1">
            <x v="1980"/>
          </reference>
        </references>
      </pivotArea>
    </format>
    <format dxfId="2794">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757"/>
          </reference>
          <reference field="82" count="1" selected="0">
            <x v="2219"/>
          </reference>
          <reference field="85" count="1" selected="0">
            <x v="0"/>
          </reference>
          <reference field="87" count="1" selected="0">
            <x v="3120"/>
          </reference>
          <reference field="88" count="1">
            <x v="1992"/>
          </reference>
        </references>
      </pivotArea>
    </format>
    <format dxfId="2793">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758"/>
          </reference>
          <reference field="82" count="1" selected="0">
            <x v="2220"/>
          </reference>
          <reference field="85" count="1" selected="0">
            <x v="0"/>
          </reference>
          <reference field="87" count="1" selected="0">
            <x v="3121"/>
          </reference>
          <reference field="88" count="1">
            <x v="1993"/>
          </reference>
        </references>
      </pivotArea>
    </format>
    <format dxfId="2792">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697"/>
          </reference>
          <reference field="82" count="1" selected="0">
            <x v="2221"/>
          </reference>
          <reference field="85" count="1" selected="0">
            <x v="0"/>
          </reference>
          <reference field="87" count="1" selected="0">
            <x v="3122"/>
          </reference>
          <reference field="88" count="1">
            <x v="1994"/>
          </reference>
        </references>
      </pivotArea>
    </format>
    <format dxfId="2791">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selected="0">
            <x v="2150"/>
          </reference>
          <reference field="85" count="1" selected="0">
            <x v="7"/>
          </reference>
          <reference field="87" count="1" selected="0">
            <x v="3073"/>
          </reference>
          <reference field="88" count="1">
            <x v="1923"/>
          </reference>
        </references>
      </pivotArea>
    </format>
    <format dxfId="2790">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757"/>
          </reference>
          <reference field="82" count="1" selected="0">
            <x v="2219"/>
          </reference>
          <reference field="85" count="1" selected="0">
            <x v="0"/>
          </reference>
          <reference field="87" count="1" selected="0">
            <x v="3120"/>
          </reference>
          <reference field="88" count="1">
            <x v="1992"/>
          </reference>
        </references>
      </pivotArea>
    </format>
    <format dxfId="2789">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758"/>
          </reference>
          <reference field="82" count="1" selected="0">
            <x v="2220"/>
          </reference>
          <reference field="85" count="1" selected="0">
            <x v="0"/>
          </reference>
          <reference field="87" count="1" selected="0">
            <x v="3121"/>
          </reference>
          <reference field="88" count="1">
            <x v="1993"/>
          </reference>
        </references>
      </pivotArea>
    </format>
    <format dxfId="2788">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697"/>
          </reference>
          <reference field="82" count="1" selected="0">
            <x v="2221"/>
          </reference>
          <reference field="85" count="1" selected="0">
            <x v="0"/>
          </reference>
          <reference field="87" count="1" selected="0">
            <x v="3122"/>
          </reference>
          <reference field="88" count="1">
            <x v="1994"/>
          </reference>
        </references>
      </pivotArea>
    </format>
    <format dxfId="2787">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3715"/>
          </reference>
          <reference field="82" count="1" selected="0">
            <x v="2156"/>
          </reference>
          <reference field="85" count="1" selected="0">
            <x v="7"/>
          </reference>
          <reference field="87" count="1" selected="0">
            <x v="3078"/>
          </reference>
          <reference field="88" count="1">
            <x v="1929"/>
          </reference>
        </references>
      </pivotArea>
    </format>
    <format dxfId="2786">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selected="0">
            <x v="2150"/>
          </reference>
          <reference field="85" count="1" selected="0">
            <x v="7"/>
          </reference>
          <reference field="87" count="1" selected="0">
            <x v="3073"/>
          </reference>
          <reference field="88" count="1">
            <x v="1923"/>
          </reference>
        </references>
      </pivotArea>
    </format>
    <format dxfId="2785">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762"/>
          </reference>
          <reference field="82" count="1" selected="0">
            <x v="2225"/>
          </reference>
          <reference field="85" count="1" selected="0">
            <x v="0"/>
          </reference>
          <reference field="87" count="1" selected="0">
            <x v="3126"/>
          </reference>
          <reference field="88" count="1">
            <x v="1998"/>
          </reference>
        </references>
      </pivotArea>
    </format>
    <format dxfId="2784">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763"/>
          </reference>
          <reference field="82" count="1" selected="0">
            <x v="2226"/>
          </reference>
          <reference field="85" count="1" selected="0">
            <x v="0"/>
          </reference>
          <reference field="87" count="1" selected="0">
            <x v="3127"/>
          </reference>
          <reference field="88" count="1">
            <x v="1999"/>
          </reference>
        </references>
      </pivotArea>
    </format>
    <format dxfId="2783">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707"/>
          </reference>
          <reference field="82" count="1" selected="0">
            <x v="2227"/>
          </reference>
          <reference field="85" count="1" selected="0">
            <x v="0"/>
          </reference>
          <reference field="87" count="1" selected="0">
            <x v="3128"/>
          </reference>
          <reference field="88" count="1">
            <x v="2000"/>
          </reference>
        </references>
      </pivotArea>
    </format>
    <format dxfId="2782">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788"/>
          </reference>
          <reference field="82" count="1" selected="0">
            <x v="2270"/>
          </reference>
          <reference field="85" count="1" selected="0">
            <x v="2"/>
          </reference>
          <reference field="87" count="1" selected="0">
            <x v="3166"/>
          </reference>
          <reference field="88" count="1">
            <x v="2043"/>
          </reference>
        </references>
      </pivotArea>
    </format>
    <format dxfId="2781">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3793"/>
          </reference>
          <reference field="82" count="1" selected="0">
            <x v="2269"/>
          </reference>
          <reference field="85" count="1" selected="0">
            <x v="2"/>
          </reference>
          <reference field="87" count="1" selected="0">
            <x v="3165"/>
          </reference>
          <reference field="88" count="1">
            <x v="2042"/>
          </reference>
        </references>
      </pivotArea>
    </format>
    <format dxfId="2780">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3797"/>
          </reference>
          <reference field="82" count="1" selected="0">
            <x v="2271"/>
          </reference>
          <reference field="85" count="1" selected="0">
            <x v="2"/>
          </reference>
          <reference field="87" count="1" selected="0">
            <x v="3167"/>
          </reference>
          <reference field="88" count="1">
            <x v="2044"/>
          </reference>
        </references>
      </pivotArea>
    </format>
    <format dxfId="2779">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762"/>
          </reference>
          <reference field="82" count="1" selected="0">
            <x v="2225"/>
          </reference>
          <reference field="85" count="1" selected="0">
            <x v="0"/>
          </reference>
          <reference field="87" count="1" selected="0">
            <x v="3126"/>
          </reference>
          <reference field="88" count="1">
            <x v="1998"/>
          </reference>
        </references>
      </pivotArea>
    </format>
    <format dxfId="2778">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763"/>
          </reference>
          <reference field="82" count="1" selected="0">
            <x v="2226"/>
          </reference>
          <reference field="85" count="1" selected="0">
            <x v="0"/>
          </reference>
          <reference field="87" count="1" selected="0">
            <x v="3127"/>
          </reference>
          <reference field="88" count="1">
            <x v="1999"/>
          </reference>
        </references>
      </pivotArea>
    </format>
    <format dxfId="2777">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707"/>
          </reference>
          <reference field="82" count="1" selected="0">
            <x v="2227"/>
          </reference>
          <reference field="85" count="1" selected="0">
            <x v="0"/>
          </reference>
          <reference field="87" count="1" selected="0">
            <x v="3128"/>
          </reference>
          <reference field="88" count="1">
            <x v="2000"/>
          </reference>
        </references>
      </pivotArea>
    </format>
    <format dxfId="2776">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714"/>
          </reference>
          <reference field="82" count="1" selected="0">
            <x v="2292"/>
          </reference>
          <reference field="85" count="1" selected="0">
            <x v="7"/>
          </reference>
          <reference field="87" count="1" selected="0">
            <x v="3077"/>
          </reference>
          <reference field="88" count="1">
            <x v="2065"/>
          </reference>
        </references>
      </pivotArea>
    </format>
    <format dxfId="2775">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3832"/>
          </reference>
          <reference field="82" count="1" selected="0">
            <x v="2323"/>
          </reference>
          <reference field="85" count="1" selected="0">
            <x v="4"/>
          </reference>
          <reference field="87" count="1" selected="0">
            <x v="3209"/>
          </reference>
          <reference field="88" count="1">
            <x v="2098"/>
          </reference>
        </references>
      </pivotArea>
    </format>
    <format dxfId="2774">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3694"/>
          </reference>
          <reference field="82" count="1" selected="0">
            <x v="2133"/>
          </reference>
          <reference field="85" count="1" selected="0">
            <x v="4"/>
          </reference>
          <reference field="87" count="1" selected="0">
            <x v="3212"/>
          </reference>
          <reference field="88" count="1">
            <x v="2099"/>
          </reference>
        </references>
      </pivotArea>
    </format>
    <format dxfId="2773">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3693"/>
          </reference>
          <reference field="82" count="1" selected="0">
            <x v="2132"/>
          </reference>
          <reference field="85" count="1" selected="0">
            <x v="4"/>
          </reference>
          <reference field="87" count="1" selected="0">
            <x v="3231"/>
          </reference>
          <reference field="88" count="1">
            <x v="2123"/>
          </reference>
        </references>
      </pivotArea>
    </format>
    <format dxfId="2772">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3831"/>
          </reference>
          <reference field="82" count="1" selected="0">
            <x v="2345"/>
          </reference>
          <reference field="85" count="1" selected="0">
            <x v="4"/>
          </reference>
          <reference field="87" count="1" selected="0">
            <x v="3208"/>
          </reference>
          <reference field="88" count="1">
            <x v="2122"/>
          </reference>
        </references>
      </pivotArea>
    </format>
    <format dxfId="2771">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824"/>
          </reference>
          <reference field="82" count="1" selected="0">
            <x v="2302"/>
          </reference>
          <reference field="85" count="1" selected="0">
            <x v="4"/>
          </reference>
          <reference field="87" count="1" selected="0">
            <x v="3194"/>
          </reference>
          <reference field="88" count="1">
            <x v="2075"/>
          </reference>
        </references>
      </pivotArea>
    </format>
    <format dxfId="2770">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825"/>
          </reference>
          <reference field="82" count="1" selected="0">
            <x v="2303"/>
          </reference>
          <reference field="85" count="1" selected="0">
            <x v="4"/>
          </reference>
          <reference field="87" count="1" selected="0">
            <x v="3195"/>
          </reference>
          <reference field="88" count="1">
            <x v="2076"/>
          </reference>
        </references>
      </pivotArea>
    </format>
    <format dxfId="2769">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826"/>
          </reference>
          <reference field="82" count="1" selected="0">
            <x v="2304"/>
          </reference>
          <reference field="85" count="1" selected="0">
            <x v="4"/>
          </reference>
          <reference field="87" count="1" selected="0">
            <x v="3196"/>
          </reference>
          <reference field="88" count="1">
            <x v="2077"/>
          </reference>
        </references>
      </pivotArea>
    </format>
    <format dxfId="2768">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827"/>
          </reference>
          <reference field="82" count="1" selected="0">
            <x v="2305"/>
          </reference>
          <reference field="85" count="1" selected="0">
            <x v="4"/>
          </reference>
          <reference field="87" count="1" selected="0">
            <x v="3197"/>
          </reference>
          <reference field="88" count="1">
            <x v="2078"/>
          </reference>
        </references>
      </pivotArea>
    </format>
    <format dxfId="2767">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3694"/>
          </reference>
          <reference field="82" count="1" selected="0">
            <x v="2133"/>
          </reference>
          <reference field="85" count="1" selected="0">
            <x v="3"/>
          </reference>
          <reference field="87" count="1" selected="0">
            <x v="3057"/>
          </reference>
          <reference field="88" count="1">
            <x v="1906"/>
          </reference>
        </references>
      </pivotArea>
    </format>
    <format dxfId="2766">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3693"/>
          </reference>
          <reference field="82" count="1" selected="0">
            <x v="2132"/>
          </reference>
          <reference field="85" count="1" selected="0">
            <x v="3"/>
          </reference>
          <reference field="87" count="1" selected="0">
            <x v="3056"/>
          </reference>
          <reference field="88" count="1">
            <x v="1905"/>
          </reference>
        </references>
      </pivotArea>
    </format>
    <format dxfId="2765">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824"/>
          </reference>
          <reference field="82" count="1" selected="0">
            <x v="2302"/>
          </reference>
          <reference field="85" count="1" selected="0">
            <x v="4"/>
          </reference>
          <reference field="87" count="1" selected="0">
            <x v="3194"/>
          </reference>
          <reference field="88" count="1">
            <x v="2075"/>
          </reference>
        </references>
      </pivotArea>
    </format>
    <format dxfId="2764">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825"/>
          </reference>
          <reference field="82" count="1" selected="0">
            <x v="2303"/>
          </reference>
          <reference field="85" count="1" selected="0">
            <x v="4"/>
          </reference>
          <reference field="87" count="1" selected="0">
            <x v="3195"/>
          </reference>
          <reference field="88" count="1">
            <x v="2076"/>
          </reference>
        </references>
      </pivotArea>
    </format>
    <format dxfId="2763">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826"/>
          </reference>
          <reference field="82" count="1" selected="0">
            <x v="2304"/>
          </reference>
          <reference field="85" count="1" selected="0">
            <x v="4"/>
          </reference>
          <reference field="87" count="1" selected="0">
            <x v="3196"/>
          </reference>
          <reference field="88" count="1">
            <x v="2077"/>
          </reference>
        </references>
      </pivotArea>
    </format>
    <format dxfId="2762">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827"/>
          </reference>
          <reference field="82" count="1" selected="0">
            <x v="2305"/>
          </reference>
          <reference field="85" count="1" selected="0">
            <x v="4"/>
          </reference>
          <reference field="87" count="1" selected="0">
            <x v="3197"/>
          </reference>
          <reference field="88" count="1">
            <x v="2078"/>
          </reference>
        </references>
      </pivotArea>
    </format>
    <format dxfId="2761">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824"/>
          </reference>
          <reference field="82" count="1" selected="0">
            <x v="2302"/>
          </reference>
          <reference field="85" count="1" selected="0">
            <x v="4"/>
          </reference>
          <reference field="87" count="1" selected="0">
            <x v="3194"/>
          </reference>
          <reference field="88" count="1">
            <x v="2075"/>
          </reference>
        </references>
      </pivotArea>
    </format>
    <format dxfId="2760">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825"/>
          </reference>
          <reference field="82" count="1" selected="0">
            <x v="2303"/>
          </reference>
          <reference field="85" count="1" selected="0">
            <x v="4"/>
          </reference>
          <reference field="87" count="1" selected="0">
            <x v="3195"/>
          </reference>
          <reference field="88" count="1">
            <x v="2076"/>
          </reference>
        </references>
      </pivotArea>
    </format>
    <format dxfId="2759">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826"/>
          </reference>
          <reference field="82" count="1" selected="0">
            <x v="2304"/>
          </reference>
          <reference field="85" count="1" selected="0">
            <x v="4"/>
          </reference>
          <reference field="87" count="1" selected="0">
            <x v="3196"/>
          </reference>
          <reference field="88" count="1">
            <x v="2077"/>
          </reference>
        </references>
      </pivotArea>
    </format>
    <format dxfId="2758">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827"/>
          </reference>
          <reference field="82" count="1" selected="0">
            <x v="2305"/>
          </reference>
          <reference field="85" count="1" selected="0">
            <x v="4"/>
          </reference>
          <reference field="87" count="1" selected="0">
            <x v="3197"/>
          </reference>
          <reference field="88" count="1">
            <x v="2078"/>
          </reference>
        </references>
      </pivotArea>
    </format>
    <format dxfId="2757">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3707"/>
          </reference>
          <reference field="82" count="1" selected="0">
            <x v="2227"/>
          </reference>
          <reference field="85" count="1" selected="0">
            <x v="0"/>
          </reference>
          <reference field="87" count="1" selected="0">
            <x v="3128"/>
          </reference>
          <reference field="88" count="1">
            <x v="2000"/>
          </reference>
        </references>
      </pivotArea>
    </format>
    <format dxfId="2756">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3785"/>
          </reference>
          <reference field="82" count="1" selected="0">
            <x v="2252"/>
          </reference>
          <reference field="85" count="1" selected="0">
            <x v="0"/>
          </reference>
          <reference field="87" count="1" selected="0">
            <x v="3150"/>
          </reference>
          <reference field="88" count="1">
            <x v="2025"/>
          </reference>
        </references>
      </pivotArea>
    </format>
    <format dxfId="2755">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3784"/>
          </reference>
          <reference field="82" count="1" selected="0">
            <x v="2251"/>
          </reference>
          <reference field="85" count="1" selected="0">
            <x v="0"/>
          </reference>
          <reference field="87" count="1" selected="0">
            <x v="3149"/>
          </reference>
          <reference field="88" count="1">
            <x v="2024"/>
          </reference>
        </references>
      </pivotArea>
    </format>
    <format dxfId="2754">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711"/>
          </reference>
          <reference field="82" count="1" selected="0">
            <x v="2151"/>
          </reference>
          <reference field="85" count="1" selected="0">
            <x v="7"/>
          </reference>
          <reference field="87" count="1" selected="0">
            <x v="3074"/>
          </reference>
          <reference field="88" count="1">
            <x v="1924"/>
          </reference>
        </references>
      </pivotArea>
    </format>
    <format dxfId="2753">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712"/>
          </reference>
          <reference field="82" count="1" selected="0">
            <x v="2152"/>
          </reference>
          <reference field="85" count="1" selected="0">
            <x v="7"/>
          </reference>
          <reference field="87" count="1" selected="0">
            <x v="3075"/>
          </reference>
          <reference field="88" count="1">
            <x v="1925"/>
          </reference>
        </references>
      </pivotArea>
    </format>
    <format dxfId="2752">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selected="0">
            <x v="2153"/>
          </reference>
          <reference field="85" count="1" selected="0">
            <x v="7"/>
          </reference>
          <reference field="87" count="1" selected="0">
            <x v="3073"/>
          </reference>
          <reference field="88" count="1">
            <x v="1926"/>
          </reference>
        </references>
      </pivotArea>
    </format>
    <format dxfId="2751">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3748"/>
          </reference>
          <reference field="82" count="1" selected="0">
            <x v="2198"/>
          </reference>
          <reference field="85" count="1" selected="0">
            <x v="4"/>
          </reference>
          <reference field="87" count="1" selected="0">
            <x v="3111"/>
          </reference>
          <reference field="88" count="1">
            <x v="1971"/>
          </reference>
        </references>
      </pivotArea>
    </format>
    <format dxfId="2750">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3738"/>
          </reference>
          <reference field="82" count="1" selected="0">
            <x v="2199"/>
          </reference>
          <reference field="85" count="1" selected="0">
            <x v="4"/>
          </reference>
          <reference field="87" count="1" selected="0">
            <x v="3101"/>
          </reference>
          <reference field="88" count="1">
            <x v="1972"/>
          </reference>
        </references>
      </pivotArea>
    </format>
    <format dxfId="2749">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3749"/>
          </reference>
          <reference field="82" count="1" selected="0">
            <x v="2200"/>
          </reference>
          <reference field="85" count="1" selected="0">
            <x v="4"/>
          </reference>
          <reference field="87" count="1" selected="0">
            <x v="3112"/>
          </reference>
          <reference field="88" count="1">
            <x v="1973"/>
          </reference>
        </references>
      </pivotArea>
    </format>
    <format dxfId="2748">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3750"/>
          </reference>
          <reference field="82" count="1" selected="0">
            <x v="2201"/>
          </reference>
          <reference field="85" count="1" selected="0">
            <x v="4"/>
          </reference>
          <reference field="87" count="1" selected="0">
            <x v="3113"/>
          </reference>
          <reference field="88" count="1">
            <x v="1974"/>
          </reference>
        </references>
      </pivotArea>
    </format>
    <format dxfId="2747">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773"/>
          </reference>
          <reference field="82" count="1" selected="0">
            <x v="2258"/>
          </reference>
          <reference field="85" count="1" selected="0">
            <x v="0"/>
          </reference>
          <reference field="87" count="1" selected="0">
            <x v="3138"/>
          </reference>
          <reference field="88" count="1">
            <x v="2031"/>
          </reference>
        </references>
      </pivotArea>
    </format>
    <format dxfId="2746">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3792"/>
          </reference>
          <reference field="82" count="1" selected="0">
            <x v="2262"/>
          </reference>
          <reference field="85" count="1" selected="0">
            <x v="0"/>
          </reference>
          <reference field="87" count="1" selected="0">
            <x v="3158"/>
          </reference>
          <reference field="88" count="1">
            <x v="2035"/>
          </reference>
        </references>
      </pivotArea>
    </format>
    <format dxfId="2745">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3793"/>
          </reference>
          <reference field="82" count="1" selected="0">
            <x v="2263"/>
          </reference>
          <reference field="85" count="1" selected="0">
            <x v="0"/>
          </reference>
          <reference field="87" count="1" selected="0">
            <x v="3159"/>
          </reference>
          <reference field="88" count="1">
            <x v="2036"/>
          </reference>
        </references>
      </pivotArea>
    </format>
    <format dxfId="2744">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822"/>
          </reference>
          <reference field="82" count="1" selected="0">
            <x v="2299"/>
          </reference>
          <reference field="85" count="1" selected="0">
            <x v="7"/>
          </reference>
          <reference field="87" count="1" selected="0">
            <x v="3192"/>
          </reference>
          <reference field="88" count="1">
            <x v="2072"/>
          </reference>
        </references>
      </pivotArea>
    </format>
    <format dxfId="2743">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714"/>
          </reference>
          <reference field="82" count="1" selected="0">
            <x v="2300"/>
          </reference>
          <reference field="85" count="1" selected="0">
            <x v="7"/>
          </reference>
          <reference field="87" count="1" selected="0">
            <x v="3077"/>
          </reference>
          <reference field="88" count="1">
            <x v="2073"/>
          </reference>
        </references>
      </pivotArea>
    </format>
    <format dxfId="2742">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3703"/>
          </reference>
          <reference field="82" count="1" selected="0">
            <x v="2143"/>
          </reference>
          <reference field="85" count="1" selected="0">
            <x v="3"/>
          </reference>
          <reference field="87" count="1" selected="0">
            <x v="3066"/>
          </reference>
          <reference field="88" count="1">
            <x v="1916"/>
          </reference>
        </references>
      </pivotArea>
    </format>
    <format dxfId="2741">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3705"/>
          </reference>
          <reference field="82" count="1" selected="0">
            <x v="2145"/>
          </reference>
          <reference field="85" count="1" selected="0">
            <x v="3"/>
          </reference>
          <reference field="87" count="1" selected="0">
            <x v="3068"/>
          </reference>
          <reference field="88" count="1">
            <x v="1918"/>
          </reference>
        </references>
      </pivotArea>
    </format>
    <format dxfId="2740">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3706"/>
          </reference>
          <reference field="82" count="1" selected="0">
            <x v="2146"/>
          </reference>
          <reference field="85" count="1" selected="0">
            <x v="3"/>
          </reference>
          <reference field="87" count="1" selected="0">
            <x v="3069"/>
          </reference>
          <reference field="88" count="1">
            <x v="1919"/>
          </reference>
        </references>
      </pivotArea>
    </format>
    <format dxfId="2739">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707"/>
          </reference>
          <reference field="82" count="1" selected="0">
            <x v="2147"/>
          </reference>
          <reference field="85" count="1" selected="0">
            <x v="3"/>
          </reference>
          <reference field="87" count="1" selected="0">
            <x v="3070"/>
          </reference>
          <reference field="88" count="1">
            <x v="1920"/>
          </reference>
        </references>
      </pivotArea>
    </format>
    <format dxfId="2738">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3704"/>
          </reference>
          <reference field="82" count="1" selected="0">
            <x v="2144"/>
          </reference>
          <reference field="85" count="1" selected="0">
            <x v="3"/>
          </reference>
          <reference field="87" count="1" selected="0">
            <x v="3067"/>
          </reference>
          <reference field="88" count="1">
            <x v="1917"/>
          </reference>
        </references>
      </pivotArea>
    </format>
    <format dxfId="2737">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711"/>
          </reference>
          <reference field="82" count="1" selected="0">
            <x v="2151"/>
          </reference>
          <reference field="85" count="1" selected="0">
            <x v="7"/>
          </reference>
          <reference field="87" count="1" selected="0">
            <x v="3074"/>
          </reference>
          <reference field="88" count="1">
            <x v="1924"/>
          </reference>
        </references>
      </pivotArea>
    </format>
    <format dxfId="2736">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712"/>
          </reference>
          <reference field="82" count="1" selected="0">
            <x v="2152"/>
          </reference>
          <reference field="85" count="1" selected="0">
            <x v="7"/>
          </reference>
          <reference field="87" count="1" selected="0">
            <x v="3075"/>
          </reference>
          <reference field="88" count="1">
            <x v="1925"/>
          </reference>
        </references>
      </pivotArea>
    </format>
    <format dxfId="2735">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711"/>
          </reference>
          <reference field="82" count="1" selected="0">
            <x v="2151"/>
          </reference>
          <reference field="85" count="1" selected="0">
            <x v="7"/>
          </reference>
          <reference field="87" count="1" selected="0">
            <x v="3074"/>
          </reference>
          <reference field="88" count="1">
            <x v="1924"/>
          </reference>
        </references>
      </pivotArea>
    </format>
    <format dxfId="2734">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712"/>
          </reference>
          <reference field="82" count="1" selected="0">
            <x v="2152"/>
          </reference>
          <reference field="85" count="1" selected="0">
            <x v="7"/>
          </reference>
          <reference field="87" count="1" selected="0">
            <x v="3075"/>
          </reference>
          <reference field="88" count="1">
            <x v="1925"/>
          </reference>
        </references>
      </pivotArea>
    </format>
    <format dxfId="2733">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710"/>
          </reference>
          <reference field="82" count="1" selected="0">
            <x v="2153"/>
          </reference>
          <reference field="85" count="1" selected="0">
            <x v="7"/>
          </reference>
          <reference field="87" count="1" selected="0">
            <x v="3073"/>
          </reference>
          <reference field="88" count="1">
            <x v="1926"/>
          </reference>
        </references>
      </pivotArea>
    </format>
    <format dxfId="2732">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3746"/>
          </reference>
          <reference field="82" count="1" selected="0">
            <x v="2194"/>
          </reference>
          <reference field="85" count="1" selected="0">
            <x v="4"/>
          </reference>
          <reference field="87" count="1" selected="0">
            <x v="3109"/>
          </reference>
          <reference field="88" count="1">
            <x v="1967"/>
          </reference>
        </references>
      </pivotArea>
    </format>
    <format dxfId="2731">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3744"/>
          </reference>
          <reference field="82" count="1" selected="0">
            <x v="2195"/>
          </reference>
          <reference field="85" count="1" selected="0">
            <x v="4"/>
          </reference>
          <reference field="87" count="1" selected="0">
            <x v="3107"/>
          </reference>
          <reference field="88" count="1">
            <x v="1968"/>
          </reference>
        </references>
      </pivotArea>
    </format>
    <format dxfId="2730">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3747"/>
          </reference>
          <reference field="82" count="1" selected="0">
            <x v="2196"/>
          </reference>
          <reference field="85" count="1" selected="0">
            <x v="4"/>
          </reference>
          <reference field="87" count="1" selected="0">
            <x v="3110"/>
          </reference>
          <reference field="88" count="1">
            <x v="1969"/>
          </reference>
        </references>
      </pivotArea>
    </format>
    <format dxfId="2729">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3739"/>
          </reference>
          <reference field="82" count="1" selected="0">
            <x v="2197"/>
          </reference>
          <reference field="85" count="1" selected="0">
            <x v="4"/>
          </reference>
          <reference field="87" count="1" selected="0">
            <x v="3102"/>
          </reference>
          <reference field="88" count="1">
            <x v="1970"/>
          </reference>
        </references>
      </pivotArea>
    </format>
    <format dxfId="2728">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3705"/>
          </reference>
          <reference field="82" count="1" selected="0">
            <x v="2259"/>
          </reference>
          <reference field="85" count="1" selected="0">
            <x v="0"/>
          </reference>
          <reference field="87" count="1" selected="0">
            <x v="3156"/>
          </reference>
          <reference field="88" count="1">
            <x v="2032"/>
          </reference>
        </references>
      </pivotArea>
    </format>
    <format dxfId="2727">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3771"/>
          </reference>
          <reference field="82" count="1" selected="0">
            <x v="2260"/>
          </reference>
          <reference field="85" count="1" selected="0">
            <x v="0"/>
          </reference>
          <reference field="87" count="1" selected="0">
            <x v="3136"/>
          </reference>
          <reference field="88" count="1">
            <x v="2033"/>
          </reference>
        </references>
      </pivotArea>
    </format>
    <format dxfId="2726">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3791"/>
          </reference>
          <reference field="82" count="1" selected="0">
            <x v="2261"/>
          </reference>
          <reference field="85" count="1" selected="0">
            <x v="0"/>
          </reference>
          <reference field="87" count="1" selected="0">
            <x v="3157"/>
          </reference>
          <reference field="88" count="1">
            <x v="2034"/>
          </reference>
        </references>
      </pivotArea>
    </format>
    <format dxfId="2725">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822"/>
          </reference>
          <reference field="82" count="1" selected="0">
            <x v="2299"/>
          </reference>
          <reference field="85" count="1" selected="0">
            <x v="7"/>
          </reference>
          <reference field="87" count="1" selected="0">
            <x v="3192"/>
          </reference>
          <reference field="88" count="1">
            <x v="2072"/>
          </reference>
        </references>
      </pivotArea>
    </format>
    <format dxfId="2724">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3708"/>
          </reference>
          <reference field="82" count="1" selected="0">
            <x v="2148"/>
          </reference>
          <reference field="85" count="1" selected="0">
            <x v="3"/>
          </reference>
          <reference field="87" count="1" selected="0">
            <x v="3071"/>
          </reference>
          <reference field="88" count="1">
            <x v="1921"/>
          </reference>
        </references>
      </pivotArea>
    </format>
    <format dxfId="2723">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707"/>
          </reference>
          <reference field="82" count="1" selected="0">
            <x v="2147"/>
          </reference>
          <reference field="85" count="1" selected="0">
            <x v="3"/>
          </reference>
          <reference field="87" count="1" selected="0">
            <x v="3070"/>
          </reference>
          <reference field="88" count="1">
            <x v="1920"/>
          </reference>
        </references>
      </pivotArea>
    </format>
    <format dxfId="2722">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3704"/>
          </reference>
          <reference field="82" count="1" selected="0">
            <x v="2144"/>
          </reference>
          <reference field="85" count="1" selected="0">
            <x v="3"/>
          </reference>
          <reference field="87" count="1" selected="0">
            <x v="3067"/>
          </reference>
          <reference field="88" count="1">
            <x v="1917"/>
          </reference>
        </references>
      </pivotArea>
    </format>
    <format dxfId="2721">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711"/>
          </reference>
          <reference field="82" count="1" selected="0">
            <x v="2151"/>
          </reference>
          <reference field="85" count="1" selected="0">
            <x v="7"/>
          </reference>
          <reference field="87" count="1" selected="0">
            <x v="3074"/>
          </reference>
          <reference field="88" count="1">
            <x v="1924"/>
          </reference>
        </references>
      </pivotArea>
    </format>
    <format dxfId="2720">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712"/>
          </reference>
          <reference field="82" count="1" selected="0">
            <x v="2152"/>
          </reference>
          <reference field="85" count="1" selected="0">
            <x v="7"/>
          </reference>
          <reference field="87" count="1" selected="0">
            <x v="3075"/>
          </reference>
          <reference field="88" count="1">
            <x v="1925"/>
          </reference>
        </references>
      </pivotArea>
    </format>
    <format dxfId="2719">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3693"/>
          </reference>
          <reference field="82" count="1" selected="0">
            <x v="2137"/>
          </reference>
          <reference field="85" count="1" selected="0">
            <x v="3"/>
          </reference>
          <reference field="87" count="1" selected="0">
            <x v="3056"/>
          </reference>
          <reference field="88" count="1">
            <x v="1910"/>
          </reference>
        </references>
      </pivotArea>
    </format>
    <format dxfId="2718">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3697"/>
          </reference>
          <reference field="82" count="1" selected="0">
            <x v="2136"/>
          </reference>
          <reference field="85" count="1" selected="0">
            <x v="3"/>
          </reference>
          <reference field="87" count="1" selected="0">
            <x v="3060"/>
          </reference>
          <reference field="88" count="1">
            <x v="1909"/>
          </reference>
        </references>
      </pivotArea>
    </format>
    <format dxfId="2717">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3695"/>
          </reference>
          <reference field="82" count="1" selected="0">
            <x v="2134"/>
          </reference>
          <reference field="85" count="1" selected="0">
            <x v="3"/>
          </reference>
          <reference field="87" count="1" selected="0">
            <x v="3058"/>
          </reference>
          <reference field="88" count="1">
            <x v="1907"/>
          </reference>
        </references>
      </pivotArea>
    </format>
    <format dxfId="2716">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3696"/>
          </reference>
          <reference field="82" count="1" selected="0">
            <x v="2135"/>
          </reference>
          <reference field="85" count="1" selected="0">
            <x v="3"/>
          </reference>
          <reference field="87" count="1" selected="0">
            <x v="3059"/>
          </reference>
          <reference field="88" count="1">
            <x v="1908"/>
          </reference>
        </references>
      </pivotArea>
    </format>
    <format dxfId="2715">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756"/>
          </reference>
          <reference field="82" count="1" selected="0">
            <x v="2210"/>
          </reference>
          <reference field="85" count="1" selected="0">
            <x v="4"/>
          </reference>
          <reference field="87" count="1" selected="0">
            <x v="3119"/>
          </reference>
          <reference field="88" count="1">
            <x v="1983"/>
          </reference>
        </references>
      </pivotArea>
    </format>
    <format dxfId="2714">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3786"/>
          </reference>
          <reference field="82" count="1" selected="0">
            <x v="2253"/>
          </reference>
          <reference field="85" count="1" selected="0">
            <x v="0"/>
          </reference>
          <reference field="87" count="1" selected="0">
            <x v="3151"/>
          </reference>
          <reference field="88" count="1">
            <x v="2026"/>
          </reference>
        </references>
      </pivotArea>
    </format>
    <format dxfId="2713">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3787"/>
          </reference>
          <reference field="82" count="1" selected="0">
            <x v="2254"/>
          </reference>
          <reference field="85" count="1" selected="0">
            <x v="0"/>
          </reference>
          <reference field="87" count="1" selected="0">
            <x v="3152"/>
          </reference>
          <reference field="88" count="1">
            <x v="2027"/>
          </reference>
        </references>
      </pivotArea>
    </format>
    <format dxfId="2712">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3788"/>
          </reference>
          <reference field="82" count="1" selected="0">
            <x v="2255"/>
          </reference>
          <reference field="85" count="1" selected="0">
            <x v="0"/>
          </reference>
          <reference field="87" count="1" selected="0">
            <x v="3153"/>
          </reference>
          <reference field="88" count="1">
            <x v="2028"/>
          </reference>
        </references>
      </pivotArea>
    </format>
    <format dxfId="2711">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794"/>
          </reference>
          <reference field="82" count="1" selected="0">
            <x v="2265"/>
          </reference>
          <reference field="85" count="1" selected="0">
            <x v="2"/>
          </reference>
          <reference field="87" count="1" selected="0">
            <x v="3161"/>
          </reference>
          <reference field="88" count="1">
            <x v="2038"/>
          </reference>
        </references>
      </pivotArea>
    </format>
    <format dxfId="2710">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772"/>
          </reference>
          <reference field="82" count="1" selected="0">
            <x v="2266"/>
          </reference>
          <reference field="85" count="1" selected="0">
            <x v="2"/>
          </reference>
          <reference field="87" count="1" selected="0">
            <x v="3162"/>
          </reference>
          <reference field="88" count="1">
            <x v="2039"/>
          </reference>
        </references>
      </pivotArea>
    </format>
    <format dxfId="2709">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704"/>
          </reference>
          <reference field="82" count="1" selected="0">
            <x v="2264"/>
          </reference>
          <reference field="85" count="1" selected="0">
            <x v="2"/>
          </reference>
          <reference field="87" count="1" selected="0">
            <x v="3160"/>
          </reference>
          <reference field="88" count="1">
            <x v="2037"/>
          </reference>
        </references>
      </pivotArea>
    </format>
    <format dxfId="2708">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756"/>
          </reference>
          <reference field="82" count="1" selected="0">
            <x v="2210"/>
          </reference>
          <reference field="85" count="1" selected="0">
            <x v="4"/>
          </reference>
          <reference field="87" count="1" selected="0">
            <x v="3119"/>
          </reference>
          <reference field="88" count="1">
            <x v="1983"/>
          </reference>
        </references>
      </pivotArea>
    </format>
    <format dxfId="2707">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3789"/>
          </reference>
          <reference field="82" count="1" selected="0">
            <x v="2256"/>
          </reference>
          <reference field="85" count="1" selected="0">
            <x v="0"/>
          </reference>
          <reference field="87" count="1" selected="0">
            <x v="3154"/>
          </reference>
          <reference field="88" count="1">
            <x v="2029"/>
          </reference>
        </references>
      </pivotArea>
    </format>
    <format dxfId="2706">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3790"/>
          </reference>
          <reference field="82" count="1" selected="0">
            <x v="2257"/>
          </reference>
          <reference field="85" count="1" selected="0">
            <x v="0"/>
          </reference>
          <reference field="87" count="1" selected="0">
            <x v="3155"/>
          </reference>
          <reference field="88" count="1">
            <x v="2030"/>
          </reference>
        </references>
      </pivotArea>
    </format>
    <format dxfId="2705">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3773"/>
          </reference>
          <reference field="82" count="1" selected="0">
            <x v="2258"/>
          </reference>
          <reference field="85" count="1" selected="0">
            <x v="0"/>
          </reference>
          <reference field="87" count="1" selected="0">
            <x v="3138"/>
          </reference>
          <reference field="88" count="1">
            <x v="2031"/>
          </reference>
        </references>
      </pivotArea>
    </format>
    <format dxfId="2704">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794"/>
          </reference>
          <reference field="82" count="1" selected="0">
            <x v="2265"/>
          </reference>
          <reference field="85" count="1" selected="0">
            <x v="2"/>
          </reference>
          <reference field="87" count="1" selected="0">
            <x v="3161"/>
          </reference>
          <reference field="88" count="1">
            <x v="2038"/>
          </reference>
        </references>
      </pivotArea>
    </format>
    <format dxfId="2703">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772"/>
          </reference>
          <reference field="82" count="1" selected="0">
            <x v="2266"/>
          </reference>
          <reference field="85" count="1" selected="0">
            <x v="2"/>
          </reference>
          <reference field="87" count="1" selected="0">
            <x v="3162"/>
          </reference>
          <reference field="88" count="1">
            <x v="2039"/>
          </reference>
        </references>
      </pivotArea>
    </format>
    <format dxfId="2702">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3795"/>
          </reference>
          <reference field="82" count="1" selected="0">
            <x v="2267"/>
          </reference>
          <reference field="85" count="1" selected="0">
            <x v="2"/>
          </reference>
          <reference field="87" count="1" selected="0">
            <x v="3163"/>
          </reference>
          <reference field="88" count="1">
            <x v="2040"/>
          </reference>
        </references>
      </pivotArea>
    </format>
    <format dxfId="2701">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704"/>
          </reference>
          <reference field="82" count="1" selected="0">
            <x v="2264"/>
          </reference>
          <reference field="85" count="1" selected="0">
            <x v="2"/>
          </reference>
          <reference field="87" count="1" selected="0">
            <x v="3160"/>
          </reference>
          <reference field="88" count="1">
            <x v="2037"/>
          </reference>
        </references>
      </pivotArea>
    </format>
    <format dxfId="2700">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3796"/>
          </reference>
          <reference field="82" count="1" selected="0">
            <x v="2268"/>
          </reference>
          <reference field="85" count="1" selected="0">
            <x v="2"/>
          </reference>
          <reference field="87" count="1" selected="0">
            <x v="3164"/>
          </reference>
          <reference field="88" count="1">
            <x v="2041"/>
          </reference>
        </references>
      </pivotArea>
    </format>
    <format dxfId="2699">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820"/>
          </reference>
          <reference field="82" count="1" selected="0">
            <x v="2297"/>
          </reference>
          <reference field="85" count="1" selected="0">
            <x v="7"/>
          </reference>
          <reference field="87" count="1" selected="0">
            <x v="3190"/>
          </reference>
          <reference field="88" count="1">
            <x v="2070"/>
          </reference>
        </references>
      </pivotArea>
    </format>
    <format dxfId="2698">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3821"/>
          </reference>
          <reference field="82" count="1" selected="0">
            <x v="2298"/>
          </reference>
          <reference field="85" count="1" selected="0">
            <x v="7"/>
          </reference>
          <reference field="87" count="1" selected="0">
            <x v="3191"/>
          </reference>
          <reference field="88" count="1">
            <x v="2071"/>
          </reference>
        </references>
      </pivotArea>
    </format>
    <format dxfId="2697">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3835"/>
          </reference>
          <reference field="82" count="1" selected="0">
            <x v="2326"/>
          </reference>
          <reference field="85" count="1" selected="0">
            <x v="4"/>
          </reference>
          <reference field="87" count="1" selected="0">
            <x v="3216"/>
          </reference>
          <reference field="88" count="1">
            <x v="2102"/>
          </reference>
        </references>
      </pivotArea>
    </format>
    <format dxfId="2696">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3836"/>
          </reference>
          <reference field="82" count="1" selected="0">
            <x v="2327"/>
          </reference>
          <reference field="85" count="1" selected="0">
            <x v="4"/>
          </reference>
          <reference field="87" count="1" selected="0">
            <x v="3217"/>
          </reference>
          <reference field="88" count="1">
            <x v="2103"/>
          </reference>
        </references>
      </pivotArea>
    </format>
    <format dxfId="2695">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3837"/>
          </reference>
          <reference field="82" count="1" selected="0">
            <x v="2328"/>
          </reference>
          <reference field="85" count="1" selected="0">
            <x v="4"/>
          </reference>
          <reference field="87" count="1" selected="0">
            <x v="3218"/>
          </reference>
          <reference field="88" count="1">
            <x v="2104"/>
          </reference>
        </references>
      </pivotArea>
    </format>
    <format dxfId="2694">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3826"/>
          </reference>
          <reference field="82" count="1" selected="0">
            <x v="2304"/>
          </reference>
          <reference field="85" count="1" selected="0">
            <x v="4"/>
          </reference>
          <reference field="87" count="1" selected="0">
            <x v="3196"/>
          </reference>
          <reference field="88" count="1">
            <x v="2077"/>
          </reference>
        </references>
      </pivotArea>
    </format>
    <format dxfId="2693">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3757"/>
          </reference>
          <reference field="82" count="1" selected="0">
            <x v="2219"/>
          </reference>
          <reference field="85" count="1" selected="0">
            <x v="4"/>
          </reference>
          <reference field="87" count="1" selected="0">
            <x v="3220"/>
          </reference>
          <reference field="88" count="1">
            <x v="2109"/>
          </reference>
        </references>
      </pivotArea>
    </format>
    <format dxfId="2692">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3839"/>
          </reference>
          <reference field="82" count="1" selected="0">
            <x v="2333"/>
          </reference>
          <reference field="85" count="1" selected="0">
            <x v="4"/>
          </reference>
          <reference field="87" count="1" selected="0">
            <x v="3221"/>
          </reference>
          <reference field="88" count="1">
            <x v="2110"/>
          </reference>
        </references>
      </pivotArea>
    </format>
    <format dxfId="2691">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3840"/>
          </reference>
          <reference field="82" count="1" selected="0">
            <x v="2334"/>
          </reference>
          <reference field="85" count="1" selected="0">
            <x v="4"/>
          </reference>
          <reference field="87" count="1" selected="0">
            <x v="3223"/>
          </reference>
          <reference field="88" count="1">
            <x v="2111"/>
          </reference>
        </references>
      </pivotArea>
    </format>
    <format dxfId="2690">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3798"/>
          </reference>
          <reference field="82" count="1" selected="0">
            <x v="2335"/>
          </reference>
          <reference field="85" count="1" selected="0">
            <x v="4"/>
          </reference>
          <reference field="87" count="1" selected="0">
            <x v="3224"/>
          </reference>
          <reference field="88" count="1">
            <x v="2112"/>
          </reference>
        </references>
      </pivotArea>
    </format>
    <format dxfId="2689">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757"/>
          </reference>
          <reference field="82" count="1" selected="0">
            <x v="2330"/>
          </reference>
          <reference field="85" count="1" selected="0">
            <x v="4"/>
          </reference>
          <reference field="87" count="1" selected="0">
            <x v="3220"/>
          </reference>
          <reference field="88" count="1">
            <x v="2106"/>
          </reference>
        </references>
      </pivotArea>
    </format>
    <format dxfId="2688">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839"/>
          </reference>
          <reference field="82" count="1" selected="0">
            <x v="2331"/>
          </reference>
          <reference field="85" count="1" selected="0">
            <x v="4"/>
          </reference>
          <reference field="87" count="1" selected="0">
            <x v="3221"/>
          </reference>
          <reference field="88" count="1">
            <x v="2107"/>
          </reference>
        </references>
      </pivotArea>
    </format>
    <format dxfId="2687">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799"/>
          </reference>
          <reference field="82" count="1" selected="0">
            <x v="2332"/>
          </reference>
          <reference field="85" count="1" selected="0">
            <x v="4"/>
          </reference>
          <reference field="87" count="1" selected="0">
            <x v="3222"/>
          </reference>
          <reference field="88" count="1">
            <x v="2108"/>
          </reference>
        </references>
      </pivotArea>
    </format>
    <format dxfId="2686">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838"/>
          </reference>
          <reference field="82" count="1" selected="0">
            <x v="2329"/>
          </reference>
          <reference field="85" count="1" selected="0">
            <x v="4"/>
          </reference>
          <reference field="87" count="1" selected="0">
            <x v="3219"/>
          </reference>
          <reference field="88" count="1">
            <x v="2105"/>
          </reference>
        </references>
      </pivotArea>
    </format>
    <format dxfId="2685">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3711"/>
          </reference>
          <reference field="82" count="1" selected="0">
            <x v="2161"/>
          </reference>
          <reference field="85" count="1" selected="0">
            <x v="7"/>
          </reference>
          <reference field="87" count="1" selected="0">
            <x v="3074"/>
          </reference>
          <reference field="88" count="1">
            <x v="1934"/>
          </reference>
        </references>
      </pivotArea>
    </format>
    <format dxfId="2684">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3718"/>
          </reference>
          <reference field="82" count="1" selected="0">
            <x v="2162"/>
          </reference>
          <reference field="85" count="1" selected="0">
            <x v="7"/>
          </reference>
          <reference field="87" count="1" selected="0">
            <x v="3081"/>
          </reference>
          <reference field="88" count="1">
            <x v="1935"/>
          </reference>
        </references>
      </pivotArea>
    </format>
    <format dxfId="2683">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808"/>
          </reference>
          <reference field="82" count="1" selected="0">
            <x v="2283"/>
          </reference>
          <reference field="85" count="1" selected="0">
            <x v="2"/>
          </reference>
          <reference field="87" count="1" selected="0">
            <x v="3178"/>
          </reference>
          <reference field="88" count="1">
            <x v="2056"/>
          </reference>
        </references>
      </pivotArea>
    </format>
    <format dxfId="2682">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778"/>
          </reference>
          <reference field="82" count="1" selected="0">
            <x v="2341"/>
          </reference>
          <reference field="85" count="1" selected="0">
            <x v="4"/>
          </reference>
          <reference field="87" count="1" selected="0">
            <x v="3227"/>
          </reference>
          <reference field="88" count="1">
            <x v="2118"/>
          </reference>
        </references>
      </pivotArea>
    </format>
    <format dxfId="2681">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3776"/>
          </reference>
          <reference field="82" count="1" selected="0">
            <x v="2342"/>
          </reference>
          <reference field="85" count="1" selected="0">
            <x v="4"/>
          </reference>
          <reference field="87" count="1" selected="0">
            <x v="3228"/>
          </reference>
          <reference field="88" count="1">
            <x v="2119"/>
          </reference>
        </references>
      </pivotArea>
    </format>
    <format dxfId="2680">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842"/>
          </reference>
          <reference field="82" count="1" selected="0">
            <x v="2344"/>
          </reference>
          <reference field="85" count="1" selected="0">
            <x v="4"/>
          </reference>
          <reference field="87" count="1" selected="0">
            <x v="3230"/>
          </reference>
          <reference field="88" count="1">
            <x v="2121"/>
          </reference>
        </references>
      </pivotArea>
    </format>
    <format dxfId="2679">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735"/>
          </reference>
          <reference field="82" count="1" selected="0">
            <x v="2183"/>
          </reference>
          <reference field="85" count="1" selected="0">
            <x v="4"/>
          </reference>
          <reference field="87" count="1" selected="0">
            <x v="3098"/>
          </reference>
          <reference field="88" count="1">
            <x v="1956"/>
          </reference>
        </references>
      </pivotArea>
    </format>
    <format dxfId="2678">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730"/>
          </reference>
          <reference field="82" count="1" selected="0">
            <x v="2178"/>
          </reference>
          <reference field="85" count="1" selected="0">
            <x v="4"/>
          </reference>
          <reference field="87" count="1" selected="0">
            <x v="3093"/>
          </reference>
          <reference field="88" count="1">
            <x v="1951"/>
          </reference>
        </references>
      </pivotArea>
    </format>
    <format dxfId="2677">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736"/>
          </reference>
          <reference field="82" count="1" selected="0">
            <x v="2184"/>
          </reference>
          <reference field="85" count="1" selected="0">
            <x v="4"/>
          </reference>
          <reference field="87" count="1" selected="0">
            <x v="3099"/>
          </reference>
          <reference field="88" count="1">
            <x v="1957"/>
          </reference>
        </references>
      </pivotArea>
    </format>
    <format dxfId="2676">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737"/>
          </reference>
          <reference field="82" count="1" selected="0">
            <x v="2185"/>
          </reference>
          <reference field="85" count="1" selected="0">
            <x v="4"/>
          </reference>
          <reference field="87" count="1" selected="0">
            <x v="3100"/>
          </reference>
          <reference field="88" count="1">
            <x v="1958"/>
          </reference>
        </references>
      </pivotArea>
    </format>
    <format dxfId="2675">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703"/>
          </reference>
          <reference field="82" count="1" selected="0">
            <x v="2143"/>
          </reference>
          <reference field="85" count="1" selected="0">
            <x v="4"/>
          </reference>
          <reference field="87" count="1" selected="0">
            <x v="3206"/>
          </reference>
          <reference field="88" count="1">
            <x v="2087"/>
          </reference>
        </references>
      </pivotArea>
    </format>
    <format dxfId="2674">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797"/>
          </reference>
          <reference field="82" count="1" selected="0">
            <x v="2310"/>
          </reference>
          <reference field="85" count="1" selected="0">
            <x v="4"/>
          </reference>
          <reference field="87" count="1" selected="0">
            <x v="3202"/>
          </reference>
          <reference field="88" count="1">
            <x v="2083"/>
          </reference>
        </references>
      </pivotArea>
    </format>
    <format dxfId="2673">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762"/>
          </reference>
          <reference field="82" count="1" selected="0">
            <x v="2311"/>
          </reference>
          <reference field="85" count="1" selected="0">
            <x v="4"/>
          </reference>
          <reference field="87" count="1" selected="0">
            <x v="3203"/>
          </reference>
          <reference field="88" count="1">
            <x v="2084"/>
          </reference>
        </references>
      </pivotArea>
    </format>
    <format dxfId="2672">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795"/>
          </reference>
          <reference field="82" count="1" selected="0">
            <x v="2313"/>
          </reference>
          <reference field="85" count="1" selected="0">
            <x v="4"/>
          </reference>
          <reference field="87" count="1" selected="0">
            <x v="3205"/>
          </reference>
          <reference field="88" count="1">
            <x v="2086"/>
          </reference>
        </references>
      </pivotArea>
    </format>
    <format dxfId="2671">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784"/>
          </reference>
          <reference field="82" count="1" selected="0">
            <x v="2312"/>
          </reference>
          <reference field="85" count="1" selected="0">
            <x v="4"/>
          </reference>
          <reference field="87" count="1" selected="0">
            <x v="3204"/>
          </reference>
          <reference field="88" count="1">
            <x v="2085"/>
          </reference>
        </references>
      </pivotArea>
    </format>
    <format dxfId="2670">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735"/>
          </reference>
          <reference field="82" count="1" selected="0">
            <x v="2183"/>
          </reference>
          <reference field="85" count="1" selected="0">
            <x v="4"/>
          </reference>
          <reference field="87" count="1" selected="0">
            <x v="3098"/>
          </reference>
          <reference field="88" count="1">
            <x v="1956"/>
          </reference>
        </references>
      </pivotArea>
    </format>
    <format dxfId="2669">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730"/>
          </reference>
          <reference field="82" count="1" selected="0">
            <x v="2178"/>
          </reference>
          <reference field="85" count="1" selected="0">
            <x v="4"/>
          </reference>
          <reference field="87" count="1" selected="0">
            <x v="3093"/>
          </reference>
          <reference field="88" count="1">
            <x v="1951"/>
          </reference>
        </references>
      </pivotArea>
    </format>
    <format dxfId="2668">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736"/>
          </reference>
          <reference field="82" count="1" selected="0">
            <x v="2184"/>
          </reference>
          <reference field="85" count="1" selected="0">
            <x v="4"/>
          </reference>
          <reference field="87" count="1" selected="0">
            <x v="3099"/>
          </reference>
          <reference field="88" count="1">
            <x v="1957"/>
          </reference>
        </references>
      </pivotArea>
    </format>
    <format dxfId="2667">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737"/>
          </reference>
          <reference field="82" count="1" selected="0">
            <x v="2185"/>
          </reference>
          <reference field="85" count="1" selected="0">
            <x v="4"/>
          </reference>
          <reference field="87" count="1" selected="0">
            <x v="3100"/>
          </reference>
          <reference field="88" count="1">
            <x v="1958"/>
          </reference>
        </references>
      </pivotArea>
    </format>
    <format dxfId="266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703"/>
          </reference>
          <reference field="82" count="1" selected="0">
            <x v="2143"/>
          </reference>
          <reference field="85" count="1" selected="0">
            <x v="4"/>
          </reference>
          <reference field="87" count="1" selected="0">
            <x v="3206"/>
          </reference>
          <reference field="88" count="1">
            <x v="2087"/>
          </reference>
        </references>
      </pivotArea>
    </format>
    <format dxfId="2665">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797"/>
          </reference>
          <reference field="82" count="1" selected="0">
            <x v="2310"/>
          </reference>
          <reference field="85" count="1" selected="0">
            <x v="4"/>
          </reference>
          <reference field="87" count="1" selected="0">
            <x v="3202"/>
          </reference>
          <reference field="88" count="1">
            <x v="2083"/>
          </reference>
        </references>
      </pivotArea>
    </format>
    <format dxfId="2664">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762"/>
          </reference>
          <reference field="82" count="1" selected="0">
            <x v="2311"/>
          </reference>
          <reference field="85" count="1" selected="0">
            <x v="4"/>
          </reference>
          <reference field="87" count="1" selected="0">
            <x v="3203"/>
          </reference>
          <reference field="88" count="1">
            <x v="2084"/>
          </reference>
        </references>
      </pivotArea>
    </format>
    <format dxfId="2663">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795"/>
          </reference>
          <reference field="82" count="1" selected="0">
            <x v="2313"/>
          </reference>
          <reference field="85" count="1" selected="0">
            <x v="4"/>
          </reference>
          <reference field="87" count="1" selected="0">
            <x v="3205"/>
          </reference>
          <reference field="88" count="1">
            <x v="2086"/>
          </reference>
        </references>
      </pivotArea>
    </format>
    <format dxfId="2662">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784"/>
          </reference>
          <reference field="82" count="1" selected="0">
            <x v="2312"/>
          </reference>
          <reference field="85" count="1" selected="0">
            <x v="4"/>
          </reference>
          <reference field="87" count="1" selected="0">
            <x v="3204"/>
          </reference>
          <reference field="88" count="1">
            <x v="2085"/>
          </reference>
        </references>
      </pivotArea>
    </format>
    <format dxfId="2661">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735"/>
          </reference>
          <reference field="82" count="1" selected="0">
            <x v="2183"/>
          </reference>
          <reference field="85" count="1" selected="0">
            <x v="4"/>
          </reference>
          <reference field="87" count="1" selected="0">
            <x v="3098"/>
          </reference>
          <reference field="88" count="1">
            <x v="1956"/>
          </reference>
        </references>
      </pivotArea>
    </format>
    <format dxfId="2660">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730"/>
          </reference>
          <reference field="82" count="1" selected="0">
            <x v="2178"/>
          </reference>
          <reference field="85" count="1" selected="0">
            <x v="4"/>
          </reference>
          <reference field="87" count="1" selected="0">
            <x v="3093"/>
          </reference>
          <reference field="88" count="1">
            <x v="1951"/>
          </reference>
        </references>
      </pivotArea>
    </format>
    <format dxfId="2659">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736"/>
          </reference>
          <reference field="82" count="1" selected="0">
            <x v="2184"/>
          </reference>
          <reference field="85" count="1" selected="0">
            <x v="4"/>
          </reference>
          <reference field="87" count="1" selected="0">
            <x v="3099"/>
          </reference>
          <reference field="88" count="1">
            <x v="1957"/>
          </reference>
        </references>
      </pivotArea>
    </format>
    <format dxfId="2658">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737"/>
          </reference>
          <reference field="82" count="1" selected="0">
            <x v="2185"/>
          </reference>
          <reference field="85" count="1" selected="0">
            <x v="4"/>
          </reference>
          <reference field="87" count="1" selected="0">
            <x v="3100"/>
          </reference>
          <reference field="88" count="1">
            <x v="1958"/>
          </reference>
        </references>
      </pivotArea>
    </format>
    <format dxfId="265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703"/>
          </reference>
          <reference field="82" count="1" selected="0">
            <x v="2143"/>
          </reference>
          <reference field="85" count="1" selected="0">
            <x v="4"/>
          </reference>
          <reference field="87" count="1" selected="0">
            <x v="3206"/>
          </reference>
          <reference field="88" count="1">
            <x v="2087"/>
          </reference>
        </references>
      </pivotArea>
    </format>
    <format dxfId="2656">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797"/>
          </reference>
          <reference field="82" count="1" selected="0">
            <x v="2310"/>
          </reference>
          <reference field="85" count="1" selected="0">
            <x v="4"/>
          </reference>
          <reference field="87" count="1" selected="0">
            <x v="3202"/>
          </reference>
          <reference field="88" count="1">
            <x v="2083"/>
          </reference>
        </references>
      </pivotArea>
    </format>
    <format dxfId="2655">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762"/>
          </reference>
          <reference field="82" count="1" selected="0">
            <x v="2311"/>
          </reference>
          <reference field="85" count="1" selected="0">
            <x v="4"/>
          </reference>
          <reference field="87" count="1" selected="0">
            <x v="3203"/>
          </reference>
          <reference field="88" count="1">
            <x v="2084"/>
          </reference>
        </references>
      </pivotArea>
    </format>
    <format dxfId="2654">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795"/>
          </reference>
          <reference field="82" count="1" selected="0">
            <x v="2313"/>
          </reference>
          <reference field="85" count="1" selected="0">
            <x v="4"/>
          </reference>
          <reference field="87" count="1" selected="0">
            <x v="3205"/>
          </reference>
          <reference field="88" count="1">
            <x v="2086"/>
          </reference>
        </references>
      </pivotArea>
    </format>
    <format dxfId="2653">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784"/>
          </reference>
          <reference field="82" count="1" selected="0">
            <x v="2312"/>
          </reference>
          <reference field="85" count="1" selected="0">
            <x v="4"/>
          </reference>
          <reference field="87" count="1" selected="0">
            <x v="3204"/>
          </reference>
          <reference field="88" count="1">
            <x v="2085"/>
          </reference>
        </references>
      </pivotArea>
    </format>
    <format dxfId="2652">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3841"/>
          </reference>
          <reference field="82" count="1" selected="0">
            <x v="2337"/>
          </reference>
          <reference field="85" count="1" selected="0">
            <x v="4"/>
          </reference>
          <reference field="87" count="1" selected="0">
            <x v="3226"/>
          </reference>
          <reference field="88" count="1">
            <x v="2114"/>
          </reference>
        </references>
      </pivotArea>
    </format>
    <format dxfId="2651">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835"/>
          </reference>
          <reference field="82" count="1" selected="0">
            <x v="2340"/>
          </reference>
          <reference field="85" count="1" selected="0">
            <x v="4"/>
          </reference>
          <reference field="87" count="1" selected="0">
            <x v="3216"/>
          </reference>
          <reference field="88" count="1">
            <x v="2117"/>
          </reference>
        </references>
      </pivotArea>
    </format>
    <format dxfId="2650">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784"/>
          </reference>
          <reference field="82" count="1" selected="0">
            <x v="2338"/>
          </reference>
          <reference field="85" count="1" selected="0">
            <x v="4"/>
          </reference>
          <reference field="87" count="1" selected="0">
            <x v="3204"/>
          </reference>
          <reference field="88" count="1">
            <x v="2115"/>
          </reference>
        </references>
      </pivotArea>
    </format>
    <format dxfId="2649">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834"/>
          </reference>
          <reference field="82" count="1" selected="0">
            <x v="2339"/>
          </reference>
          <reference field="85" count="1" selected="0">
            <x v="4"/>
          </reference>
          <reference field="87" count="1" selected="0">
            <x v="3215"/>
          </reference>
          <reference field="88" count="1">
            <x v="2116"/>
          </reference>
        </references>
      </pivotArea>
    </format>
    <format dxfId="2648">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707"/>
          </reference>
          <reference field="82" count="1" selected="0">
            <x v="2147"/>
          </reference>
          <reference field="85" count="1" selected="0">
            <x v="4"/>
          </reference>
          <reference field="87" count="1" selected="0">
            <x v="3211"/>
          </reference>
          <reference field="88" count="1">
            <x v="2092"/>
          </reference>
        </references>
      </pivotArea>
    </format>
    <format dxfId="2647">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694"/>
          </reference>
          <reference field="82" count="1" selected="0">
            <x v="2318"/>
          </reference>
          <reference field="85" count="1" selected="0">
            <x v="4"/>
          </reference>
          <reference field="87" count="1" selected="0">
            <x v="3212"/>
          </reference>
          <reference field="88" count="1">
            <x v="2093"/>
          </reference>
        </references>
      </pivotArea>
    </format>
    <format dxfId="2646">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833"/>
          </reference>
          <reference field="82" count="1" selected="0">
            <x v="2319"/>
          </reference>
          <reference field="85" count="1" selected="0">
            <x v="4"/>
          </reference>
          <reference field="87" count="1" selected="0">
            <x v="3213"/>
          </reference>
          <reference field="88" count="1">
            <x v="2094"/>
          </reference>
        </references>
      </pivotArea>
    </format>
    <format dxfId="2645">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758"/>
          </reference>
          <reference field="82" count="1" selected="0">
            <x v="2320"/>
          </reference>
          <reference field="85" count="1" selected="0">
            <x v="4"/>
          </reference>
          <reference field="87" count="1" selected="0">
            <x v="3214"/>
          </reference>
          <reference field="88" count="1">
            <x v="2095"/>
          </reference>
        </references>
      </pivotArea>
    </format>
    <format dxfId="2644">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707"/>
          </reference>
          <reference field="82" count="1" selected="0">
            <x v="2147"/>
          </reference>
          <reference field="85" count="1" selected="0">
            <x v="4"/>
          </reference>
          <reference field="87" count="1" selected="0">
            <x v="3211"/>
          </reference>
          <reference field="88" count="1">
            <x v="2092"/>
          </reference>
        </references>
      </pivotArea>
    </format>
    <format dxfId="2643">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694"/>
          </reference>
          <reference field="82" count="1" selected="0">
            <x v="2318"/>
          </reference>
          <reference field="85" count="1" selected="0">
            <x v="4"/>
          </reference>
          <reference field="87" count="1" selected="0">
            <x v="3212"/>
          </reference>
          <reference field="88" count="1">
            <x v="2093"/>
          </reference>
        </references>
      </pivotArea>
    </format>
    <format dxfId="2642">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833"/>
          </reference>
          <reference field="82" count="1" selected="0">
            <x v="2319"/>
          </reference>
          <reference field="85" count="1" selected="0">
            <x v="4"/>
          </reference>
          <reference field="87" count="1" selected="0">
            <x v="3213"/>
          </reference>
          <reference field="88" count="1">
            <x v="2094"/>
          </reference>
        </references>
      </pivotArea>
    </format>
    <format dxfId="2641">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758"/>
          </reference>
          <reference field="82" count="1" selected="0">
            <x v="2320"/>
          </reference>
          <reference field="85" count="1" selected="0">
            <x v="4"/>
          </reference>
          <reference field="87" count="1" selected="0">
            <x v="3214"/>
          </reference>
          <reference field="88" count="1">
            <x v="2095"/>
          </reference>
        </references>
      </pivotArea>
    </format>
    <format dxfId="2640">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3702"/>
          </reference>
          <reference field="82" count="1" selected="0">
            <x v="2307"/>
          </reference>
          <reference field="85" count="1" selected="0">
            <x v="4"/>
          </reference>
          <reference field="87" count="1" selected="0">
            <x v="3199"/>
          </reference>
          <reference field="88" count="1">
            <x v="2080"/>
          </reference>
        </references>
      </pivotArea>
    </format>
    <format dxfId="2639">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3829"/>
          </reference>
          <reference field="82" count="1" selected="0">
            <x v="2308"/>
          </reference>
          <reference field="85" count="1" selected="0">
            <x v="4"/>
          </reference>
          <reference field="87" count="1" selected="0">
            <x v="3200"/>
          </reference>
          <reference field="88" count="1">
            <x v="2081"/>
          </reference>
        </references>
      </pivotArea>
    </format>
    <format dxfId="2638">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3828"/>
          </reference>
          <reference field="82" count="1" selected="0">
            <x v="2306"/>
          </reference>
          <reference field="85" count="1" selected="0">
            <x v="4"/>
          </reference>
          <reference field="87" count="1" selected="0">
            <x v="3198"/>
          </reference>
          <reference field="88" count="1">
            <x v="2079"/>
          </reference>
        </references>
      </pivotArea>
    </format>
    <format dxfId="2637">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3830"/>
          </reference>
          <reference field="82" count="1" selected="0">
            <x v="2309"/>
          </reference>
          <reference field="85" count="1" selected="0">
            <x v="4"/>
          </reference>
          <reference field="87" count="1" selected="0">
            <x v="3201"/>
          </reference>
          <reference field="88" count="1">
            <x v="2082"/>
          </reference>
        </references>
      </pivotArea>
    </format>
    <format dxfId="2636">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3806"/>
          </reference>
          <reference field="82" count="1" selected="0">
            <x v="2281"/>
          </reference>
          <reference field="85" count="1" selected="0">
            <x v="2"/>
          </reference>
          <reference field="87" count="1" selected="0">
            <x v="3176"/>
          </reference>
          <reference field="88" count="1">
            <x v="2054"/>
          </reference>
        </references>
      </pivotArea>
    </format>
    <format dxfId="2635">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3807"/>
          </reference>
          <reference field="82" count="1" selected="0">
            <x v="2282"/>
          </reference>
          <reference field="85" count="1" selected="0">
            <x v="2"/>
          </reference>
          <reference field="87" count="1" selected="0">
            <x v="3177"/>
          </reference>
          <reference field="88" count="1">
            <x v="2055"/>
          </reference>
        </references>
      </pivotArea>
    </format>
    <format dxfId="2634">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3805"/>
          </reference>
          <reference field="82" count="1" selected="0">
            <x v="2280"/>
          </reference>
          <reference field="85" count="1" selected="0">
            <x v="2"/>
          </reference>
          <reference field="87" count="1" selected="0">
            <x v="3175"/>
          </reference>
          <reference field="88" count="1">
            <x v="2053"/>
          </reference>
        </references>
      </pivotArea>
    </format>
    <format dxfId="2633">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735"/>
          </reference>
          <reference field="82" count="1" selected="0">
            <x v="2183"/>
          </reference>
          <reference field="85" count="1" selected="0">
            <x v="4"/>
          </reference>
          <reference field="87" count="1" selected="0">
            <x v="3098"/>
          </reference>
          <reference field="88" count="1">
            <x v="1956"/>
          </reference>
        </references>
      </pivotArea>
    </format>
    <format dxfId="2632">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730"/>
          </reference>
          <reference field="82" count="1" selected="0">
            <x v="2178"/>
          </reference>
          <reference field="85" count="1" selected="0">
            <x v="4"/>
          </reference>
          <reference field="87" count="1" selected="0">
            <x v="3093"/>
          </reference>
          <reference field="88" count="1">
            <x v="1951"/>
          </reference>
        </references>
      </pivotArea>
    </format>
    <format dxfId="2631">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736"/>
          </reference>
          <reference field="82" count="1" selected="0">
            <x v="2184"/>
          </reference>
          <reference field="85" count="1" selected="0">
            <x v="4"/>
          </reference>
          <reference field="87" count="1" selected="0">
            <x v="3099"/>
          </reference>
          <reference field="88" count="1">
            <x v="1957"/>
          </reference>
        </references>
      </pivotArea>
    </format>
    <format dxfId="2630">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737"/>
          </reference>
          <reference field="82" count="1" selected="0">
            <x v="2185"/>
          </reference>
          <reference field="85" count="1" selected="0">
            <x v="4"/>
          </reference>
          <reference field="87" count="1" selected="0">
            <x v="3100"/>
          </reference>
          <reference field="88" count="1">
            <x v="1958"/>
          </reference>
        </references>
      </pivotArea>
    </format>
    <format dxfId="2629">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781"/>
          </reference>
          <reference field="82" count="1" selected="0">
            <x v="2314"/>
          </reference>
          <reference field="85" count="1" selected="0">
            <x v="4"/>
          </reference>
          <reference field="87" count="1" selected="0">
            <x v="3207"/>
          </reference>
          <reference field="88" count="1">
            <x v="2088"/>
          </reference>
        </references>
      </pivotArea>
    </format>
    <format dxfId="2628">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832"/>
          </reference>
          <reference field="82" count="1" selected="0">
            <x v="2316"/>
          </reference>
          <reference field="85" count="1" selected="0">
            <x v="4"/>
          </reference>
          <reference field="87" count="1" selected="0">
            <x v="3209"/>
          </reference>
          <reference field="88" count="1">
            <x v="2090"/>
          </reference>
        </references>
      </pivotArea>
    </format>
    <format dxfId="2627">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785"/>
          </reference>
          <reference field="82" count="1" selected="0">
            <x v="2317"/>
          </reference>
          <reference field="85" count="1" selected="0">
            <x v="4"/>
          </reference>
          <reference field="87" count="1" selected="0">
            <x v="3210"/>
          </reference>
          <reference field="88" count="1">
            <x v="2091"/>
          </reference>
        </references>
      </pivotArea>
    </format>
    <format dxfId="2626">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831"/>
          </reference>
          <reference field="82" count="1" selected="0">
            <x v="2315"/>
          </reference>
          <reference field="85" count="1" selected="0">
            <x v="4"/>
          </reference>
          <reference field="87" count="1" selected="0">
            <x v="3208"/>
          </reference>
          <reference field="88" count="1">
            <x v="2089"/>
          </reference>
        </references>
      </pivotArea>
    </format>
    <format dxfId="2625">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781"/>
          </reference>
          <reference field="82" count="1" selected="0">
            <x v="2314"/>
          </reference>
          <reference field="85" count="1" selected="0">
            <x v="4"/>
          </reference>
          <reference field="87" count="1" selected="0">
            <x v="3207"/>
          </reference>
          <reference field="88" count="1">
            <x v="2088"/>
          </reference>
        </references>
      </pivotArea>
    </format>
    <format dxfId="2624">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832"/>
          </reference>
          <reference field="82" count="1" selected="0">
            <x v="2316"/>
          </reference>
          <reference field="85" count="1" selected="0">
            <x v="4"/>
          </reference>
          <reference field="87" count="1" selected="0">
            <x v="3209"/>
          </reference>
          <reference field="88" count="1">
            <x v="2090"/>
          </reference>
        </references>
      </pivotArea>
    </format>
    <format dxfId="2623">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785"/>
          </reference>
          <reference field="82" count="1" selected="0">
            <x v="2317"/>
          </reference>
          <reference field="85" count="1" selected="0">
            <x v="4"/>
          </reference>
          <reference field="87" count="1" selected="0">
            <x v="3210"/>
          </reference>
          <reference field="88" count="1">
            <x v="2091"/>
          </reference>
        </references>
      </pivotArea>
    </format>
    <format dxfId="2622">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831"/>
          </reference>
          <reference field="82" count="1" selected="0">
            <x v="2315"/>
          </reference>
          <reference field="85" count="1" selected="0">
            <x v="4"/>
          </reference>
          <reference field="87" count="1" selected="0">
            <x v="3208"/>
          </reference>
          <reference field="88" count="1">
            <x v="2089"/>
          </reference>
        </references>
      </pivotArea>
    </format>
    <format dxfId="2621">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3699"/>
          </reference>
          <reference field="82" count="1" selected="0">
            <x v="2139"/>
          </reference>
          <reference field="85" count="1" selected="0">
            <x v="3"/>
          </reference>
          <reference field="87" count="1" selected="0">
            <x v="3062"/>
          </reference>
          <reference field="88" count="1">
            <x v="1912"/>
          </reference>
        </references>
      </pivotArea>
    </format>
    <format dxfId="2620">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843"/>
          </reference>
          <reference field="82" count="1" selected="0">
            <x v="2346"/>
          </reference>
          <reference field="85" count="1" selected="0">
            <x v="4"/>
          </reference>
          <reference field="87" count="1" selected="0">
            <x v="3232"/>
          </reference>
          <reference field="88" count="1">
            <x v="2124"/>
          </reference>
        </references>
      </pivotArea>
    </format>
    <format dxfId="2619">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726"/>
          </reference>
          <reference field="82" count="1" selected="0">
            <x v="2173"/>
          </reference>
          <reference field="85" count="1" selected="0">
            <x v="7"/>
          </reference>
          <reference field="87" count="1" selected="0">
            <x v="3089"/>
          </reference>
          <reference field="88" count="1">
            <x v="1946"/>
          </reference>
        </references>
      </pivotArea>
    </format>
    <format dxfId="2618">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3700"/>
          </reference>
          <reference field="82" count="1" selected="0">
            <x v="2140"/>
          </reference>
          <reference field="85" count="1" selected="0">
            <x v="3"/>
          </reference>
          <reference field="87" count="1" selected="0">
            <x v="3063"/>
          </reference>
          <reference field="88" count="1">
            <x v="1913"/>
          </reference>
        </references>
      </pivotArea>
    </format>
    <format dxfId="2617">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726"/>
          </reference>
          <reference field="82" count="1" selected="0">
            <x v="2174"/>
          </reference>
          <reference field="85" count="1" selected="0">
            <x v="7"/>
          </reference>
          <reference field="87" count="1" selected="0">
            <x v="3089"/>
          </reference>
          <reference field="88" count="1">
            <x v="1947"/>
          </reference>
        </references>
      </pivotArea>
    </format>
    <format dxfId="2616">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845"/>
          </reference>
          <reference field="82" count="1" selected="0">
            <x v="2348"/>
          </reference>
          <reference field="85" count="1" selected="0">
            <x v="7"/>
          </reference>
          <reference field="87" count="1" selected="0">
            <x v="3234"/>
          </reference>
          <reference field="88" count="1">
            <x v="2126"/>
          </reference>
        </references>
      </pivotArea>
    </format>
    <format dxfId="2615">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847"/>
          </reference>
          <reference field="82" count="1" selected="0">
            <x v="2350"/>
          </reference>
          <reference field="85" count="1" selected="0">
            <x v="7"/>
          </reference>
          <reference field="87" count="1" selected="0">
            <x v="3236"/>
          </reference>
          <reference field="88" count="1">
            <x v="2128"/>
          </reference>
        </references>
      </pivotArea>
    </format>
    <format dxfId="2614">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846"/>
          </reference>
          <reference field="82" count="1" selected="0">
            <x v="2349"/>
          </reference>
          <reference field="85" count="1" selected="0">
            <x v="7"/>
          </reference>
          <reference field="87" count="1" selected="0">
            <x v="3235"/>
          </reference>
          <reference field="88" count="1">
            <x v="2127"/>
          </reference>
        </references>
      </pivotArea>
    </format>
    <format dxfId="2613">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3722"/>
          </reference>
          <reference field="82" count="1" selected="0">
            <x v="2166"/>
          </reference>
          <reference field="85" count="1" selected="0">
            <x v="2"/>
          </reference>
          <reference field="87" count="1" selected="0">
            <x v="3085"/>
          </reference>
          <reference field="88" count="1">
            <x v="1939"/>
          </reference>
        </references>
      </pivotArea>
    </format>
    <format dxfId="2612">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847"/>
          </reference>
          <reference field="82" count="1" selected="0">
            <x v="2350"/>
          </reference>
          <reference field="85" count="1" selected="0">
            <x v="7"/>
          </reference>
          <reference field="87" count="1" selected="0">
            <x v="3236"/>
          </reference>
          <reference field="88" count="1">
            <x v="2128"/>
          </reference>
        </references>
      </pivotArea>
    </format>
    <format dxfId="2611">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3698"/>
          </reference>
          <reference field="82" count="1" selected="0">
            <x v="2138"/>
          </reference>
          <reference field="85" count="1" selected="0">
            <x v="3"/>
          </reference>
          <reference field="87" count="1" selected="0">
            <x v="3061"/>
          </reference>
          <reference field="88" count="1">
            <x v="1911"/>
          </reference>
        </references>
      </pivotArea>
    </format>
    <format dxfId="2610">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775"/>
          </reference>
          <reference field="82" count="1" selected="0">
            <x v="2343"/>
          </reference>
          <reference field="85" count="1" selected="0">
            <x v="4"/>
          </reference>
          <reference field="87" count="1" selected="0">
            <x v="3229"/>
          </reference>
          <reference field="88" count="1">
            <x v="2120"/>
          </reference>
        </references>
      </pivotArea>
    </format>
    <format dxfId="260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799"/>
          </reference>
          <reference field="82" count="1" selected="0">
            <x v="2273"/>
          </reference>
          <reference field="85" count="1" selected="0">
            <x v="2"/>
          </reference>
          <reference field="87" count="1" selected="0">
            <x v="3169"/>
          </reference>
          <reference field="88" count="1">
            <x v="2046"/>
          </reference>
        </references>
      </pivotArea>
    </format>
    <format dxfId="260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3800"/>
          </reference>
          <reference field="82" count="1" selected="0">
            <x v="2274"/>
          </reference>
          <reference field="85" count="1" selected="0">
            <x v="2"/>
          </reference>
          <reference field="87" count="1" selected="0">
            <x v="3170"/>
          </reference>
          <reference field="88" count="1">
            <x v="2047"/>
          </reference>
        </references>
      </pivotArea>
    </format>
    <format dxfId="260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3805"/>
          </reference>
          <reference field="82" count="1" selected="0">
            <x v="2279"/>
          </reference>
          <reference field="85" count="1" selected="0">
            <x v="2"/>
          </reference>
          <reference field="87" count="1" selected="0">
            <x v="3175"/>
          </reference>
          <reference field="88" count="1">
            <x v="2052"/>
          </reference>
        </references>
      </pivotArea>
    </format>
    <format dxfId="260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3803"/>
          </reference>
          <reference field="82" count="1" selected="0">
            <x v="2277"/>
          </reference>
          <reference field="85" count="1" selected="0">
            <x v="2"/>
          </reference>
          <reference field="87" count="1" selected="0">
            <x v="3173"/>
          </reference>
          <reference field="88" count="1">
            <x v="2050"/>
          </reference>
        </references>
      </pivotArea>
    </format>
    <format dxfId="260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3802"/>
          </reference>
          <reference field="82" count="1" selected="0">
            <x v="2276"/>
          </reference>
          <reference field="85" count="1" selected="0">
            <x v="2"/>
          </reference>
          <reference field="87" count="1" selected="0">
            <x v="3172"/>
          </reference>
          <reference field="88" count="1">
            <x v="2049"/>
          </reference>
        </references>
      </pivotArea>
    </format>
    <format dxfId="260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3801"/>
          </reference>
          <reference field="82" count="1" selected="0">
            <x v="2275"/>
          </reference>
          <reference field="85" count="1" selected="0">
            <x v="2"/>
          </reference>
          <reference field="87" count="1" selected="0">
            <x v="3171"/>
          </reference>
          <reference field="88" count="1">
            <x v="2048"/>
          </reference>
        </references>
      </pivotArea>
    </format>
    <format dxfId="260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798"/>
          </reference>
          <reference field="82" count="1" selected="0">
            <x v="2272"/>
          </reference>
          <reference field="85" count="1" selected="0">
            <x v="2"/>
          </reference>
          <reference field="87" count="1" selected="0">
            <x v="3168"/>
          </reference>
          <reference field="88" count="1">
            <x v="2045"/>
          </reference>
        </references>
      </pivotArea>
    </format>
    <format dxfId="260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3804"/>
          </reference>
          <reference field="82" count="1" selected="0">
            <x v="2278"/>
          </reference>
          <reference field="85" count="1" selected="0">
            <x v="2"/>
          </reference>
          <reference field="87" count="1" selected="0">
            <x v="3174"/>
          </reference>
          <reference field="88" count="1">
            <x v="2051"/>
          </reference>
        </references>
      </pivotArea>
    </format>
    <format dxfId="2601">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844"/>
          </reference>
          <reference field="82" count="1" selected="0">
            <x v="2347"/>
          </reference>
          <reference field="85" count="1" selected="0">
            <x v="4"/>
          </reference>
          <reference field="87" count="1" selected="0">
            <x v="3233"/>
          </reference>
          <reference field="88" count="1">
            <x v="2125"/>
          </reference>
        </references>
      </pivotArea>
    </format>
    <format dxfId="2600">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3725"/>
          </reference>
          <reference field="82" count="1" selected="0">
            <x v="2172"/>
          </reference>
          <reference field="85" count="1" selected="0">
            <x v="2"/>
          </reference>
          <reference field="87" count="1" selected="0">
            <x v="3088"/>
          </reference>
          <reference field="88" count="1">
            <x v="1945"/>
          </reference>
        </references>
      </pivotArea>
    </format>
    <format dxfId="2599">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724"/>
          </reference>
          <reference field="82" count="1" selected="0">
            <x v="2170"/>
          </reference>
          <reference field="85" count="1" selected="0">
            <x v="7"/>
          </reference>
          <reference field="87" count="1" selected="0">
            <x v="3087"/>
          </reference>
          <reference field="88" count="1">
            <x v="1943"/>
          </reference>
        </references>
      </pivotArea>
    </format>
    <format dxfId="2598">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799"/>
          </reference>
          <reference field="82" count="1" selected="0">
            <x v="2273"/>
          </reference>
          <reference field="85" count="1" selected="0">
            <x v="2"/>
          </reference>
          <reference field="87" count="1" selected="0">
            <x v="3169"/>
          </reference>
          <reference field="88" count="1">
            <x v="2046"/>
          </reference>
        </references>
      </pivotArea>
    </format>
    <format dxfId="2597">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798"/>
          </reference>
          <reference field="82" count="1" selected="0">
            <x v="2272"/>
          </reference>
          <reference field="85" count="1" selected="0">
            <x v="2"/>
          </reference>
          <reference field="87" count="1" selected="0">
            <x v="3168"/>
          </reference>
          <reference field="88" count="1">
            <x v="2045"/>
          </reference>
        </references>
      </pivotArea>
    </format>
    <format dxfId="2596">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724"/>
          </reference>
          <reference field="82" count="1" selected="0">
            <x v="2171"/>
          </reference>
          <reference field="85" count="1" selected="0">
            <x v="7"/>
          </reference>
          <reference field="87" count="1" selected="0">
            <x v="3087"/>
          </reference>
          <reference field="88" count="1">
            <x v="1944"/>
          </reference>
        </references>
      </pivotArea>
    </format>
    <format dxfId="2595">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759"/>
          </reference>
          <reference field="82" count="1" selected="0">
            <x v="2336"/>
          </reference>
          <reference field="85" count="1" selected="0">
            <x v="4"/>
          </reference>
          <reference field="87" count="1" selected="0">
            <x v="3225"/>
          </reference>
          <reference field="88" count="1">
            <x v="2113"/>
          </reference>
        </references>
      </pivotArea>
    </format>
    <format dxfId="2594">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817"/>
          </reference>
          <reference field="82" count="1" selected="0">
            <x v="2294"/>
          </reference>
          <reference field="85" count="1" selected="0">
            <x v="7"/>
          </reference>
          <reference field="87" count="1" selected="0">
            <x v="3187"/>
          </reference>
          <reference field="88" count="1">
            <x v="2067"/>
          </reference>
        </references>
      </pivotArea>
    </format>
    <format dxfId="2593">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3819"/>
          </reference>
          <reference field="82" count="1" selected="0">
            <x v="2296"/>
          </reference>
          <reference field="85" count="1" selected="0">
            <x v="7"/>
          </reference>
          <reference field="87" count="1" selected="0">
            <x v="3189"/>
          </reference>
          <reference field="88" count="1">
            <x v="2069"/>
          </reference>
        </references>
      </pivotArea>
    </format>
    <format dxfId="2592">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3720"/>
          </reference>
          <reference field="82" count="1" selected="0">
            <x v="2164"/>
          </reference>
          <reference field="85" count="1" selected="0">
            <x v="7"/>
          </reference>
          <reference field="87" count="1" selected="0">
            <x v="3083"/>
          </reference>
          <reference field="88" count="1">
            <x v="1937"/>
          </reference>
        </references>
      </pivotArea>
    </format>
    <format dxfId="2591">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3719"/>
          </reference>
          <reference field="82" count="1" selected="0">
            <x v="2163"/>
          </reference>
          <reference field="85" count="1" selected="0">
            <x v="7"/>
          </reference>
          <reference field="87" count="1" selected="0">
            <x v="3082"/>
          </reference>
          <reference field="88" count="1">
            <x v="1936"/>
          </reference>
        </references>
      </pivotArea>
    </format>
    <format dxfId="2590">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832"/>
          </reference>
          <reference field="82" count="1" selected="0">
            <x v="2323"/>
          </reference>
          <reference field="85" count="1" selected="0">
            <x v="4"/>
          </reference>
          <reference field="87" count="1" selected="0">
            <x v="3209"/>
          </reference>
          <reference field="88" count="1">
            <x v="2098"/>
          </reference>
        </references>
      </pivotArea>
    </format>
    <format dxfId="2589">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694"/>
          </reference>
          <reference field="82" count="1" selected="0">
            <x v="2133"/>
          </reference>
          <reference field="85" count="1" selected="0">
            <x v="4"/>
          </reference>
          <reference field="87" count="1" selected="0">
            <x v="3212"/>
          </reference>
          <reference field="88" count="1">
            <x v="2099"/>
          </reference>
        </references>
      </pivotArea>
    </format>
    <format dxfId="2588">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833"/>
          </reference>
          <reference field="82" count="1" selected="0">
            <x v="2324"/>
          </reference>
          <reference field="85" count="1" selected="0">
            <x v="4"/>
          </reference>
          <reference field="87" count="1" selected="0">
            <x v="3213"/>
          </reference>
          <reference field="88" count="1">
            <x v="2100"/>
          </reference>
        </references>
      </pivotArea>
    </format>
    <format dxfId="2587">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758"/>
          </reference>
          <reference field="82" count="1" selected="0">
            <x v="2325"/>
          </reference>
          <reference field="85" count="1" selected="0">
            <x v="4"/>
          </reference>
          <reference field="87" count="1" selected="0">
            <x v="3214"/>
          </reference>
          <reference field="88" count="1">
            <x v="2101"/>
          </reference>
        </references>
      </pivotArea>
    </format>
    <format dxfId="2586">
      <pivotArea dataOnly="0" labelOnly="1" outline="0" fieldPosition="0">
        <references count="14">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812"/>
          </reference>
          <reference field="82" count="1" selected="0">
            <x v="2288"/>
          </reference>
          <reference field="85" count="1" selected="0">
            <x v="7"/>
          </reference>
          <reference field="87" count="1" selected="0">
            <x v="3182"/>
          </reference>
          <reference field="88" count="1">
            <x v="2061"/>
          </reference>
        </references>
      </pivotArea>
    </format>
    <format dxfId="2585">
      <pivotArea dataOnly="0" labelOnly="1" outline="0" fieldPosition="0">
        <references count="7">
          <reference field="1" count="1" selected="0">
            <x v="32"/>
          </reference>
          <reference field="2" count="1" selected="0">
            <x v="14"/>
          </reference>
          <reference field="3" count="1" selected="0">
            <x v="8"/>
          </reference>
          <reference field="5" count="1" selected="0">
            <x v="11"/>
          </reference>
          <reference field="13" count="1">
            <x v="2"/>
          </reference>
          <reference field="23" count="1" selected="0">
            <x v="3"/>
          </reference>
          <reference field="72" count="1" selected="0">
            <x v="33"/>
          </reference>
        </references>
      </pivotArea>
    </format>
    <format dxfId="2584">
      <pivotArea dataOnly="0" labelOnly="1" outline="0" fieldPosition="0">
        <references count="1">
          <reference field="72" count="0"/>
        </references>
      </pivotArea>
    </format>
    <format dxfId="2583">
      <pivotArea field="23" type="button" dataOnly="0" labelOnly="1" outline="0" axis="axisRow" fieldPosition="4"/>
    </format>
    <format dxfId="2582">
      <pivotArea dataOnly="0" labelOnly="1" outline="0" fieldPosition="0">
        <references count="5">
          <reference field="1" count="1" selected="0">
            <x v="0"/>
          </reference>
          <reference field="2" count="1" selected="0">
            <x v="5"/>
          </reference>
          <reference field="3" count="1" selected="0">
            <x v="0"/>
          </reference>
          <reference field="5" count="1" selected="0">
            <x v="2"/>
          </reference>
          <reference field="23" count="1">
            <x v="2"/>
          </reference>
        </references>
      </pivotArea>
    </format>
    <format dxfId="2581">
      <pivotArea dataOnly="0" labelOnly="1" outline="0" fieldPosition="0">
        <references count="5">
          <reference field="1" count="1" selected="0">
            <x v="0"/>
          </reference>
          <reference field="2" count="1" selected="0">
            <x v="6"/>
          </reference>
          <reference field="3" count="1" selected="0">
            <x v="0"/>
          </reference>
          <reference field="5" count="1" selected="0">
            <x v="6"/>
          </reference>
          <reference field="23" count="2">
            <x v="1"/>
            <x v="2"/>
          </reference>
        </references>
      </pivotArea>
    </format>
    <format dxfId="2580">
      <pivotArea dataOnly="0" labelOnly="1" outline="0" fieldPosition="0">
        <references count="5">
          <reference field="1" count="1" selected="0">
            <x v="0"/>
          </reference>
          <reference field="2" count="1" selected="0">
            <x v="10"/>
          </reference>
          <reference field="3" count="1" selected="0">
            <x v="0"/>
          </reference>
          <reference field="5" count="1" selected="0">
            <x v="6"/>
          </reference>
          <reference field="23" count="2">
            <x v="1"/>
            <x v="2"/>
          </reference>
        </references>
      </pivotArea>
    </format>
    <format dxfId="2579">
      <pivotArea dataOnly="0" labelOnly="1" outline="0" fieldPosition="0">
        <references count="5">
          <reference field="1" count="1" selected="0">
            <x v="0"/>
          </reference>
          <reference field="2" count="1" selected="0">
            <x v="10"/>
          </reference>
          <reference field="3" count="1" selected="0">
            <x v="3"/>
          </reference>
          <reference field="5" count="1" selected="0">
            <x v="5"/>
          </reference>
          <reference field="23" count="1">
            <x v="0"/>
          </reference>
        </references>
      </pivotArea>
    </format>
    <format dxfId="2578">
      <pivotArea dataOnly="0" labelOnly="1" outline="0" fieldPosition="0">
        <references count="5">
          <reference field="1" count="1" selected="0">
            <x v="0"/>
          </reference>
          <reference field="2" count="1" selected="0">
            <x v="10"/>
          </reference>
          <reference field="3" count="1" selected="0">
            <x v="4"/>
          </reference>
          <reference field="5" count="1" selected="0">
            <x v="3"/>
          </reference>
          <reference field="23" count="1">
            <x v="2"/>
          </reference>
        </references>
      </pivotArea>
    </format>
    <format dxfId="2577">
      <pivotArea dataOnly="0" labelOnly="1" outline="0" fieldPosition="0">
        <references count="5">
          <reference field="1" count="1" selected="0">
            <x v="0"/>
          </reference>
          <reference field="2" count="1" selected="0">
            <x v="10"/>
          </reference>
          <reference field="3" count="1" selected="0">
            <x v="4"/>
          </reference>
          <reference field="5" count="1" selected="0">
            <x v="6"/>
          </reference>
          <reference field="23" count="2">
            <x v="1"/>
            <x v="2"/>
          </reference>
        </references>
      </pivotArea>
    </format>
    <format dxfId="2576">
      <pivotArea dataOnly="0" labelOnly="1" outline="0" fieldPosition="0">
        <references count="5">
          <reference field="1" count="1" selected="0">
            <x v="0"/>
          </reference>
          <reference field="2" count="1" selected="0">
            <x v="10"/>
          </reference>
          <reference field="3" count="1" selected="0">
            <x v="5"/>
          </reference>
          <reference field="5" count="1" selected="0">
            <x v="5"/>
          </reference>
          <reference field="23" count="1">
            <x v="0"/>
          </reference>
        </references>
      </pivotArea>
    </format>
    <format dxfId="2575">
      <pivotArea dataOnly="0" labelOnly="1" outline="0" fieldPosition="0">
        <references count="5">
          <reference field="1" count="1" selected="0">
            <x v="0"/>
          </reference>
          <reference field="2" count="1" selected="0">
            <x v="10"/>
          </reference>
          <reference field="3" count="1" selected="0">
            <x v="5"/>
          </reference>
          <reference field="5" count="1" selected="0">
            <x v="6"/>
          </reference>
          <reference field="23" count="2">
            <x v="1"/>
            <x v="2"/>
          </reference>
        </references>
      </pivotArea>
    </format>
    <format dxfId="2574">
      <pivotArea dataOnly="0" labelOnly="1" outline="0" fieldPosition="0">
        <references count="5">
          <reference field="1" count="1" selected="0">
            <x v="0"/>
          </reference>
          <reference field="2" count="1" selected="0">
            <x v="6"/>
          </reference>
          <reference field="3" count="1" selected="0">
            <x v="7"/>
          </reference>
          <reference field="5" count="1" selected="0">
            <x v="1"/>
          </reference>
          <reference field="23" count="2">
            <x v="1"/>
            <x v="2"/>
          </reference>
        </references>
      </pivotArea>
    </format>
    <format dxfId="2573">
      <pivotArea dataOnly="0" labelOnly="1" outline="0" fieldPosition="0">
        <references count="5">
          <reference field="1" count="1" selected="0">
            <x v="0"/>
          </reference>
          <reference field="2" count="1" selected="0">
            <x v="6"/>
          </reference>
          <reference field="3" count="1" selected="0">
            <x v="7"/>
          </reference>
          <reference field="5" count="1" selected="0">
            <x v="5"/>
          </reference>
          <reference field="23" count="1">
            <x v="0"/>
          </reference>
        </references>
      </pivotArea>
    </format>
    <format dxfId="2572">
      <pivotArea dataOnly="0" labelOnly="1" outline="0" fieldPosition="0">
        <references count="5">
          <reference field="1" count="1" selected="0">
            <x v="0"/>
          </reference>
          <reference field="2" count="1" selected="0">
            <x v="6"/>
          </reference>
          <reference field="3" count="1" selected="0">
            <x v="7"/>
          </reference>
          <reference field="5" count="1" selected="0">
            <x v="6"/>
          </reference>
          <reference field="23" count="2">
            <x v="1"/>
            <x v="2"/>
          </reference>
        </references>
      </pivotArea>
    </format>
    <format dxfId="2571">
      <pivotArea dataOnly="0" labelOnly="1" outline="0" fieldPosition="0">
        <references count="5">
          <reference field="1" count="1" selected="0">
            <x v="0"/>
          </reference>
          <reference field="2" count="1" selected="0">
            <x v="6"/>
          </reference>
          <reference field="3" count="1" selected="0">
            <x v="7"/>
          </reference>
          <reference field="5" count="1" selected="0">
            <x v="12"/>
          </reference>
          <reference field="23" count="1">
            <x v="1"/>
          </reference>
        </references>
      </pivotArea>
    </format>
    <format dxfId="2570">
      <pivotArea dataOnly="0" labelOnly="1" outline="0" fieldPosition="0">
        <references count="5">
          <reference field="1" count="1" selected="0">
            <x v="0"/>
          </reference>
          <reference field="2" count="1" selected="0">
            <x v="10"/>
          </reference>
          <reference field="3" count="1" selected="0">
            <x v="7"/>
          </reference>
          <reference field="5" count="1" selected="0">
            <x v="2"/>
          </reference>
          <reference field="23" count="1">
            <x v="2"/>
          </reference>
        </references>
      </pivotArea>
    </format>
    <format dxfId="2569">
      <pivotArea dataOnly="0" labelOnly="1" outline="0" fieldPosition="0">
        <references count="5">
          <reference field="1" count="1" selected="0">
            <x v="0"/>
          </reference>
          <reference field="2" count="1" selected="0">
            <x v="10"/>
          </reference>
          <reference field="3" count="1" selected="0">
            <x v="7"/>
          </reference>
          <reference field="5" count="1" selected="0">
            <x v="12"/>
          </reference>
          <reference field="23" count="1">
            <x v="1"/>
          </reference>
        </references>
      </pivotArea>
    </format>
    <format dxfId="2568">
      <pivotArea dataOnly="0" labelOnly="1" outline="0" fieldPosition="0">
        <references count="5">
          <reference field="1" count="1" selected="0">
            <x v="0"/>
          </reference>
          <reference field="2" count="1" selected="0">
            <x v="6"/>
          </reference>
          <reference field="3" count="1" selected="0">
            <x v="12"/>
          </reference>
          <reference field="5" count="1" selected="0">
            <x v="5"/>
          </reference>
          <reference field="23" count="1">
            <x v="0"/>
          </reference>
        </references>
      </pivotArea>
    </format>
    <format dxfId="2567">
      <pivotArea dataOnly="0" labelOnly="1" outline="0" fieldPosition="0">
        <references count="5">
          <reference field="1" count="1" selected="0">
            <x v="0"/>
          </reference>
          <reference field="2" count="1" selected="0">
            <x v="6"/>
          </reference>
          <reference field="3" count="1" selected="0">
            <x v="13"/>
          </reference>
          <reference field="5" count="1" selected="0">
            <x v="6"/>
          </reference>
          <reference field="23" count="2">
            <x v="1"/>
            <x v="2"/>
          </reference>
        </references>
      </pivotArea>
    </format>
    <format dxfId="2566">
      <pivotArea dataOnly="0" labelOnly="1" outline="0" fieldPosition="0">
        <references count="5">
          <reference field="1" count="1" selected="0">
            <x v="0"/>
          </reference>
          <reference field="2" count="1" selected="0">
            <x v="6"/>
          </reference>
          <reference field="3" count="1" selected="0">
            <x v="14"/>
          </reference>
          <reference field="5" count="1" selected="0">
            <x v="5"/>
          </reference>
          <reference field="23" count="1">
            <x v="0"/>
          </reference>
        </references>
      </pivotArea>
    </format>
    <format dxfId="2565">
      <pivotArea dataOnly="0" labelOnly="1" outline="0" fieldPosition="0">
        <references count="5">
          <reference field="1" count="1" selected="0">
            <x v="0"/>
          </reference>
          <reference field="2" count="1" selected="0">
            <x v="6"/>
          </reference>
          <reference field="3" count="1" selected="0">
            <x v="14"/>
          </reference>
          <reference field="5" count="1" selected="0">
            <x v="6"/>
          </reference>
          <reference field="23" count="2">
            <x v="1"/>
            <x v="2"/>
          </reference>
        </references>
      </pivotArea>
    </format>
    <format dxfId="2564">
      <pivotArea dataOnly="0" labelOnly="1" outline="0" fieldPosition="0">
        <references count="5">
          <reference field="1" count="1" selected="0">
            <x v="0"/>
          </reference>
          <reference field="2" count="1" selected="0">
            <x v="10"/>
          </reference>
          <reference field="3" count="1" selected="0">
            <x v="14"/>
          </reference>
          <reference field="5" count="1" selected="0">
            <x v="6"/>
          </reference>
          <reference field="23" count="2">
            <x v="1"/>
            <x v="2"/>
          </reference>
        </references>
      </pivotArea>
    </format>
    <format dxfId="2563">
      <pivotArea dataOnly="0" labelOnly="1" outline="0" fieldPosition="0">
        <references count="5">
          <reference field="1" count="1" selected="0">
            <x v="1"/>
          </reference>
          <reference field="2" count="1" selected="0">
            <x v="3"/>
          </reference>
          <reference field="3" count="1" selected="0">
            <x v="5"/>
          </reference>
          <reference field="5" count="1" selected="0">
            <x v="1"/>
          </reference>
          <reference field="23" count="1">
            <x v="1"/>
          </reference>
        </references>
      </pivotArea>
    </format>
    <format dxfId="2562">
      <pivotArea dataOnly="0" labelOnly="1" outline="0" fieldPosition="0">
        <references count="5">
          <reference field="1" count="1" selected="0">
            <x v="1"/>
          </reference>
          <reference field="2" count="1" selected="0">
            <x v="3"/>
          </reference>
          <reference field="3" count="1" selected="0">
            <x v="7"/>
          </reference>
          <reference field="5" count="1" selected="0">
            <x v="1"/>
          </reference>
          <reference field="23" count="1">
            <x v="2"/>
          </reference>
        </references>
      </pivotArea>
    </format>
    <format dxfId="2561">
      <pivotArea dataOnly="0" labelOnly="1" outline="0" fieldPosition="0">
        <references count="5">
          <reference field="1" count="1" selected="0">
            <x v="1"/>
          </reference>
          <reference field="2" count="1" selected="0">
            <x v="3"/>
          </reference>
          <reference field="3" count="1" selected="0">
            <x v="7"/>
          </reference>
          <reference field="5" count="1" selected="0">
            <x v="6"/>
          </reference>
          <reference field="23" count="2">
            <x v="1"/>
            <x v="2"/>
          </reference>
        </references>
      </pivotArea>
    </format>
    <format dxfId="2560">
      <pivotArea dataOnly="0" labelOnly="1" outline="0" fieldPosition="0">
        <references count="5">
          <reference field="1" count="1" selected="0">
            <x v="1"/>
          </reference>
          <reference field="2" count="1" selected="0">
            <x v="3"/>
          </reference>
          <reference field="3" count="1" selected="0">
            <x v="7"/>
          </reference>
          <reference field="5" count="1" selected="0">
            <x v="12"/>
          </reference>
          <reference field="23" count="1">
            <x v="1"/>
          </reference>
        </references>
      </pivotArea>
    </format>
    <format dxfId="2559">
      <pivotArea dataOnly="0" labelOnly="1" outline="0" fieldPosition="0">
        <references count="5">
          <reference field="1" count="1" selected="0">
            <x v="1"/>
          </reference>
          <reference field="2" count="1" selected="0">
            <x v="3"/>
          </reference>
          <reference field="3" count="1" selected="0">
            <x v="14"/>
          </reference>
          <reference field="5" count="1" selected="0">
            <x v="3"/>
          </reference>
          <reference field="23" count="1">
            <x v="2"/>
          </reference>
        </references>
      </pivotArea>
    </format>
    <format dxfId="2558">
      <pivotArea dataOnly="0" labelOnly="1" outline="0" fieldPosition="0">
        <references count="5">
          <reference field="1" count="1" selected="0">
            <x v="1"/>
          </reference>
          <reference field="2" count="1" selected="0">
            <x v="3"/>
          </reference>
          <reference field="3" count="1" selected="0">
            <x v="14"/>
          </reference>
          <reference field="5" count="1" selected="0">
            <x v="6"/>
          </reference>
          <reference field="23" count="1">
            <x v="1"/>
          </reference>
        </references>
      </pivotArea>
    </format>
    <format dxfId="2557">
      <pivotArea dataOnly="0" labelOnly="1" outline="0" fieldPosition="0">
        <references count="5">
          <reference field="1" count="1" selected="0">
            <x v="2"/>
          </reference>
          <reference field="2" count="1" selected="0">
            <x v="3"/>
          </reference>
          <reference field="3" count="1" selected="0">
            <x v="0"/>
          </reference>
          <reference field="5" count="1" selected="0">
            <x v="3"/>
          </reference>
          <reference field="23" count="1">
            <x v="2"/>
          </reference>
        </references>
      </pivotArea>
    </format>
    <format dxfId="2556">
      <pivotArea dataOnly="0" labelOnly="1" outline="0" fieldPosition="0">
        <references count="5">
          <reference field="1" count="1" selected="0">
            <x v="2"/>
          </reference>
          <reference field="2" count="1" selected="0">
            <x v="3"/>
          </reference>
          <reference field="3" count="1" selected="0">
            <x v="7"/>
          </reference>
          <reference field="5" count="1" selected="0">
            <x v="1"/>
          </reference>
          <reference field="23" count="2">
            <x v="1"/>
            <x v="2"/>
          </reference>
        </references>
      </pivotArea>
    </format>
    <format dxfId="2555">
      <pivotArea dataOnly="0" labelOnly="1" outline="0" fieldPosition="0">
        <references count="5">
          <reference field="1" count="1" selected="0">
            <x v="2"/>
          </reference>
          <reference field="2" count="1" selected="0">
            <x v="3"/>
          </reference>
          <reference field="3" count="1" selected="0">
            <x v="7"/>
          </reference>
          <reference field="5" count="1" selected="0">
            <x v="6"/>
          </reference>
          <reference field="23" count="1">
            <x v="1"/>
          </reference>
        </references>
      </pivotArea>
    </format>
    <format dxfId="2554">
      <pivotArea dataOnly="0" labelOnly="1" outline="0" fieldPosition="0">
        <references count="5">
          <reference field="1" count="1" selected="0">
            <x v="3"/>
          </reference>
          <reference field="2" count="1" selected="0">
            <x v="3"/>
          </reference>
          <reference field="3" count="1" selected="0">
            <x v="0"/>
          </reference>
          <reference field="5" count="1" selected="0">
            <x v="1"/>
          </reference>
          <reference field="23" count="1">
            <x v="2"/>
          </reference>
        </references>
      </pivotArea>
    </format>
    <format dxfId="2553">
      <pivotArea dataOnly="0" labelOnly="1" outline="0" fieldPosition="0">
        <references count="5">
          <reference field="1" count="1" selected="0">
            <x v="3"/>
          </reference>
          <reference field="2" count="1" selected="0">
            <x v="3"/>
          </reference>
          <reference field="3" count="1" selected="0">
            <x v="7"/>
          </reference>
          <reference field="5" count="1" selected="0">
            <x v="1"/>
          </reference>
          <reference field="23" count="2">
            <x v="1"/>
            <x v="2"/>
          </reference>
        </references>
      </pivotArea>
    </format>
    <format dxfId="2552">
      <pivotArea dataOnly="0" labelOnly="1" outline="0" fieldPosition="0">
        <references count="5">
          <reference field="1" count="1" selected="0">
            <x v="4"/>
          </reference>
          <reference field="2" count="1" selected="0">
            <x v="3"/>
          </reference>
          <reference field="3" count="1" selected="0">
            <x v="7"/>
          </reference>
          <reference field="5" count="1" selected="0">
            <x v="1"/>
          </reference>
          <reference field="23" count="2">
            <x v="1"/>
            <x v="2"/>
          </reference>
        </references>
      </pivotArea>
    </format>
    <format dxfId="2551">
      <pivotArea dataOnly="0" labelOnly="1" outline="0" fieldPosition="0">
        <references count="5">
          <reference field="1" count="1" selected="0">
            <x v="7"/>
          </reference>
          <reference field="2" count="1" selected="0">
            <x v="4"/>
          </reference>
          <reference field="3" count="1" selected="0">
            <x v="0"/>
          </reference>
          <reference field="5" count="1" selected="0">
            <x v="5"/>
          </reference>
          <reference field="23" count="1">
            <x v="0"/>
          </reference>
        </references>
      </pivotArea>
    </format>
    <format dxfId="2550">
      <pivotArea dataOnly="0" labelOnly="1" outline="0" fieldPosition="0">
        <references count="5">
          <reference field="1" count="1" selected="0">
            <x v="7"/>
          </reference>
          <reference field="2" count="1" selected="0">
            <x v="5"/>
          </reference>
          <reference field="3" count="1" selected="0">
            <x v="0"/>
          </reference>
          <reference field="5" count="1" selected="0">
            <x v="7"/>
          </reference>
          <reference field="23" count="1">
            <x v="2"/>
          </reference>
        </references>
      </pivotArea>
    </format>
    <format dxfId="2549">
      <pivotArea dataOnly="0" labelOnly="1" outline="0" fieldPosition="0">
        <references count="5">
          <reference field="1" count="1" selected="0">
            <x v="7"/>
          </reference>
          <reference field="2" count="1" selected="0">
            <x v="4"/>
          </reference>
          <reference field="3" count="1" selected="0">
            <x v="7"/>
          </reference>
          <reference field="5" count="1" selected="0">
            <x v="5"/>
          </reference>
          <reference field="23" count="1">
            <x v="0"/>
          </reference>
        </references>
      </pivotArea>
    </format>
    <format dxfId="2548">
      <pivotArea dataOnly="0" labelOnly="1" outline="0" fieldPosition="0">
        <references count="5">
          <reference field="1" count="1" selected="0">
            <x v="7"/>
          </reference>
          <reference field="2" count="1" selected="0">
            <x v="5"/>
          </reference>
          <reference field="3" count="1" selected="0">
            <x v="7"/>
          </reference>
          <reference field="5" count="1" selected="0">
            <x v="0"/>
          </reference>
          <reference field="23" count="1">
            <x v="2"/>
          </reference>
        </references>
      </pivotArea>
    </format>
    <format dxfId="2547">
      <pivotArea dataOnly="0" labelOnly="1" outline="0" fieldPosition="0">
        <references count="5">
          <reference field="1" count="1" selected="0">
            <x v="7"/>
          </reference>
          <reference field="2" count="1" selected="0">
            <x v="4"/>
          </reference>
          <reference field="3" count="1" selected="0">
            <x v="14"/>
          </reference>
          <reference field="5" count="1" selected="0">
            <x v="5"/>
          </reference>
          <reference field="23" count="1">
            <x v="0"/>
          </reference>
        </references>
      </pivotArea>
    </format>
    <format dxfId="2546">
      <pivotArea dataOnly="0" labelOnly="1" outline="0" fieldPosition="0">
        <references count="5">
          <reference field="1" count="1" selected="0">
            <x v="7"/>
          </reference>
          <reference field="2" count="1" selected="0">
            <x v="5"/>
          </reference>
          <reference field="3" count="1" selected="0">
            <x v="14"/>
          </reference>
          <reference field="5" count="1" selected="0">
            <x v="7"/>
          </reference>
          <reference field="23" count="1">
            <x v="2"/>
          </reference>
        </references>
      </pivotArea>
    </format>
    <format dxfId="2545">
      <pivotArea dataOnly="0" labelOnly="1" outline="0" fieldPosition="0">
        <references count="5">
          <reference field="1" count="1" selected="0">
            <x v="7"/>
          </reference>
          <reference field="2" count="1" selected="0">
            <x v="4"/>
          </reference>
          <reference field="3" count="1" selected="0">
            <x v="17"/>
          </reference>
          <reference field="5" count="1" selected="0">
            <x v="5"/>
          </reference>
          <reference field="23" count="1">
            <x v="0"/>
          </reference>
        </references>
      </pivotArea>
    </format>
    <format dxfId="2544">
      <pivotArea dataOnly="0" labelOnly="1" outline="0" fieldPosition="0">
        <references count="5">
          <reference field="1" count="1" selected="0">
            <x v="8"/>
          </reference>
          <reference field="2" count="1" selected="0">
            <x v="3"/>
          </reference>
          <reference field="3" count="1" selected="0">
            <x v="7"/>
          </reference>
          <reference field="5" count="1" selected="0">
            <x v="3"/>
          </reference>
          <reference field="23" count="1">
            <x v="2"/>
          </reference>
        </references>
      </pivotArea>
    </format>
    <format dxfId="2543">
      <pivotArea dataOnly="0" labelOnly="1" outline="0" fieldPosition="0">
        <references count="5">
          <reference field="1" count="1" selected="0">
            <x v="9"/>
          </reference>
          <reference field="2" count="1" selected="0">
            <x v="5"/>
          </reference>
          <reference field="3" count="1" selected="0">
            <x v="7"/>
          </reference>
          <reference field="5" count="1" selected="0">
            <x v="1"/>
          </reference>
          <reference field="23" count="2">
            <x v="1"/>
            <x v="2"/>
          </reference>
        </references>
      </pivotArea>
    </format>
    <format dxfId="2542">
      <pivotArea dataOnly="0" labelOnly="1" outline="0" fieldPosition="0">
        <references count="5">
          <reference field="1" count="1" selected="0">
            <x v="9"/>
          </reference>
          <reference field="2" count="1" selected="0">
            <x v="5"/>
          </reference>
          <reference field="3" count="1" selected="0">
            <x v="7"/>
          </reference>
          <reference field="5" count="1" selected="0">
            <x v="6"/>
          </reference>
          <reference field="23" count="2">
            <x v="1"/>
            <x v="2"/>
          </reference>
        </references>
      </pivotArea>
    </format>
    <format dxfId="2541">
      <pivotArea dataOnly="0" labelOnly="1" outline="0" fieldPosition="0">
        <references count="5">
          <reference field="1" count="1" selected="0">
            <x v="10"/>
          </reference>
          <reference field="2" count="1" selected="0">
            <x v="10"/>
          </reference>
          <reference field="3" count="1" selected="0">
            <x v="4"/>
          </reference>
          <reference field="5" count="1" selected="0">
            <x v="5"/>
          </reference>
          <reference field="23" count="1">
            <x v="0"/>
          </reference>
        </references>
      </pivotArea>
    </format>
    <format dxfId="2540">
      <pivotArea dataOnly="0" labelOnly="1" outline="0" fieldPosition="0">
        <references count="5">
          <reference field="1" count="1" selected="0">
            <x v="12"/>
          </reference>
          <reference field="2" count="1" selected="0">
            <x v="5"/>
          </reference>
          <reference field="3" count="1" selected="0">
            <x v="0"/>
          </reference>
          <reference field="5" count="1" selected="0">
            <x v="1"/>
          </reference>
          <reference field="23" count="2">
            <x v="1"/>
            <x v="2"/>
          </reference>
        </references>
      </pivotArea>
    </format>
    <format dxfId="2539">
      <pivotArea dataOnly="0" labelOnly="1" outline="0" fieldPosition="0">
        <references count="5">
          <reference field="1" count="1" selected="0">
            <x v="12"/>
          </reference>
          <reference field="2" count="1" selected="0">
            <x v="5"/>
          </reference>
          <reference field="3" count="1" selected="0">
            <x v="7"/>
          </reference>
          <reference field="5" count="1" selected="0">
            <x v="1"/>
          </reference>
          <reference field="23" count="2">
            <x v="1"/>
            <x v="2"/>
          </reference>
        </references>
      </pivotArea>
    </format>
    <format dxfId="2538">
      <pivotArea dataOnly="0" labelOnly="1" outline="0" fieldPosition="0">
        <references count="5">
          <reference field="1" count="1" selected="0">
            <x v="12"/>
          </reference>
          <reference field="2" count="1" selected="0">
            <x v="5"/>
          </reference>
          <reference field="3" count="1" selected="0">
            <x v="7"/>
          </reference>
          <reference field="5" count="1" selected="0">
            <x v="6"/>
          </reference>
          <reference field="23" count="1">
            <x v="1"/>
          </reference>
        </references>
      </pivotArea>
    </format>
    <format dxfId="2537">
      <pivotArea dataOnly="0" labelOnly="1" outline="0" fieldPosition="0">
        <references count="5">
          <reference field="1" count="1" selected="0">
            <x v="12"/>
          </reference>
          <reference field="2" count="1" selected="0">
            <x v="6"/>
          </reference>
          <reference field="3" count="1" selected="0">
            <x v="7"/>
          </reference>
          <reference field="5" count="1" selected="0">
            <x v="0"/>
          </reference>
          <reference field="23" count="1">
            <x v="2"/>
          </reference>
        </references>
      </pivotArea>
    </format>
    <format dxfId="2536">
      <pivotArea dataOnly="0" labelOnly="1" outline="0" fieldPosition="0">
        <references count="5">
          <reference field="1" count="1" selected="0">
            <x v="12"/>
          </reference>
          <reference field="2" count="1" selected="0">
            <x v="5"/>
          </reference>
          <reference field="3" count="1" selected="0">
            <x v="14"/>
          </reference>
          <reference field="5" count="1" selected="0">
            <x v="1"/>
          </reference>
          <reference field="23" count="2">
            <x v="1"/>
            <x v="2"/>
          </reference>
        </references>
      </pivotArea>
    </format>
    <format dxfId="2535">
      <pivotArea dataOnly="0" labelOnly="1" outline="0" fieldPosition="0">
        <references count="5">
          <reference field="1" count="1" selected="0">
            <x v="13"/>
          </reference>
          <reference field="2" count="1" selected="0">
            <x v="10"/>
          </reference>
          <reference field="3" count="1" selected="0">
            <x v="4"/>
          </reference>
          <reference field="5" count="1" selected="0">
            <x v="5"/>
          </reference>
          <reference field="23" count="1">
            <x v="0"/>
          </reference>
        </references>
      </pivotArea>
    </format>
    <format dxfId="2534">
      <pivotArea dataOnly="0" labelOnly="1" outline="0" fieldPosition="0">
        <references count="5">
          <reference field="1" count="1" selected="0">
            <x v="15"/>
          </reference>
          <reference field="2" count="1" selected="0">
            <x v="5"/>
          </reference>
          <reference field="3" count="1" selected="0">
            <x v="5"/>
          </reference>
          <reference field="5" count="1" selected="0">
            <x v="2"/>
          </reference>
          <reference field="23" count="1">
            <x v="2"/>
          </reference>
        </references>
      </pivotArea>
    </format>
    <format dxfId="2533">
      <pivotArea dataOnly="0" labelOnly="1" outline="0" fieldPosition="0">
        <references count="5">
          <reference field="1" count="1" selected="0">
            <x v="17"/>
          </reference>
          <reference field="2" count="1" selected="0">
            <x v="4"/>
          </reference>
          <reference field="3" count="1" selected="0">
            <x v="0"/>
          </reference>
          <reference field="5" count="1" selected="0">
            <x v="5"/>
          </reference>
          <reference field="23" count="1">
            <x v="0"/>
          </reference>
        </references>
      </pivotArea>
    </format>
    <format dxfId="2532">
      <pivotArea dataOnly="0" labelOnly="1" outline="0" fieldPosition="0">
        <references count="5">
          <reference field="1" count="1" selected="0">
            <x v="17"/>
          </reference>
          <reference field="2" count="1" selected="0">
            <x v="5"/>
          </reference>
          <reference field="3" count="1" selected="0">
            <x v="7"/>
          </reference>
          <reference field="5" count="1" selected="0">
            <x v="6"/>
          </reference>
          <reference field="23" count="2">
            <x v="1"/>
            <x v="2"/>
          </reference>
        </references>
      </pivotArea>
    </format>
    <format dxfId="2531">
      <pivotArea dataOnly="0" labelOnly="1" outline="0" fieldPosition="0">
        <references count="5">
          <reference field="1" count="1" selected="0">
            <x v="19"/>
          </reference>
          <reference field="2" count="1" selected="0">
            <x v="3"/>
          </reference>
          <reference field="3" count="1" selected="0">
            <x v="1"/>
          </reference>
          <reference field="5" count="1" selected="0">
            <x v="1"/>
          </reference>
          <reference field="23" count="2">
            <x v="1"/>
            <x v="2"/>
          </reference>
        </references>
      </pivotArea>
    </format>
    <format dxfId="2530">
      <pivotArea dataOnly="0" labelOnly="1" outline="0" fieldPosition="0">
        <references count="5">
          <reference field="1" count="1" selected="0">
            <x v="19"/>
          </reference>
          <reference field="2" count="1" selected="0">
            <x v="6"/>
          </reference>
          <reference field="3" count="1" selected="0">
            <x v="15"/>
          </reference>
          <reference field="5" count="1" selected="0">
            <x v="5"/>
          </reference>
          <reference field="23" count="1">
            <x v="0"/>
          </reference>
        </references>
      </pivotArea>
    </format>
    <format dxfId="2529">
      <pivotArea dataOnly="0" labelOnly="1" outline="0" fieldPosition="0">
        <references count="5">
          <reference field="1" count="1" selected="0">
            <x v="20"/>
          </reference>
          <reference field="2" count="1" selected="0">
            <x v="10"/>
          </reference>
          <reference field="3" count="1" selected="0">
            <x v="1"/>
          </reference>
          <reference field="5" count="1" selected="0">
            <x v="7"/>
          </reference>
          <reference field="23" count="1">
            <x v="2"/>
          </reference>
        </references>
      </pivotArea>
    </format>
    <format dxfId="2528">
      <pivotArea dataOnly="0" labelOnly="1" outline="0" fieldPosition="0">
        <references count="5">
          <reference field="1" count="1" selected="0">
            <x v="21"/>
          </reference>
          <reference field="2" count="1" selected="0">
            <x v="5"/>
          </reference>
          <reference field="3" count="1" selected="0">
            <x v="0"/>
          </reference>
          <reference field="5" count="1" selected="0">
            <x v="5"/>
          </reference>
          <reference field="23" count="1">
            <x v="0"/>
          </reference>
        </references>
      </pivotArea>
    </format>
    <format dxfId="2527">
      <pivotArea dataOnly="0" labelOnly="1" outline="0" fieldPosition="0">
        <references count="5">
          <reference field="1" count="1" selected="0">
            <x v="21"/>
          </reference>
          <reference field="2" count="1" selected="0">
            <x v="6"/>
          </reference>
          <reference field="3" count="1" selected="0">
            <x v="0"/>
          </reference>
          <reference field="5" count="1" selected="0">
            <x v="7"/>
          </reference>
          <reference field="23" count="1">
            <x v="2"/>
          </reference>
        </references>
      </pivotArea>
    </format>
    <format dxfId="2526">
      <pivotArea dataOnly="0" labelOnly="1" outline="0" fieldPosition="0">
        <references count="5">
          <reference field="1" count="1" selected="0">
            <x v="21"/>
          </reference>
          <reference field="2" count="1" selected="0">
            <x v="5"/>
          </reference>
          <reference field="3" count="1" selected="0">
            <x v="7"/>
          </reference>
          <reference field="5" count="1" selected="0">
            <x v="5"/>
          </reference>
          <reference field="23" count="1">
            <x v="0"/>
          </reference>
        </references>
      </pivotArea>
    </format>
    <format dxfId="2525">
      <pivotArea dataOnly="0" labelOnly="1" outline="0" fieldPosition="0">
        <references count="5">
          <reference field="1" count="1" selected="0">
            <x v="21"/>
          </reference>
          <reference field="2" count="1" selected="0">
            <x v="6"/>
          </reference>
          <reference field="3" count="1" selected="0">
            <x v="7"/>
          </reference>
          <reference field="5" count="1" selected="0">
            <x v="7"/>
          </reference>
          <reference field="23" count="1">
            <x v="2"/>
          </reference>
        </references>
      </pivotArea>
    </format>
    <format dxfId="2524">
      <pivotArea dataOnly="0" labelOnly="1" outline="0" fieldPosition="0">
        <references count="5">
          <reference field="1" count="1" selected="0">
            <x v="21"/>
          </reference>
          <reference field="2" count="1" selected="0">
            <x v="5"/>
          </reference>
          <reference field="3" count="1" selected="0">
            <x v="12"/>
          </reference>
          <reference field="5" count="1" selected="0">
            <x v="5"/>
          </reference>
          <reference field="23" count="1">
            <x v="0"/>
          </reference>
        </references>
      </pivotArea>
    </format>
    <format dxfId="2523">
      <pivotArea dataOnly="0" labelOnly="1" outline="0" fieldPosition="0">
        <references count="5">
          <reference field="1" count="1" selected="0">
            <x v="21"/>
          </reference>
          <reference field="2" count="1" selected="0">
            <x v="6"/>
          </reference>
          <reference field="3" count="1" selected="0">
            <x v="12"/>
          </reference>
          <reference field="5" count="1" selected="0">
            <x v="7"/>
          </reference>
          <reference field="23" count="1">
            <x v="2"/>
          </reference>
        </references>
      </pivotArea>
    </format>
    <format dxfId="2522">
      <pivotArea dataOnly="0" labelOnly="1" outline="0" fieldPosition="0">
        <references count="5">
          <reference field="1" count="1" selected="0">
            <x v="21"/>
          </reference>
          <reference field="2" count="1" selected="0">
            <x v="5"/>
          </reference>
          <reference field="3" count="1" selected="0">
            <x v="19"/>
          </reference>
          <reference field="5" count="1" selected="0">
            <x v="5"/>
          </reference>
          <reference field="23" count="1">
            <x v="0"/>
          </reference>
        </references>
      </pivotArea>
    </format>
    <format dxfId="2521">
      <pivotArea dataOnly="0" labelOnly="1" outline="0" fieldPosition="0">
        <references count="5">
          <reference field="1" count="1" selected="0">
            <x v="22"/>
          </reference>
          <reference field="2" count="1" selected="0">
            <x v="8"/>
          </reference>
          <reference field="3" count="1" selected="0">
            <x v="7"/>
          </reference>
          <reference field="5" count="1" selected="0">
            <x v="7"/>
          </reference>
          <reference field="23" count="1">
            <x v="2"/>
          </reference>
        </references>
      </pivotArea>
    </format>
    <format dxfId="2520">
      <pivotArea dataOnly="0" labelOnly="1" outline="0" fieldPosition="0">
        <references count="5">
          <reference field="1" count="1" selected="0">
            <x v="25"/>
          </reference>
          <reference field="2" count="1" selected="0">
            <x v="10"/>
          </reference>
          <reference field="3" count="1" selected="0">
            <x v="4"/>
          </reference>
          <reference field="5" count="1" selected="0">
            <x v="5"/>
          </reference>
          <reference field="23" count="1">
            <x v="0"/>
          </reference>
        </references>
      </pivotArea>
    </format>
    <format dxfId="2519">
      <pivotArea dataOnly="0" labelOnly="1" outline="0" fieldPosition="0">
        <references count="5">
          <reference field="1" count="1" selected="0">
            <x v="27"/>
          </reference>
          <reference field="2" count="1" selected="0">
            <x v="10"/>
          </reference>
          <reference field="3" count="1" selected="0">
            <x v="8"/>
          </reference>
          <reference field="5" count="1" selected="0">
            <x v="4"/>
          </reference>
          <reference field="23" count="1">
            <x v="2"/>
          </reference>
        </references>
      </pivotArea>
    </format>
    <format dxfId="2518">
      <pivotArea dataOnly="0" labelOnly="1" outline="0" fieldPosition="0">
        <references count="5">
          <reference field="1" count="1" selected="0">
            <x v="29"/>
          </reference>
          <reference field="2" count="1" selected="0">
            <x v="2"/>
          </reference>
          <reference field="3" count="1" selected="0">
            <x v="10"/>
          </reference>
          <reference field="5" count="1" selected="0">
            <x v="5"/>
          </reference>
          <reference field="23" count="1">
            <x v="0"/>
          </reference>
        </references>
      </pivotArea>
    </format>
    <format dxfId="2517">
      <pivotArea dataOnly="0" labelOnly="1" outline="0" fieldPosition="0">
        <references count="5">
          <reference field="1" count="1" selected="0">
            <x v="29"/>
          </reference>
          <reference field="2" count="1" selected="0">
            <x v="2"/>
          </reference>
          <reference field="3" count="1" selected="0">
            <x v="18"/>
          </reference>
          <reference field="5" count="1" selected="0">
            <x v="0"/>
          </reference>
          <reference field="23" count="1">
            <x v="2"/>
          </reference>
        </references>
      </pivotArea>
    </format>
    <format dxfId="2516">
      <pivotArea dataOnly="0" labelOnly="1" outline="0" fieldPosition="0">
        <references count="5">
          <reference field="1" count="1" selected="0">
            <x v="29"/>
          </reference>
          <reference field="2" count="1" selected="0">
            <x v="2"/>
          </reference>
          <reference field="3" count="1" selected="0">
            <x v="18"/>
          </reference>
          <reference field="5" count="1" selected="0">
            <x v="8"/>
          </reference>
          <reference field="23" count="1">
            <x v="0"/>
          </reference>
        </references>
      </pivotArea>
    </format>
    <format dxfId="2515">
      <pivotArea dataOnly="0" labelOnly="1" outline="0" fieldPosition="0">
        <references count="5">
          <reference field="1" count="1" selected="0">
            <x v="29"/>
          </reference>
          <reference field="2" count="1" selected="0">
            <x v="2"/>
          </reference>
          <reference field="3" count="1" selected="0">
            <x v="18"/>
          </reference>
          <reference field="5" count="1" selected="0">
            <x v="12"/>
          </reference>
          <reference field="23" count="1">
            <x v="1"/>
          </reference>
        </references>
      </pivotArea>
    </format>
    <format dxfId="2514">
      <pivotArea dataOnly="0" labelOnly="1" outline="0" fieldPosition="0">
        <references count="5">
          <reference field="1" count="1" selected="0">
            <x v="29"/>
          </reference>
          <reference field="2" count="1" selected="0">
            <x v="16"/>
          </reference>
          <reference field="3" count="1" selected="0">
            <x v="18"/>
          </reference>
          <reference field="5" count="1" selected="0">
            <x v="0"/>
          </reference>
          <reference field="23" count="1">
            <x v="2"/>
          </reference>
        </references>
      </pivotArea>
    </format>
    <format dxfId="2513">
      <pivotArea dataOnly="0" labelOnly="1" outline="0" fieldPosition="0">
        <references count="5">
          <reference field="1" count="1" selected="0">
            <x v="29"/>
          </reference>
          <reference field="2" count="1" selected="0">
            <x v="16"/>
          </reference>
          <reference field="3" count="1" selected="0">
            <x v="18"/>
          </reference>
          <reference field="5" count="1" selected="0">
            <x v="12"/>
          </reference>
          <reference field="23" count="1">
            <x v="1"/>
          </reference>
        </references>
      </pivotArea>
    </format>
    <format dxfId="2512">
      <pivotArea dataOnly="0" labelOnly="1" outline="0" fieldPosition="0">
        <references count="5">
          <reference field="1" count="1" selected="0">
            <x v="30"/>
          </reference>
          <reference field="2" count="1" selected="0">
            <x v="0"/>
          </reference>
          <reference field="3" count="1" selected="0">
            <x v="8"/>
          </reference>
          <reference field="5" count="1" selected="0">
            <x v="8"/>
          </reference>
          <reference field="23" count="1">
            <x v="0"/>
          </reference>
        </references>
      </pivotArea>
    </format>
    <format dxfId="2511">
      <pivotArea dataOnly="0" labelOnly="1" outline="0" fieldPosition="0">
        <references count="5">
          <reference field="1" count="1" selected="0">
            <x v="30"/>
          </reference>
          <reference field="2" count="1" selected="0">
            <x v="0"/>
          </reference>
          <reference field="3" count="1" selected="0">
            <x v="8"/>
          </reference>
          <reference field="5" count="1" selected="0">
            <x v="11"/>
          </reference>
          <reference field="23" count="1">
            <x v="3"/>
          </reference>
        </references>
      </pivotArea>
    </format>
    <format dxfId="2510">
      <pivotArea dataOnly="0" labelOnly="1" outline="0" fieldPosition="0">
        <references count="5">
          <reference field="1" count="1" selected="0">
            <x v="30"/>
          </reference>
          <reference field="2" count="1" selected="0">
            <x v="14"/>
          </reference>
          <reference field="3" count="1" selected="0">
            <x v="22"/>
          </reference>
          <reference field="5" count="1" selected="0">
            <x v="10"/>
          </reference>
          <reference field="23" count="1">
            <x v="0"/>
          </reference>
        </references>
      </pivotArea>
    </format>
    <format dxfId="2509">
      <pivotArea dataOnly="0" labelOnly="1" outline="0" fieldPosition="0">
        <references count="5">
          <reference field="1" count="1" selected="0">
            <x v="32"/>
          </reference>
          <reference field="2" count="1" selected="0">
            <x v="0"/>
          </reference>
          <reference field="3" count="1" selected="0">
            <x v="8"/>
          </reference>
          <reference field="5" count="1" selected="0">
            <x v="11"/>
          </reference>
          <reference field="23" count="1">
            <x v="3"/>
          </reference>
        </references>
      </pivotArea>
    </format>
    <format dxfId="2508">
      <pivotArea dataOnly="0" labelOnly="1" outline="0" fieldPosition="0">
        <references count="5">
          <reference field="1" count="1" selected="0">
            <x v="32"/>
          </reference>
          <reference field="2" count="1" selected="0">
            <x v="0"/>
          </reference>
          <reference field="3" count="1" selected="0">
            <x v="8"/>
          </reference>
          <reference field="5" count="1" selected="0">
            <x v="12"/>
          </reference>
          <reference field="23" count="1">
            <x v="2"/>
          </reference>
        </references>
      </pivotArea>
    </format>
    <format dxfId="2507">
      <pivotArea dataOnly="0" labelOnly="1" outline="0" fieldPosition="0">
        <references count="5">
          <reference field="1" count="1" selected="0">
            <x v="32"/>
          </reference>
          <reference field="2" count="1" selected="0">
            <x v="14"/>
          </reference>
          <reference field="3" count="1" selected="0">
            <x v="8"/>
          </reference>
          <reference field="5" count="1" selected="0">
            <x v="11"/>
          </reference>
          <reference field="23" count="1">
            <x v="3"/>
          </reference>
        </references>
      </pivotArea>
    </format>
    <format dxfId="2506">
      <pivotArea dataOnly="0" labelOnly="1" outline="0" fieldPosition="0">
        <references count="5">
          <reference field="1" count="1" selected="0">
            <x v="32"/>
          </reference>
          <reference field="2" count="1" selected="0">
            <x v="0"/>
          </reference>
          <reference field="3" count="1" selected="0">
            <x v="23"/>
          </reference>
          <reference field="5" count="1" selected="0">
            <x v="8"/>
          </reference>
          <reference field="23" count="1">
            <x v="0"/>
          </reference>
        </references>
      </pivotArea>
    </format>
    <format dxfId="2505">
      <pivotArea dataOnly="0" labelOnly="1" outline="0" fieldPosition="0">
        <references count="5">
          <reference field="1" count="1" selected="0">
            <x v="35"/>
          </reference>
          <reference field="2" count="1" selected="0">
            <x v="13"/>
          </reference>
          <reference field="3" count="1" selected="0">
            <x v="15"/>
          </reference>
          <reference field="5" count="1" selected="0">
            <x v="9"/>
          </reference>
          <reference field="23" count="1">
            <x v="4"/>
          </reference>
        </references>
      </pivotArea>
    </format>
    <format dxfId="2504">
      <pivotArea dataOnly="0" labelOnly="1" outline="0" fieldPosition="0">
        <references count="5">
          <reference field="1" count="1" selected="0">
            <x v="36"/>
          </reference>
          <reference field="2" count="1" selected="0">
            <x v="0"/>
          </reference>
          <reference field="3" count="1" selected="0">
            <x v="8"/>
          </reference>
          <reference field="5" count="1" selected="0">
            <x v="10"/>
          </reference>
          <reference field="23" count="1">
            <x v="0"/>
          </reference>
        </references>
      </pivotArea>
    </format>
    <format dxfId="2503">
      <pivotArea dataOnly="0" labelOnly="1" outline="0" fieldPosition="0">
        <references count="5">
          <reference field="1" count="1" selected="0">
            <x v="37"/>
          </reference>
          <reference field="2" count="1" selected="0">
            <x v="10"/>
          </reference>
          <reference field="3" count="1" selected="0">
            <x v="2"/>
          </reference>
          <reference field="5" count="1" selected="0">
            <x v="0"/>
          </reference>
          <reference field="23" count="1">
            <x v="2"/>
          </reference>
        </references>
      </pivotArea>
    </format>
    <format dxfId="2502">
      <pivotArea dataOnly="0" labelOnly="1" outline="0" fieldPosition="0">
        <references count="5">
          <reference field="1" count="1" selected="0">
            <x v="38"/>
          </reference>
          <reference field="2" count="1" selected="0">
            <x v="3"/>
          </reference>
          <reference field="3" count="1" selected="0">
            <x v="22"/>
          </reference>
          <reference field="5" count="1" selected="0">
            <x v="12"/>
          </reference>
          <reference field="23" count="1">
            <x v="1"/>
          </reference>
        </references>
      </pivotArea>
    </format>
    <format dxfId="2501">
      <pivotArea dataOnly="0" labelOnly="1" outline="0" fieldPosition="0">
        <references count="5">
          <reference field="1" count="1" selected="0">
            <x v="38"/>
          </reference>
          <reference field="2" count="1" selected="0">
            <x v="5"/>
          </reference>
          <reference field="3" count="1" selected="0">
            <x v="22"/>
          </reference>
          <reference field="5" count="1" selected="0">
            <x v="4"/>
          </reference>
          <reference field="23" count="1">
            <x v="2"/>
          </reference>
        </references>
      </pivotArea>
    </format>
    <format dxfId="2500">
      <pivotArea dataOnly="0" labelOnly="1" outline="0" fieldPosition="0">
        <references count="5">
          <reference field="1" count="1" selected="0">
            <x v="38"/>
          </reference>
          <reference field="2" count="1" selected="0">
            <x v="6"/>
          </reference>
          <reference field="3" count="1" selected="0">
            <x v="22"/>
          </reference>
          <reference field="5" count="1" selected="0">
            <x v="12"/>
          </reference>
          <reference field="23" count="1">
            <x v="1"/>
          </reference>
        </references>
      </pivotArea>
    </format>
    <format dxfId="2499">
      <pivotArea dataOnly="0" labelOnly="1" outline="0" fieldPosition="0">
        <references count="5">
          <reference field="1" count="1" selected="0">
            <x v="39"/>
          </reference>
          <reference field="2" count="1" selected="0">
            <x v="6"/>
          </reference>
          <reference field="3" count="1" selected="0">
            <x v="7"/>
          </reference>
          <reference field="5" count="1" selected="0">
            <x v="7"/>
          </reference>
          <reference field="23" count="1">
            <x v="2"/>
          </reference>
        </references>
      </pivotArea>
    </format>
    <format dxfId="2498">
      <pivotArea dataOnly="0" labelOnly="1" outline="0" fieldPosition="0">
        <references count="5">
          <reference field="1" count="1" selected="0">
            <x v="41"/>
          </reference>
          <reference field="2" count="1" selected="0">
            <x v="0"/>
          </reference>
          <reference field="3" count="1" selected="0">
            <x v="0"/>
          </reference>
          <reference field="5" count="1" selected="0">
            <x v="8"/>
          </reference>
          <reference field="23" count="1">
            <x v="0"/>
          </reference>
        </references>
      </pivotArea>
    </format>
    <format dxfId="2497">
      <pivotArea dataOnly="0" labelOnly="1" outline="0" fieldPosition="0">
        <references count="5">
          <reference field="1" count="1" selected="0">
            <x v="43"/>
          </reference>
          <reference field="2" count="1" selected="0">
            <x v="6"/>
          </reference>
          <reference field="3" count="1" selected="0">
            <x v="5"/>
          </reference>
          <reference field="5" count="1" selected="0">
            <x v="6"/>
          </reference>
          <reference field="23" count="1">
            <x v="2"/>
          </reference>
        </references>
      </pivotArea>
    </format>
    <format dxfId="2496">
      <pivotArea dataOnly="0" labelOnly="1" outline="0" fieldPosition="0">
        <references count="5">
          <reference field="1" count="1" selected="0">
            <x v="46"/>
          </reference>
          <reference field="2" count="1" selected="0">
            <x v="6"/>
          </reference>
          <reference field="3" count="1" selected="0">
            <x v="7"/>
          </reference>
          <reference field="5" count="1" selected="0">
            <x v="1"/>
          </reference>
          <reference field="23" count="2">
            <x v="1"/>
            <x v="2"/>
          </reference>
        </references>
      </pivotArea>
    </format>
    <format dxfId="2495">
      <pivotArea dataOnly="0" labelOnly="1" outline="0" fieldPosition="0">
        <references count="5">
          <reference field="1" count="1" selected="0">
            <x v="47"/>
          </reference>
          <reference field="2" count="1" selected="0">
            <x v="10"/>
          </reference>
          <reference field="3" count="1" selected="0">
            <x v="4"/>
          </reference>
          <reference field="5" count="1" selected="0">
            <x v="5"/>
          </reference>
          <reference field="23" count="1">
            <x v="0"/>
          </reference>
        </references>
      </pivotArea>
    </format>
    <format dxfId="2494">
      <pivotArea dataOnly="0" labelOnly="1" outline="0" fieldPosition="0">
        <references count="5">
          <reference field="1" count="1" selected="0">
            <x v="49"/>
          </reference>
          <reference field="2" count="1" selected="0">
            <x v="5"/>
          </reference>
          <reference field="3" count="1" selected="0">
            <x v="7"/>
          </reference>
          <reference field="5" count="1" selected="0">
            <x v="7"/>
          </reference>
          <reference field="23" count="1">
            <x v="2"/>
          </reference>
        </references>
      </pivotArea>
    </format>
    <format dxfId="2493">
      <pivotArea field="13" type="button" dataOnly="0" labelOnly="1" outline="0" axis="axisRow" fieldPosition="6"/>
    </format>
    <format dxfId="2492">
      <pivotArea field="22" type="button" dataOnly="0" labelOnly="1" outline="0" axis="axisRow" fieldPosition="7"/>
    </format>
    <format dxfId="2491">
      <pivotArea dataOnly="0" labelOnly="1" outline="0" fieldPosition="0">
        <references count="7">
          <reference field="1" count="1" selected="0">
            <x v="0"/>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40"/>
          </reference>
        </references>
      </pivotArea>
    </format>
    <format dxfId="2490">
      <pivotArea dataOnly="0" labelOnly="1" outline="0" fieldPosition="0">
        <references count="7">
          <reference field="1" count="1" selected="0">
            <x v="0"/>
          </reference>
          <reference field="2" count="1" selected="0">
            <x v="6"/>
          </reference>
          <reference field="3" count="1" selected="0">
            <x v="0"/>
          </reference>
          <reference field="5" count="1" selected="0">
            <x v="3"/>
          </reference>
          <reference field="13" count="1">
            <x v="1"/>
          </reference>
          <reference field="23" count="1" selected="0">
            <x v="2"/>
          </reference>
          <reference field="72" count="1" selected="0">
            <x v="20"/>
          </reference>
        </references>
      </pivotArea>
    </format>
    <format dxfId="2489">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2488">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5"/>
          </reference>
          <reference field="23" count="1" selected="0">
            <x v="2"/>
          </reference>
          <reference field="72" count="1" selected="0">
            <x v="12"/>
          </reference>
        </references>
      </pivotArea>
    </format>
    <format dxfId="2487">
      <pivotArea dataOnly="0" labelOnly="1" outline="0" fieldPosition="0">
        <references count="7">
          <reference field="1" count="1" selected="0">
            <x v="0"/>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56"/>
          </reference>
        </references>
      </pivotArea>
    </format>
    <format dxfId="2486">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2485">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5"/>
          </reference>
          <reference field="23" count="1" selected="0">
            <x v="2"/>
          </reference>
          <reference field="72" count="1" selected="0">
            <x v="10"/>
          </reference>
        </references>
      </pivotArea>
    </format>
    <format dxfId="2484">
      <pivotArea dataOnly="0" labelOnly="1" outline="0" fieldPosition="0">
        <references count="7">
          <reference field="1" count="1" selected="0">
            <x v="0"/>
          </reference>
          <reference field="2" count="1" selected="0">
            <x v="10"/>
          </reference>
          <reference field="3" count="1" selected="0">
            <x v="3"/>
          </reference>
          <reference field="5" count="1" selected="0">
            <x v="5"/>
          </reference>
          <reference field="13" count="1">
            <x v="2"/>
          </reference>
          <reference field="23" count="1" selected="0">
            <x v="0"/>
          </reference>
          <reference field="72" count="1" selected="0">
            <x v="121"/>
          </reference>
        </references>
      </pivotArea>
    </format>
    <format dxfId="2483">
      <pivotArea dataOnly="0" labelOnly="1" outline="0" fieldPosition="0">
        <references count="7">
          <reference field="1" count="1" selected="0">
            <x v="0"/>
          </reference>
          <reference field="2" count="1" selected="0">
            <x v="10"/>
          </reference>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2482">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2481">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2480">
      <pivotArea dataOnly="0" labelOnly="1" outline="0" fieldPosition="0">
        <references count="7">
          <reference field="1" count="1" selected="0">
            <x v="0"/>
          </reference>
          <reference field="2" count="1" selected="0">
            <x v="10"/>
          </reference>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2479">
      <pivotArea dataOnly="0" labelOnly="1" outline="0" fieldPosition="0">
        <references count="7">
          <reference field="1" count="1" selected="0">
            <x v="0"/>
          </reference>
          <reference field="2" count="1" selected="0">
            <x v="10"/>
          </reference>
          <reference field="3" count="1" selected="0">
            <x v="5"/>
          </reference>
          <reference field="5" count="1" selected="0">
            <x v="5"/>
          </reference>
          <reference field="13" count="1">
            <x v="2"/>
          </reference>
          <reference field="23" count="1" selected="0">
            <x v="0"/>
          </reference>
          <reference field="72" count="1" selected="0">
            <x v="121"/>
          </reference>
        </references>
      </pivotArea>
    </format>
    <format dxfId="2478">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2477">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2476">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2475">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2474">
      <pivotArea dataOnly="0" labelOnly="1" outline="0" fieldPosition="0">
        <references count="7">
          <reference field="1" count="1" selected="0">
            <x v="0"/>
          </reference>
          <reference field="2" count="1" selected="0">
            <x v="6"/>
          </reference>
          <reference field="3" count="1" selected="0">
            <x v="7"/>
          </reference>
          <reference field="5" count="1" selected="0">
            <x v="3"/>
          </reference>
          <reference field="13" count="1">
            <x v="1"/>
          </reference>
          <reference field="23" count="1" selected="0">
            <x v="2"/>
          </reference>
          <reference field="72" count="1" selected="0">
            <x v="44"/>
          </reference>
        </references>
      </pivotArea>
    </format>
    <format dxfId="2473">
      <pivotArea dataOnly="0" labelOnly="1" outline="0" fieldPosition="0">
        <references count="7">
          <reference field="1" count="1" selected="0">
            <x v="0"/>
          </reference>
          <reference field="2" count="1" selected="0">
            <x v="6"/>
          </reference>
          <reference field="3" count="1" selected="0">
            <x v="7"/>
          </reference>
          <reference field="5" count="1" selected="0">
            <x v="5"/>
          </reference>
          <reference field="13" count="1">
            <x v="2"/>
          </reference>
          <reference field="23" count="1" selected="0">
            <x v="0"/>
          </reference>
          <reference field="72" count="1" selected="0">
            <x v="121"/>
          </reference>
        </references>
      </pivotArea>
    </format>
    <format dxfId="2472">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86"/>
          </reference>
        </references>
      </pivotArea>
    </format>
    <format dxfId="2471">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12"/>
          </reference>
        </references>
      </pivotArea>
    </format>
    <format dxfId="2470">
      <pivotArea dataOnly="0" labelOnly="1" outline="0" fieldPosition="0">
        <references count="7">
          <reference field="1" count="1" selected="0">
            <x v="0"/>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56"/>
          </reference>
        </references>
      </pivotArea>
    </format>
    <format dxfId="2469">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2468">
      <pivotArea dataOnly="0" labelOnly="1" outline="0" fieldPosition="0">
        <references count="7">
          <reference field="1" count="1" selected="0">
            <x v="0"/>
          </reference>
          <reference field="2" count="1" selected="0">
            <x v="10"/>
          </reference>
          <reference field="3" count="1" selected="0">
            <x v="7"/>
          </reference>
          <reference field="5" count="1" selected="0">
            <x v="2"/>
          </reference>
          <reference field="13" count="1">
            <x v="2"/>
          </reference>
          <reference field="23" count="1" selected="0">
            <x v="2"/>
          </reference>
          <reference field="72" count="1" selected="0">
            <x v="40"/>
          </reference>
        </references>
      </pivotArea>
    </format>
    <format dxfId="2467">
      <pivotArea dataOnly="0" labelOnly="1" outline="0" fieldPosition="0">
        <references count="7">
          <reference field="1" count="1" selected="0">
            <x v="0"/>
          </reference>
          <reference field="2" count="1" selected="0">
            <x v="10"/>
          </reference>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2466">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2465">
      <pivotArea dataOnly="0" labelOnly="1" outline="0" fieldPosition="0">
        <references count="7">
          <reference field="1" count="1" selected="0">
            <x v="0"/>
          </reference>
          <reference field="2" count="1" selected="0">
            <x v="6"/>
          </reference>
          <reference field="3" count="1" selected="0">
            <x v="12"/>
          </reference>
          <reference field="5" count="1" selected="0">
            <x v="5"/>
          </reference>
          <reference field="13" count="1">
            <x v="2"/>
          </reference>
          <reference field="23" count="1" selected="0">
            <x v="0"/>
          </reference>
          <reference field="72" count="1" selected="0">
            <x v="121"/>
          </reference>
        </references>
      </pivotArea>
    </format>
    <format dxfId="2464">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86"/>
          </reference>
        </references>
      </pivotArea>
    </format>
    <format dxfId="2463">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5"/>
          </reference>
          <reference field="23" count="1" selected="0">
            <x v="2"/>
          </reference>
          <reference field="72" count="1" selected="0">
            <x v="12"/>
          </reference>
        </references>
      </pivotArea>
    </format>
    <format dxfId="2462">
      <pivotArea dataOnly="0" labelOnly="1" outline="0" fieldPosition="0">
        <references count="7">
          <reference field="1" count="1" selected="0">
            <x v="0"/>
          </reference>
          <reference field="2" count="1" selected="0">
            <x v="6"/>
          </reference>
          <reference field="3" count="1" selected="0">
            <x v="14"/>
          </reference>
          <reference field="5" count="1" selected="0">
            <x v="3"/>
          </reference>
          <reference field="13" count="1">
            <x v="1"/>
          </reference>
          <reference field="23" count="1" selected="0">
            <x v="2"/>
          </reference>
          <reference field="72" count="1" selected="0">
            <x v="49"/>
          </reference>
        </references>
      </pivotArea>
    </format>
    <format dxfId="2461">
      <pivotArea dataOnly="0" labelOnly="1" outline="0" fieldPosition="0">
        <references count="7">
          <reference field="1" count="1" selected="0">
            <x v="0"/>
          </reference>
          <reference field="2" count="1" selected="0">
            <x v="6"/>
          </reference>
          <reference field="3" count="1" selected="0">
            <x v="14"/>
          </reference>
          <reference field="5" count="1" selected="0">
            <x v="5"/>
          </reference>
          <reference field="13" count="1">
            <x v="2"/>
          </reference>
          <reference field="23" count="1" selected="0">
            <x v="0"/>
          </reference>
          <reference field="72" count="1" selected="0">
            <x v="121"/>
          </reference>
        </references>
      </pivotArea>
    </format>
    <format dxfId="2460">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2459">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5"/>
          </reference>
          <reference field="23" count="1" selected="0">
            <x v="2"/>
          </reference>
          <reference field="72" count="1" selected="0">
            <x v="12"/>
          </reference>
        </references>
      </pivotArea>
    </format>
    <format dxfId="2458">
      <pivotArea dataOnly="0" labelOnly="1" outline="0" fieldPosition="0">
        <references count="7">
          <reference field="1" count="1" selected="0">
            <x v="0"/>
          </reference>
          <reference field="2" count="1" selected="0">
            <x v="6"/>
          </reference>
          <reference field="3" count="1" selected="0">
            <x v="14"/>
          </reference>
          <reference field="5" count="1" selected="0">
            <x v="7"/>
          </reference>
          <reference field="13" count="1">
            <x v="0"/>
          </reference>
          <reference field="23" count="1" selected="0">
            <x v="2"/>
          </reference>
          <reference field="72" count="1" selected="0">
            <x v="56"/>
          </reference>
        </references>
      </pivotArea>
    </format>
    <format dxfId="2457">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2456">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5"/>
          </reference>
          <reference field="23" count="1" selected="0">
            <x v="2"/>
          </reference>
          <reference field="72" count="1" selected="0">
            <x v="10"/>
          </reference>
        </references>
      </pivotArea>
    </format>
    <format dxfId="2455">
      <pivotArea dataOnly="0" labelOnly="1" outline="0" fieldPosition="0">
        <references count="7">
          <reference field="1" count="1" selected="0">
            <x v="0"/>
          </reference>
          <reference field="2" count="1" selected="0">
            <x v="10"/>
          </reference>
          <reference field="3" count="1" selected="0">
            <x v="17"/>
          </reference>
          <reference field="5" count="1" selected="0">
            <x v="3"/>
          </reference>
          <reference field="13" count="1">
            <x v="1"/>
          </reference>
          <reference field="23" count="1" selected="0">
            <x v="2"/>
          </reference>
          <reference field="72" count="1" selected="0">
            <x v="20"/>
          </reference>
        </references>
      </pivotArea>
    </format>
    <format dxfId="2454">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1" selected="0">
            <x v="1"/>
          </reference>
          <reference field="72" count="1" selected="0">
            <x v="114"/>
          </reference>
        </references>
      </pivotArea>
    </format>
    <format dxfId="2453">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14"/>
          </reference>
        </references>
      </pivotArea>
    </format>
    <format dxfId="2452">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7"/>
          </reference>
        </references>
      </pivotArea>
    </format>
    <format dxfId="2451">
      <pivotArea dataOnly="0" labelOnly="1" outline="0" fieldPosition="0">
        <references count="7">
          <reference field="1" count="1" selected="0">
            <x v="1"/>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3"/>
          </reference>
        </references>
      </pivotArea>
    </format>
    <format dxfId="2450">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7"/>
          </reference>
        </references>
      </pivotArea>
    </format>
    <format dxfId="2449">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8"/>
          </reference>
        </references>
      </pivotArea>
    </format>
    <format dxfId="2448">
      <pivotArea dataOnly="0" labelOnly="1" outline="0" fieldPosition="0">
        <references count="7">
          <reference field="1" count="1" selected="0">
            <x v="1"/>
          </reference>
          <reference field="2" count="1" selected="0">
            <x v="3"/>
          </reference>
          <reference field="3" count="1" selected="0">
            <x v="7"/>
          </reference>
          <reference field="5" count="1" selected="0">
            <x v="12"/>
          </reference>
          <reference field="13" count="1">
            <x v="4"/>
          </reference>
          <reference field="23" count="1" selected="0">
            <x v="1"/>
          </reference>
          <reference field="72" count="1" selected="0">
            <x v="190"/>
          </reference>
        </references>
      </pivotArea>
    </format>
    <format dxfId="2447">
      <pivotArea dataOnly="0" labelOnly="1" outline="0" fieldPosition="0">
        <references count="7">
          <reference field="1" count="1" selected="0">
            <x v="1"/>
          </reference>
          <reference field="2" count="1" selected="0">
            <x v="3"/>
          </reference>
          <reference field="3" count="1" selected="0">
            <x v="14"/>
          </reference>
          <reference field="5" count="1" selected="0">
            <x v="3"/>
          </reference>
          <reference field="13" count="1">
            <x v="1"/>
          </reference>
          <reference field="23" count="1" selected="0">
            <x v="2"/>
          </reference>
          <reference field="72" count="1" selected="0">
            <x v="33"/>
          </reference>
        </references>
      </pivotArea>
    </format>
    <format dxfId="2446">
      <pivotArea dataOnly="0" labelOnly="1" outline="0" fieldPosition="0">
        <references count="7">
          <reference field="1" count="1" selected="0">
            <x v="1"/>
          </reference>
          <reference field="2" count="1" selected="0">
            <x v="3"/>
          </reference>
          <reference field="3" count="1" selected="0">
            <x v="14"/>
          </reference>
          <reference field="5" count="1" selected="0">
            <x v="6"/>
          </reference>
          <reference field="13" count="1">
            <x v="4"/>
          </reference>
          <reference field="23" count="1" selected="0">
            <x v="1"/>
          </reference>
          <reference field="72" count="1" selected="0">
            <x v="187"/>
          </reference>
        </references>
      </pivotArea>
    </format>
    <format dxfId="2445">
      <pivotArea dataOnly="0" labelOnly="1" outline="0" fieldPosition="0">
        <references count="7">
          <reference field="1" count="1" selected="0">
            <x v="2"/>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51"/>
          </reference>
        </references>
      </pivotArea>
    </format>
    <format dxfId="2444">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0"/>
          </reference>
        </references>
      </pivotArea>
    </format>
    <format dxfId="2443">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2442">
      <pivotArea dataOnly="0" labelOnly="1" outline="0" fieldPosition="0">
        <references count="7">
          <reference field="1" count="1" selected="0">
            <x v="2"/>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44"/>
          </reference>
        </references>
      </pivotArea>
    </format>
    <format dxfId="2441">
      <pivotArea dataOnly="0" labelOnly="1" outline="0" fieldPosition="0">
        <references count="7">
          <reference field="1" count="1" selected="0">
            <x v="2"/>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6"/>
          </reference>
        </references>
      </pivotArea>
    </format>
    <format dxfId="2440">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9"/>
          </reference>
        </references>
      </pivotArea>
    </format>
    <format dxfId="2439">
      <pivotArea dataOnly="0" labelOnly="1" outline="0" fieldPosition="0">
        <references count="7">
          <reference field="1" count="1" selected="0">
            <x v="3"/>
          </reference>
          <reference field="2" count="1" selected="0">
            <x v="3"/>
          </reference>
          <reference field="3" count="1" selected="0">
            <x v="0"/>
          </reference>
          <reference field="5" count="1" selected="0">
            <x v="1"/>
          </reference>
          <reference field="13" count="1">
            <x v="5"/>
          </reference>
          <reference field="23" count="1" selected="0">
            <x v="2"/>
          </reference>
          <reference field="72" count="1" selected="0">
            <x v="5"/>
          </reference>
        </references>
      </pivotArea>
    </format>
    <format dxfId="2438">
      <pivotArea dataOnly="0" labelOnly="1" outline="0" fieldPosition="0">
        <references count="7">
          <reference field="1" count="1" selected="0">
            <x v="3"/>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86"/>
          </reference>
        </references>
      </pivotArea>
    </format>
    <format dxfId="2437">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64"/>
          </reference>
        </references>
      </pivotArea>
    </format>
    <format dxfId="2436">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5"/>
          </reference>
        </references>
      </pivotArea>
    </format>
    <format dxfId="2435">
      <pivotArea dataOnly="0" labelOnly="1" outline="0" fieldPosition="0">
        <references count="7">
          <reference field="1" count="1" selected="0">
            <x v="3"/>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59"/>
          </reference>
        </references>
      </pivotArea>
    </format>
    <format dxfId="2434">
      <pivotArea dataOnly="0" labelOnly="1" outline="0" fieldPosition="0">
        <references count="7">
          <reference field="1" count="1" selected="0">
            <x v="3"/>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70"/>
          </reference>
        </references>
      </pivotArea>
    </format>
    <format dxfId="2433">
      <pivotArea dataOnly="0" labelOnly="1" outline="0" fieldPosition="0">
        <references count="7">
          <reference field="1" count="1" selected="0">
            <x v="3"/>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15"/>
          </reference>
        </references>
      </pivotArea>
    </format>
    <format dxfId="2432">
      <pivotArea dataOnly="0" labelOnly="1" outline="0" fieldPosition="0">
        <references count="7">
          <reference field="1" count="1" selected="0">
            <x v="4"/>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70"/>
          </reference>
        </references>
      </pivotArea>
    </format>
    <format dxfId="2431">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2"/>
          </reference>
        </references>
      </pivotArea>
    </format>
    <format dxfId="2430">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2429">
      <pivotArea dataOnly="0" labelOnly="1" outline="0" fieldPosition="0">
        <references count="7">
          <reference field="1" count="1" selected="0">
            <x v="4"/>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56"/>
          </reference>
        </references>
      </pivotArea>
    </format>
    <format dxfId="2428">
      <pivotArea dataOnly="0" labelOnly="1" outline="0" fieldPosition="0">
        <references count="7">
          <reference field="1" count="1" selected="0">
            <x v="4"/>
          </reference>
          <reference field="2" count="1" selected="0">
            <x v="3"/>
          </reference>
          <reference field="3" count="1" selected="0">
            <x v="7"/>
          </reference>
          <reference field="5" count="1" selected="0">
            <x v="4"/>
          </reference>
          <reference field="13" count="1">
            <x v="2"/>
          </reference>
          <reference field="23" count="1" selected="0">
            <x v="2"/>
          </reference>
          <reference field="72" count="1" selected="0">
            <x v="28"/>
          </reference>
        </references>
      </pivotArea>
    </format>
    <format dxfId="2427">
      <pivotArea dataOnly="0" labelOnly="1" outline="0" fieldPosition="0">
        <references count="7">
          <reference field="1" count="1" selected="0">
            <x v="4"/>
          </reference>
          <reference field="2" count="1" selected="0">
            <x v="3"/>
          </reference>
          <reference field="3" count="1" selected="0">
            <x v="12"/>
          </reference>
          <reference field="5" count="1" selected="0">
            <x v="3"/>
          </reference>
          <reference field="13" count="1">
            <x v="1"/>
          </reference>
          <reference field="23" count="1" selected="0">
            <x v="2"/>
          </reference>
          <reference field="72" count="1" selected="0">
            <x v="56"/>
          </reference>
        </references>
      </pivotArea>
    </format>
    <format dxfId="2426">
      <pivotArea dataOnly="0" labelOnly="1" outline="0" fieldPosition="0">
        <references count="7">
          <reference field="1" count="1" selected="0">
            <x v="5"/>
          </reference>
          <reference field="2" count="1" selected="0">
            <x v="8"/>
          </reference>
          <reference field="3" count="1" selected="0">
            <x v="5"/>
          </reference>
          <reference field="5" count="1" selected="0">
            <x v="6"/>
          </reference>
          <reference field="13" count="1">
            <x v="5"/>
          </reference>
          <reference field="23" count="1" selected="0">
            <x v="2"/>
          </reference>
          <reference field="72" count="1" selected="0">
            <x v="7"/>
          </reference>
        </references>
      </pivotArea>
    </format>
    <format dxfId="2425">
      <pivotArea dataOnly="0" labelOnly="1" outline="0" fieldPosition="0">
        <references count="7">
          <reference field="1" count="1" selected="0">
            <x v="6"/>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9"/>
          </reference>
        </references>
      </pivotArea>
    </format>
    <format dxfId="2424">
      <pivotArea dataOnly="0" labelOnly="1" outline="0" fieldPosition="0">
        <references count="7">
          <reference field="1" count="1" selected="0">
            <x v="7"/>
          </reference>
          <reference field="2" count="1" selected="0">
            <x v="4"/>
          </reference>
          <reference field="3" count="1" selected="0">
            <x v="0"/>
          </reference>
          <reference field="5" count="1" selected="0">
            <x v="5"/>
          </reference>
          <reference field="13" count="1">
            <x v="2"/>
          </reference>
          <reference field="23" count="1" selected="0">
            <x v="0"/>
          </reference>
          <reference field="72" count="1" selected="0">
            <x v="128"/>
          </reference>
        </references>
      </pivotArea>
    </format>
    <format dxfId="2423">
      <pivotArea dataOnly="0" labelOnly="1" outline="0" fieldPosition="0">
        <references count="7">
          <reference field="1" count="1" selected="0">
            <x v="7"/>
          </reference>
          <reference field="2" count="1" selected="0">
            <x v="5"/>
          </reference>
          <reference field="3" count="1" selected="0">
            <x v="0"/>
          </reference>
          <reference field="5" count="1" selected="0">
            <x v="7"/>
          </reference>
          <reference field="13" count="1">
            <x v="0"/>
          </reference>
          <reference field="23" count="1" selected="0">
            <x v="2"/>
          </reference>
          <reference field="72" count="1" selected="0">
            <x v="75"/>
          </reference>
        </references>
      </pivotArea>
    </format>
    <format dxfId="2422">
      <pivotArea dataOnly="0" labelOnly="1" outline="0" fieldPosition="0">
        <references count="7">
          <reference field="1" count="1" selected="0">
            <x v="7"/>
          </reference>
          <reference field="2" count="1" selected="0">
            <x v="4"/>
          </reference>
          <reference field="3" count="1" selected="0">
            <x v="7"/>
          </reference>
          <reference field="5" count="1" selected="0">
            <x v="5"/>
          </reference>
          <reference field="13" count="1">
            <x v="2"/>
          </reference>
          <reference field="23" count="1" selected="0">
            <x v="0"/>
          </reference>
          <reference field="72" count="1" selected="0">
            <x v="128"/>
          </reference>
        </references>
      </pivotArea>
    </format>
    <format dxfId="2421">
      <pivotArea dataOnly="0" labelOnly="1" outline="0" fieldPosition="0">
        <references count="7">
          <reference field="1" count="1" selected="0">
            <x v="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5"/>
          </reference>
        </references>
      </pivotArea>
    </format>
    <format dxfId="2420">
      <pivotArea dataOnly="0" labelOnly="1" outline="0" fieldPosition="0">
        <references count="7">
          <reference field="1" count="1" selected="0">
            <x v="7"/>
          </reference>
          <reference field="2" count="1" selected="0">
            <x v="4"/>
          </reference>
          <reference field="3" count="1" selected="0">
            <x v="14"/>
          </reference>
          <reference field="5" count="1" selected="0">
            <x v="5"/>
          </reference>
          <reference field="13" count="1">
            <x v="2"/>
          </reference>
          <reference field="23" count="1" selected="0">
            <x v="0"/>
          </reference>
          <reference field="72" count="1" selected="0">
            <x v="128"/>
          </reference>
        </references>
      </pivotArea>
    </format>
    <format dxfId="2419">
      <pivotArea dataOnly="0" labelOnly="1" outline="0" fieldPosition="0">
        <references count="7">
          <reference field="1" count="1" selected="0">
            <x v="7"/>
          </reference>
          <reference field="2" count="1" selected="0">
            <x v="5"/>
          </reference>
          <reference field="3" count="1" selected="0">
            <x v="14"/>
          </reference>
          <reference field="5" count="1" selected="0">
            <x v="7"/>
          </reference>
          <reference field="13" count="1">
            <x v="0"/>
          </reference>
          <reference field="23" count="1" selected="0">
            <x v="2"/>
          </reference>
          <reference field="72" count="1" selected="0">
            <x v="75"/>
          </reference>
        </references>
      </pivotArea>
    </format>
    <format dxfId="2418">
      <pivotArea dataOnly="0" labelOnly="1" outline="0" fieldPosition="0">
        <references count="7">
          <reference field="1" count="1" selected="0">
            <x v="7"/>
          </reference>
          <reference field="2" count="1" selected="0">
            <x v="4"/>
          </reference>
          <reference field="3" count="1" selected="0">
            <x v="17"/>
          </reference>
          <reference field="5" count="1" selected="0">
            <x v="5"/>
          </reference>
          <reference field="13" count="1">
            <x v="2"/>
          </reference>
          <reference field="23" count="1" selected="0">
            <x v="0"/>
          </reference>
          <reference field="72" count="1" selected="0">
            <x v="128"/>
          </reference>
        </references>
      </pivotArea>
    </format>
    <format dxfId="2417">
      <pivotArea dataOnly="0" labelOnly="1" outline="0" fieldPosition="0">
        <references count="7">
          <reference field="1" count="1" selected="0">
            <x v="8"/>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60"/>
          </reference>
        </references>
      </pivotArea>
    </format>
    <format dxfId="2416">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2415">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2414">
      <pivotArea dataOnly="0" labelOnly="1" outline="0" fieldPosition="0">
        <references count="7">
          <reference field="1" count="1" selected="0">
            <x v="9"/>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6"/>
          </reference>
        </references>
      </pivotArea>
    </format>
    <format dxfId="2413">
      <pivotArea dataOnly="0" labelOnly="1" outline="0" fieldPosition="0">
        <references count="7">
          <reference field="1" count="1" selected="0">
            <x v="9"/>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35"/>
          </reference>
        </references>
      </pivotArea>
    </format>
    <format dxfId="2412">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2411">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7"/>
          </reference>
        </references>
      </pivotArea>
    </format>
    <format dxfId="2410">
      <pivotArea dataOnly="0" labelOnly="1" outline="0" fieldPosition="0">
        <references count="7">
          <reference field="1" count="1" selected="0">
            <x v="9"/>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1"/>
          </reference>
        </references>
      </pivotArea>
    </format>
    <format dxfId="2409">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3"/>
          </reference>
        </references>
      </pivotArea>
    </format>
    <format dxfId="2408">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5"/>
          </reference>
          <reference field="23" count="1" selected="0">
            <x v="2"/>
          </reference>
          <reference field="72" count="1" selected="0">
            <x v="9"/>
          </reference>
        </references>
      </pivotArea>
    </format>
    <format dxfId="2407">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2406">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2405">
      <pivotArea dataOnly="0" labelOnly="1" outline="0" fieldPosition="0">
        <references count="7">
          <reference field="1" count="1" selected="0">
            <x v="12"/>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1"/>
          </reference>
        </references>
      </pivotArea>
    </format>
    <format dxfId="2404">
      <pivotArea dataOnly="0" labelOnly="1" outline="0" fieldPosition="0">
        <references count="7">
          <reference field="1" count="1" selected="0">
            <x v="12"/>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5"/>
          </reference>
        </references>
      </pivotArea>
    </format>
    <format dxfId="2403">
      <pivotArea dataOnly="0" labelOnly="1" outline="0" fieldPosition="0">
        <references count="7">
          <reference field="1" count="1" selected="0">
            <x v="12"/>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2402">
      <pivotArea dataOnly="0" labelOnly="1" outline="0" fieldPosition="0">
        <references count="7">
          <reference field="1" count="1" selected="0">
            <x v="12"/>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24"/>
          </reference>
        </references>
      </pivotArea>
    </format>
    <format dxfId="2401">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3"/>
          </reference>
        </references>
      </pivotArea>
    </format>
    <format dxfId="2400">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5"/>
          </reference>
          <reference field="23" count="1" selected="0">
            <x v="2"/>
          </reference>
          <reference field="72" count="1" selected="0">
            <x v="9"/>
          </reference>
        </references>
      </pivotArea>
    </format>
    <format dxfId="2399">
      <pivotArea dataOnly="0" labelOnly="1" outline="0" fieldPosition="0">
        <references count="7">
          <reference field="1" count="1" selected="0">
            <x v="13"/>
          </reference>
          <reference field="2" count="1" selected="0">
            <x v="10"/>
          </reference>
          <reference field="3" count="1" selected="0">
            <x v="4"/>
          </reference>
          <reference field="5" count="1" selected="0">
            <x v="0"/>
          </reference>
          <reference field="13" count="1">
            <x v="2"/>
          </reference>
          <reference field="23" count="1" selected="0">
            <x v="2"/>
          </reference>
          <reference field="72" count="1" selected="0">
            <x v="67"/>
          </reference>
        </references>
      </pivotArea>
    </format>
    <format dxfId="2398">
      <pivotArea dataOnly="0" labelOnly="1" outline="0" fieldPosition="0">
        <references count="7">
          <reference field="1" count="1" selected="0">
            <x v="15"/>
          </reference>
          <reference field="2" count="1" selected="0">
            <x v="5"/>
          </reference>
          <reference field="3" count="1" selected="0">
            <x v="5"/>
          </reference>
          <reference field="5" count="1" selected="0">
            <x v="3"/>
          </reference>
          <reference field="13" count="1">
            <x v="1"/>
          </reference>
          <reference field="23" count="1" selected="0">
            <x v="2"/>
          </reference>
          <reference field="72" count="1" selected="0">
            <x v="21"/>
          </reference>
        </references>
      </pivotArea>
    </format>
    <format dxfId="2397">
      <pivotArea dataOnly="0" labelOnly="1" outline="0" fieldPosition="0">
        <references count="7">
          <reference field="1" count="1" selected="0">
            <x v="15"/>
          </reference>
          <reference field="2" count="1" selected="0">
            <x v="5"/>
          </reference>
          <reference field="3" count="1" selected="0">
            <x v="5"/>
          </reference>
          <reference field="5" count="1" selected="0">
            <x v="4"/>
          </reference>
          <reference field="13" count="1">
            <x v="2"/>
          </reference>
          <reference field="23" count="1" selected="0">
            <x v="2"/>
          </reference>
          <reference field="72" count="1" selected="0">
            <x v="19"/>
          </reference>
        </references>
      </pivotArea>
    </format>
    <format dxfId="2396">
      <pivotArea dataOnly="0" labelOnly="1" outline="0" fieldPosition="0">
        <references count="7">
          <reference field="1" count="1" selected="0">
            <x v="16"/>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9"/>
          </reference>
        </references>
      </pivotArea>
    </format>
    <format dxfId="2395">
      <pivotArea dataOnly="0" labelOnly="1" outline="0" fieldPosition="0">
        <references count="7">
          <reference field="1" count="1" selected="0">
            <x v="16"/>
          </reference>
          <reference field="2" count="1" selected="0">
            <x v="5"/>
          </reference>
          <reference field="3" count="1" selected="0">
            <x v="7"/>
          </reference>
          <reference field="5" count="1" selected="0">
            <x v="4"/>
          </reference>
          <reference field="13" count="1">
            <x v="2"/>
          </reference>
          <reference field="23" count="1" selected="0">
            <x v="2"/>
          </reference>
          <reference field="72" count="1" selected="0">
            <x v="19"/>
          </reference>
        </references>
      </pivotArea>
    </format>
    <format dxfId="2394">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24"/>
          </reference>
        </references>
      </pivotArea>
    </format>
    <format dxfId="2393">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14"/>
          </reference>
        </references>
      </pivotArea>
    </format>
    <format dxfId="2392">
      <pivotArea dataOnly="0" labelOnly="1" outline="0" fieldPosition="0">
        <references count="7">
          <reference field="1" count="1" selected="0">
            <x v="1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68"/>
          </reference>
        </references>
      </pivotArea>
    </format>
    <format dxfId="2391">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13"/>
          </reference>
        </references>
      </pivotArea>
    </format>
    <format dxfId="2390">
      <pivotArea dataOnly="0" labelOnly="1" outline="0" fieldPosition="0">
        <references count="7">
          <reference field="1" count="1" selected="0">
            <x v="19"/>
          </reference>
          <reference field="2" count="1" selected="0">
            <x v="10"/>
          </reference>
          <reference field="3" count="1" selected="0">
            <x v="1"/>
          </reference>
          <reference field="5" count="1" selected="0">
            <x v="4"/>
          </reference>
          <reference field="13" count="1">
            <x v="2"/>
          </reference>
          <reference field="23" count="1" selected="0">
            <x v="2"/>
          </reference>
          <reference field="72" count="1" selected="0">
            <x v="185"/>
          </reference>
        </references>
      </pivotArea>
    </format>
    <format dxfId="2389">
      <pivotArea dataOnly="0" labelOnly="1" outline="0" fieldPosition="0">
        <references count="7">
          <reference field="1" count="1" selected="0">
            <x v="19"/>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36"/>
          </reference>
        </references>
      </pivotArea>
    </format>
    <format dxfId="2388">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6"/>
          </reference>
        </references>
      </pivotArea>
    </format>
    <format dxfId="2387">
      <pivotArea dataOnly="0" labelOnly="1" outline="0" fieldPosition="0">
        <references count="7">
          <reference field="1" count="1" selected="0">
            <x v="20"/>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98"/>
          </reference>
        </references>
      </pivotArea>
    </format>
    <format dxfId="2386">
      <pivotArea dataOnly="0" labelOnly="1" outline="0" fieldPosition="0">
        <references count="7">
          <reference field="1" count="1" selected="0">
            <x v="21"/>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36"/>
          </reference>
        </references>
      </pivotArea>
    </format>
    <format dxfId="2385">
      <pivotArea dataOnly="0" labelOnly="1" outline="0" fieldPosition="0">
        <references count="7">
          <reference field="1" count="1" selected="0">
            <x v="21"/>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11"/>
          </reference>
        </references>
      </pivotArea>
    </format>
    <format dxfId="2384">
      <pivotArea dataOnly="0" labelOnly="1" outline="0" fieldPosition="0">
        <references count="7">
          <reference field="1" count="1" selected="0">
            <x v="21"/>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36"/>
          </reference>
        </references>
      </pivotArea>
    </format>
    <format dxfId="2383">
      <pivotArea dataOnly="0" labelOnly="1" outline="0" fieldPosition="0">
        <references count="7">
          <reference field="1" count="1" selected="0">
            <x v="21"/>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1"/>
          </reference>
        </references>
      </pivotArea>
    </format>
    <format dxfId="2382">
      <pivotArea dataOnly="0" labelOnly="1" outline="0" fieldPosition="0">
        <references count="7">
          <reference field="1" count="1" selected="0">
            <x v="21"/>
          </reference>
          <reference field="2" count="1" selected="0">
            <x v="5"/>
          </reference>
          <reference field="3" count="1" selected="0">
            <x v="12"/>
          </reference>
          <reference field="5" count="1" selected="0">
            <x v="2"/>
          </reference>
          <reference field="13" count="1">
            <x v="2"/>
          </reference>
          <reference field="23" count="1" selected="0">
            <x v="2"/>
          </reference>
          <reference field="72" count="1" selected="0">
            <x v="36"/>
          </reference>
        </references>
      </pivotArea>
    </format>
    <format dxfId="2381">
      <pivotArea dataOnly="0" labelOnly="1" outline="0" fieldPosition="0">
        <references count="7">
          <reference field="1" count="1" selected="0">
            <x v="21"/>
          </reference>
          <reference field="2" count="1" selected="0">
            <x v="6"/>
          </reference>
          <reference field="3" count="1" selected="0">
            <x v="12"/>
          </reference>
          <reference field="5" count="1" selected="0">
            <x v="7"/>
          </reference>
          <reference field="13" count="1">
            <x v="0"/>
          </reference>
          <reference field="23" count="1" selected="0">
            <x v="2"/>
          </reference>
          <reference field="72" count="1" selected="0">
            <x v="11"/>
          </reference>
        </references>
      </pivotArea>
    </format>
    <format dxfId="2380">
      <pivotArea dataOnly="0" labelOnly="1" outline="0" fieldPosition="0">
        <references count="7">
          <reference field="1" count="1" selected="0">
            <x v="21"/>
          </reference>
          <reference field="2" count="1" selected="0">
            <x v="5"/>
          </reference>
          <reference field="3" count="1" selected="0">
            <x v="19"/>
          </reference>
          <reference field="5" count="1" selected="0">
            <x v="5"/>
          </reference>
          <reference field="13" count="1">
            <x v="2"/>
          </reference>
          <reference field="23" count="1" selected="0">
            <x v="0"/>
          </reference>
          <reference field="72" count="1" selected="0">
            <x v="132"/>
          </reference>
        </references>
      </pivotArea>
    </format>
    <format dxfId="2379">
      <pivotArea dataOnly="0" labelOnly="1" outline="0" fieldPosition="0">
        <references count="7">
          <reference field="1" count="1" selected="0">
            <x v="22"/>
          </reference>
          <reference field="2" count="1" selected="0">
            <x v="8"/>
          </reference>
          <reference field="3" count="1" selected="0">
            <x v="7"/>
          </reference>
          <reference field="5" count="1" selected="0">
            <x v="7"/>
          </reference>
          <reference field="13" count="1">
            <x v="0"/>
          </reference>
          <reference field="23" count="1" selected="0">
            <x v="2"/>
          </reference>
          <reference field="72" count="1" selected="0">
            <x v="58"/>
          </reference>
        </references>
      </pivotArea>
    </format>
    <format dxfId="2378">
      <pivotArea dataOnly="0" labelOnly="1" outline="0" fieldPosition="0">
        <references count="7">
          <reference field="1" count="1" selected="0">
            <x v="25"/>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31"/>
          </reference>
        </references>
      </pivotArea>
    </format>
    <format dxfId="2377">
      <pivotArea dataOnly="0" labelOnly="1" outline="0" fieldPosition="0">
        <references count="7">
          <reference field="1" count="1" selected="0">
            <x v="28"/>
          </reference>
          <reference field="2" count="1" selected="0">
            <x v="7"/>
          </reference>
          <reference field="3" count="1" selected="0">
            <x v="7"/>
          </reference>
          <reference field="5" count="1" selected="0">
            <x v="7"/>
          </reference>
          <reference field="13" count="1">
            <x v="0"/>
          </reference>
          <reference field="23" count="1" selected="0">
            <x v="2"/>
          </reference>
          <reference field="72" count="1" selected="0">
            <x v="51"/>
          </reference>
        </references>
      </pivotArea>
    </format>
    <format dxfId="2376">
      <pivotArea dataOnly="0" labelOnly="1" outline="0" fieldPosition="0">
        <references count="7">
          <reference field="1" count="1" selected="0">
            <x v="29"/>
          </reference>
          <reference field="2" count="1" selected="0">
            <x v="2"/>
          </reference>
          <reference field="3" count="1" selected="0">
            <x v="10"/>
          </reference>
          <reference field="5" count="1" selected="0">
            <x v="5"/>
          </reference>
          <reference field="13" count="1">
            <x v="2"/>
          </reference>
          <reference field="23" count="1" selected="0">
            <x v="0"/>
          </reference>
          <reference field="72" count="1" selected="0">
            <x v="112"/>
          </reference>
        </references>
      </pivotArea>
    </format>
    <format dxfId="2375">
      <pivotArea dataOnly="0" labelOnly="1" outline="0" fieldPosition="0">
        <references count="7">
          <reference field="1" count="1" selected="0">
            <x v="29"/>
          </reference>
          <reference field="2" count="1" selected="0">
            <x v="2"/>
          </reference>
          <reference field="3" count="1" selected="0">
            <x v="18"/>
          </reference>
          <reference field="5" count="1" selected="0">
            <x v="7"/>
          </reference>
          <reference field="13" count="1">
            <x v="0"/>
          </reference>
          <reference field="23" count="1" selected="0">
            <x v="2"/>
          </reference>
          <reference field="72" count="1" selected="0">
            <x v="3"/>
          </reference>
        </references>
      </pivotArea>
    </format>
    <format dxfId="2374">
      <pivotArea dataOnly="0" labelOnly="1" outline="0" fieldPosition="0">
        <references count="7">
          <reference field="1" count="1" selected="0">
            <x v="29"/>
          </reference>
          <reference field="2" count="1" selected="0">
            <x v="2"/>
          </reference>
          <reference field="3" count="1" selected="0">
            <x v="18"/>
          </reference>
          <reference field="5" count="1" selected="0">
            <x v="8"/>
          </reference>
          <reference field="13" count="1">
            <x v="2"/>
          </reference>
          <reference field="23" count="1" selected="0">
            <x v="0"/>
          </reference>
          <reference field="72" count="1" selected="0">
            <x v="160"/>
          </reference>
        </references>
      </pivotArea>
    </format>
    <format dxfId="2373">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2372">
      <pivotArea dataOnly="0" labelOnly="1" outline="0" fieldPosition="0">
        <references count="7">
          <reference field="1" count="1" selected="0">
            <x v="29"/>
          </reference>
          <reference field="2" count="1" selected="0">
            <x v="16"/>
          </reference>
          <reference field="3" count="1" selected="0">
            <x v="18"/>
          </reference>
          <reference field="5" count="1" selected="0">
            <x v="0"/>
          </reference>
          <reference field="13" count="1">
            <x v="2"/>
          </reference>
          <reference field="23" count="1" selected="0">
            <x v="2"/>
          </reference>
          <reference field="72" count="1" selected="0">
            <x v="159"/>
          </reference>
        </references>
      </pivotArea>
    </format>
    <format dxfId="2371">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2370">
      <pivotArea dataOnly="0" labelOnly="1" outline="0" fieldPosition="0">
        <references count="7">
          <reference field="1" count="1" selected="0">
            <x v="30"/>
          </reference>
          <reference field="2" count="1" selected="0">
            <x v="0"/>
          </reference>
          <reference field="3" count="1" selected="0">
            <x v="8"/>
          </reference>
          <reference field="5" count="1" selected="0">
            <x v="8"/>
          </reference>
          <reference field="13" count="1">
            <x v="2"/>
          </reference>
          <reference field="23" count="1" selected="0">
            <x v="0"/>
          </reference>
          <reference field="72" count="1" selected="0">
            <x v="201"/>
          </reference>
        </references>
      </pivotArea>
    </format>
    <format dxfId="2369">
      <pivotArea dataOnly="0" labelOnly="1" outline="0" fieldPosition="0">
        <references count="7">
          <reference field="1" count="1" selected="0">
            <x v="32"/>
          </reference>
          <reference field="2" count="1" selected="0">
            <x v="0"/>
          </reference>
          <reference field="3" count="1" selected="0">
            <x v="8"/>
          </reference>
          <reference field="5" count="1" selected="0">
            <x v="12"/>
          </reference>
          <reference field="13" count="1">
            <x v="5"/>
          </reference>
          <reference field="23" count="1" selected="0">
            <x v="2"/>
          </reference>
          <reference field="72" count="1" selected="0">
            <x v="81"/>
          </reference>
        </references>
      </pivotArea>
    </format>
    <format dxfId="2368">
      <pivotArea dataOnly="0" labelOnly="1" outline="0" fieldPosition="0">
        <references count="7">
          <reference field="1" count="1" selected="0">
            <x v="32"/>
          </reference>
          <reference field="2" count="1" selected="0">
            <x v="1"/>
          </reference>
          <reference field="3" count="1" selected="0">
            <x v="8"/>
          </reference>
          <reference field="5" count="1" selected="0">
            <x v="13"/>
          </reference>
          <reference field="13" count="1">
            <x v="2"/>
          </reference>
          <reference field="23" count="1" selected="0">
            <x v="2"/>
          </reference>
          <reference field="72" count="1" selected="0">
            <x v="206"/>
          </reference>
        </references>
      </pivotArea>
    </format>
    <format dxfId="2367">
      <pivotArea dataOnly="0" labelOnly="1" outline="0" fieldPosition="0">
        <references count="7">
          <reference field="1" count="1" selected="0">
            <x v="37"/>
          </reference>
          <reference field="2" count="1" selected="0">
            <x v="10"/>
          </reference>
          <reference field="3" count="1" selected="0">
            <x v="2"/>
          </reference>
          <reference field="5" count="1" selected="0">
            <x v="7"/>
          </reference>
          <reference field="13" count="1">
            <x v="0"/>
          </reference>
          <reference field="23" count="1" selected="0">
            <x v="2"/>
          </reference>
          <reference field="72" count="1" selected="0">
            <x v="47"/>
          </reference>
        </references>
      </pivotArea>
    </format>
    <format dxfId="2366">
      <pivotArea dataOnly="0" labelOnly="1" outline="0" fieldPosition="0">
        <references count="7">
          <reference field="1" count="1" selected="0">
            <x v="38"/>
          </reference>
          <reference field="2" count="1" selected="0">
            <x v="5"/>
          </reference>
          <reference field="3" count="1" selected="0">
            <x v="8"/>
          </reference>
          <reference field="5" count="1" selected="0">
            <x v="4"/>
          </reference>
          <reference field="13" count="1">
            <x v="2"/>
          </reference>
          <reference field="23" count="1" selected="0">
            <x v="2"/>
          </reference>
          <reference field="72" count="1" selected="0">
            <x v="82"/>
          </reference>
        </references>
      </pivotArea>
    </format>
    <format dxfId="2365">
      <pivotArea dataOnly="0" labelOnly="1" outline="0" fieldPosition="0">
        <references count="7">
          <reference field="1" count="1" selected="0">
            <x v="38"/>
          </reference>
          <reference field="2" count="1" selected="0">
            <x v="5"/>
          </reference>
          <reference field="3" count="1" selected="0">
            <x v="8"/>
          </reference>
          <reference field="5" count="1" selected="0">
            <x v="7"/>
          </reference>
          <reference field="13" count="1">
            <x v="0"/>
          </reference>
          <reference field="23" count="1" selected="0">
            <x v="2"/>
          </reference>
          <reference field="72" count="1" selected="0">
            <x v="90"/>
          </reference>
        </references>
      </pivotArea>
    </format>
    <format dxfId="2364">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136"/>
          </reference>
        </references>
      </pivotArea>
    </format>
    <format dxfId="2363">
      <pivotArea dataOnly="0" labelOnly="1" outline="0" fieldPosition="0">
        <references count="7">
          <reference field="1" count="1" selected="0">
            <x v="38"/>
          </reference>
          <reference field="2" count="1" selected="0">
            <x v="3"/>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2362">
      <pivotArea dataOnly="0" labelOnly="1" outline="0" fieldPosition="0">
        <references count="7">
          <reference field="1" count="1" selected="0">
            <x v="38"/>
          </reference>
          <reference field="2" count="1" selected="0">
            <x v="5"/>
          </reference>
          <reference field="3" count="1" selected="0">
            <x v="22"/>
          </reference>
          <reference field="5" count="1" selected="0">
            <x v="4"/>
          </reference>
          <reference field="13" count="1">
            <x v="2"/>
          </reference>
          <reference field="23" count="1" selected="0">
            <x v="2"/>
          </reference>
          <reference field="72" count="1" selected="0">
            <x v="82"/>
          </reference>
        </references>
      </pivotArea>
    </format>
    <format dxfId="2361">
      <pivotArea dataOnly="0" labelOnly="1" outline="0" fieldPosition="0">
        <references count="7">
          <reference field="1" count="1" selected="0">
            <x v="38"/>
          </reference>
          <reference field="2" count="1" selected="0">
            <x v="6"/>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2360">
      <pivotArea dataOnly="0" labelOnly="1" outline="0" fieldPosition="0">
        <references count="7">
          <reference field="1" count="1" selected="0">
            <x v="39"/>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63"/>
          </reference>
        </references>
      </pivotArea>
    </format>
    <format dxfId="2359">
      <pivotArea dataOnly="0" labelOnly="1" outline="0" fieldPosition="0">
        <references count="7">
          <reference field="1" count="1" selected="0">
            <x v="41"/>
          </reference>
          <reference field="2" count="1" selected="0">
            <x v="0"/>
          </reference>
          <reference field="3" count="1" selected="0">
            <x v="0"/>
          </reference>
          <reference field="5" count="1" selected="0">
            <x v="8"/>
          </reference>
          <reference field="13" count="1">
            <x v="2"/>
          </reference>
          <reference field="23" count="1" selected="0">
            <x v="0"/>
          </reference>
          <reference field="72" count="1" selected="0">
            <x v="107"/>
          </reference>
        </references>
      </pivotArea>
    </format>
    <format dxfId="2358">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5"/>
          </reference>
          <reference field="23" count="1" selected="0">
            <x v="2"/>
          </reference>
          <reference field="72" count="1" selected="0">
            <x v="170"/>
          </reference>
        </references>
      </pivotArea>
    </format>
    <format dxfId="2357">
      <pivotArea dataOnly="0" labelOnly="1" outline="0" fieldPosition="0">
        <references count="7">
          <reference field="1" count="1" selected="0">
            <x v="49"/>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9"/>
          </reference>
        </references>
      </pivotArea>
    </format>
    <format dxfId="2356">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5"/>
          </reference>
          <reference field="23" count="1" selected="0">
            <x v="2"/>
          </reference>
          <reference field="72" count="1" selected="0">
            <x v="40"/>
          </reference>
        </references>
      </pivotArea>
    </format>
    <format dxfId="2355">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2"/>
          </reference>
          <reference field="23" count="1" selected="0">
            <x v="2"/>
          </reference>
          <reference field="72" count="1" selected="0">
            <x v="41"/>
          </reference>
        </references>
      </pivotArea>
    </format>
    <format dxfId="2354">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1"/>
          </reference>
          <reference field="23" count="1" selected="0">
            <x v="2"/>
          </reference>
          <reference field="72" count="1" selected="0">
            <x v="42"/>
          </reference>
        </references>
      </pivotArea>
    </format>
    <format dxfId="2353">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44"/>
          </reference>
        </references>
      </pivotArea>
    </format>
    <format dxfId="2352">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46"/>
          </reference>
        </references>
      </pivotArea>
    </format>
    <format dxfId="2351">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50"/>
          </reference>
        </references>
      </pivotArea>
    </format>
    <format dxfId="2350">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55"/>
          </reference>
        </references>
      </pivotArea>
    </format>
    <format dxfId="2349">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4"/>
          </reference>
          <reference field="23" count="1" selected="0">
            <x v="2"/>
          </reference>
          <reference field="72" count="1" selected="0">
            <x v="151"/>
          </reference>
        </references>
      </pivotArea>
    </format>
    <format dxfId="2348">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347">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346">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345">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344">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2343">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342">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341">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340">
      <pivotArea dataOnly="0" labelOnly="1" outline="0" fieldPosition="0">
        <references count="8">
          <reference field="1" count="1" selected="0">
            <x v="0"/>
          </reference>
          <reference field="2" count="1" selected="0">
            <x v="10"/>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339">
      <pivotArea dataOnly="0" labelOnly="1" outline="0" fieldPosition="0">
        <references count="8">
          <reference field="1" count="1" selected="0">
            <x v="0"/>
          </reference>
          <reference field="2" count="1" selected="0">
            <x v="10"/>
          </reference>
          <reference field="3" count="1" selected="0">
            <x v="3"/>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2338">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337">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336">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335">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2334">
      <pivotArea dataOnly="0" labelOnly="1" outline="0" fieldPosition="0">
        <references count="8">
          <reference field="1" count="1" selected="0">
            <x v="0"/>
          </reference>
          <reference field="2" count="1" selected="0">
            <x v="10"/>
          </reference>
          <reference field="3" count="1" selected="0">
            <x v="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333">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332">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331">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330">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2329">
      <pivotArea dataOnly="0" labelOnly="1" outline="0" fieldPosition="0">
        <references count="8">
          <reference field="1" count="1" selected="0">
            <x v="0"/>
          </reference>
          <reference field="2" count="1" selected="0">
            <x v="10"/>
          </reference>
          <reference field="3" count="1" selected="0">
            <x v="5"/>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2328">
      <pivotArea dataOnly="0" labelOnly="1" outline="0" fieldPosition="0">
        <references count="8">
          <reference field="1" count="1" selected="0">
            <x v="0"/>
          </reference>
          <reference field="2" count="1" selected="0">
            <x v="10"/>
          </reference>
          <reference field="3" count="1" selected="0">
            <x v="5"/>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327">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12"/>
          </reference>
          <reference field="23" count="1" selected="0">
            <x v="2"/>
          </reference>
          <reference field="72" count="1" selected="0">
            <x v="44"/>
          </reference>
        </references>
      </pivotArea>
    </format>
    <format dxfId="2326">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49"/>
          </reference>
        </references>
      </pivotArea>
    </format>
    <format dxfId="2325">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152"/>
          </reference>
        </references>
      </pivotArea>
    </format>
    <format dxfId="2324">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179"/>
          </reference>
        </references>
      </pivotArea>
    </format>
    <format dxfId="2323">
      <pivotArea dataOnly="0" labelOnly="1" outline="0" fieldPosition="0">
        <references count="8">
          <reference field="1" count="1" selected="0">
            <x v="0"/>
          </reference>
          <reference field="2" count="1" selected="0">
            <x v="6"/>
          </reference>
          <reference field="3" count="1" selected="0">
            <x v="7"/>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2322">
      <pivotArea dataOnly="0" labelOnly="1" outline="0" fieldPosition="0">
        <references count="8">
          <reference field="1" count="1" selected="0">
            <x v="0"/>
          </reference>
          <reference field="2" count="1" selected="0">
            <x v="6"/>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321">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2320">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319">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318">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317">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2316">
      <pivotArea dataOnly="0" labelOnly="1" outline="0" fieldPosition="0">
        <references count="8">
          <reference field="1" count="1" selected="0">
            <x v="0"/>
          </reference>
          <reference field="2" count="1" selected="0">
            <x v="10"/>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92"/>
          </reference>
        </references>
      </pivotArea>
    </format>
    <format dxfId="2315">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5"/>
          </reference>
          <reference field="23" count="1" selected="0">
            <x v="2"/>
          </reference>
          <reference field="72" count="1" selected="0">
            <x v="40"/>
          </reference>
        </references>
      </pivotArea>
    </format>
    <format dxfId="2314">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2"/>
          </reference>
          <reference field="23" count="1" selected="0">
            <x v="2"/>
          </reference>
          <reference field="72" count="1" selected="0">
            <x v="41"/>
          </reference>
        </references>
      </pivotArea>
    </format>
    <format dxfId="2313">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1"/>
          </reference>
          <reference field="23" count="1" selected="0">
            <x v="2"/>
          </reference>
          <reference field="72" count="1" selected="0">
            <x v="42"/>
          </reference>
        </references>
      </pivotArea>
    </format>
    <format dxfId="2312">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44"/>
          </reference>
        </references>
      </pivotArea>
    </format>
    <format dxfId="2311">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46"/>
          </reference>
        </references>
      </pivotArea>
    </format>
    <format dxfId="2310">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50"/>
          </reference>
        </references>
      </pivotArea>
    </format>
    <format dxfId="2309">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55"/>
          </reference>
        </references>
      </pivotArea>
    </format>
    <format dxfId="2308">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4"/>
          </reference>
          <reference field="23" count="1" selected="0">
            <x v="2"/>
          </reference>
          <reference field="72" count="1" selected="0">
            <x v="151"/>
          </reference>
        </references>
      </pivotArea>
    </format>
    <format dxfId="2307">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306">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305">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304">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2303">
      <pivotArea dataOnly="0" labelOnly="1" outline="0" fieldPosition="0">
        <references count="8">
          <reference field="1" count="1" selected="0">
            <x v="0"/>
          </reference>
          <reference field="2" count="1" selected="0">
            <x v="10"/>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2302">
      <pivotArea dataOnly="0" labelOnly="1" outline="0" fieldPosition="0">
        <references count="8">
          <reference field="1" count="1" selected="0">
            <x v="0"/>
          </reference>
          <reference field="2" count="1" selected="0">
            <x v="6"/>
          </reference>
          <reference field="3" count="1" selected="0">
            <x v="12"/>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2301">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300">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3"/>
          </reference>
          <reference field="23" count="1" selected="0">
            <x v="2"/>
          </reference>
          <reference field="72" count="1" selected="0">
            <x v="49"/>
          </reference>
        </references>
      </pivotArea>
    </format>
    <format dxfId="2299">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9"/>
          </reference>
          <reference field="23" count="1" selected="0">
            <x v="2"/>
          </reference>
          <reference field="72" count="1" selected="0">
            <x v="152"/>
          </reference>
        </references>
      </pivotArea>
    </format>
    <format dxfId="2298">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7"/>
          </reference>
          <reference field="23" count="1" selected="0">
            <x v="2"/>
          </reference>
          <reference field="72" count="1" selected="0">
            <x v="179"/>
          </reference>
        </references>
      </pivotArea>
    </format>
    <format dxfId="2297">
      <pivotArea dataOnly="0" labelOnly="1" outline="0" fieldPosition="0">
        <references count="8">
          <reference field="1" count="1" selected="0">
            <x v="0"/>
          </reference>
          <reference field="2" count="1" selected="0">
            <x v="6"/>
          </reference>
          <reference field="3" count="1" selected="0">
            <x v="14"/>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2296">
      <pivotArea dataOnly="0" labelOnly="1" outline="0" fieldPosition="0">
        <references count="8">
          <reference field="1" count="1" selected="0">
            <x v="0"/>
          </reference>
          <reference field="2" count="1" selected="0">
            <x v="6"/>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95">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2294">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293">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292">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291">
      <pivotArea dataOnly="0" labelOnly="1" outline="0" fieldPosition="0">
        <references count="8">
          <reference field="1" count="1" selected="0">
            <x v="0"/>
          </reference>
          <reference field="2" count="1" selected="0">
            <x v="10"/>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90">
      <pivotArea dataOnly="0" labelOnly="1" outline="0" fieldPosition="0">
        <references count="8">
          <reference field="1" count="1" selected="0">
            <x v="0"/>
          </reference>
          <reference field="2" count="1" selected="0">
            <x v="10"/>
          </reference>
          <reference field="3" count="1" selected="0">
            <x v="1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289">
      <pivotArea dataOnly="0" labelOnly="1" outline="0" fieldPosition="0">
        <references count="8">
          <reference field="1" count="1" selected="0">
            <x v="1"/>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50"/>
          </reference>
        </references>
      </pivotArea>
    </format>
    <format dxfId="2288">
      <pivotArea dataOnly="0" labelOnly="1" outline="0" fieldPosition="0">
        <references count="8">
          <reference field="1" count="1" selected="0">
            <x v="1"/>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55"/>
          </reference>
        </references>
      </pivotArea>
    </format>
    <format dxfId="2287">
      <pivotArea dataOnly="0" labelOnly="1" outline="0" fieldPosition="0">
        <references count="8">
          <reference field="1" count="1" selected="0">
            <x v="1"/>
          </reference>
          <reference field="2" count="1" selected="0">
            <x v="3"/>
          </reference>
          <reference field="3" count="1" selected="0">
            <x v="5"/>
          </reference>
          <reference field="5" count="1" selected="0">
            <x v="1"/>
          </reference>
          <reference field="13" count="1" selected="0">
            <x v="5"/>
          </reference>
          <reference field="22" count="1">
            <x v="10"/>
          </reference>
          <reference field="23" count="1" selected="0">
            <x v="1"/>
          </reference>
          <reference field="72" count="1" selected="0">
            <x v="114"/>
          </reference>
        </references>
      </pivotArea>
    </format>
    <format dxfId="2286">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3"/>
          </reference>
        </references>
      </pivotArea>
    </format>
    <format dxfId="2285">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5"/>
          </reference>
        </references>
      </pivotArea>
    </format>
    <format dxfId="2284">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56"/>
          </reference>
        </references>
      </pivotArea>
    </format>
    <format dxfId="2283">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7"/>
          </reference>
        </references>
      </pivotArea>
    </format>
    <format dxfId="2282">
      <pivotArea dataOnly="0" labelOnly="1" outline="0" fieldPosition="0">
        <references count="8">
          <reference field="1" count="1" selected="0">
            <x v="1"/>
          </reference>
          <reference field="2" count="1" selected="0">
            <x v="3"/>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90"/>
          </reference>
        </references>
      </pivotArea>
    </format>
    <format dxfId="2281">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9"/>
          </reference>
          <reference field="23" count="1" selected="0">
            <x v="2"/>
          </reference>
          <reference field="72" count="1" selected="0">
            <x v="33"/>
          </reference>
        </references>
      </pivotArea>
    </format>
    <format dxfId="2280">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7"/>
          </reference>
          <reference field="23" count="1" selected="0">
            <x v="2"/>
          </reference>
          <reference field="72" count="1" selected="0">
            <x v="35"/>
          </reference>
        </references>
      </pivotArea>
    </format>
    <format dxfId="2279">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3"/>
          </reference>
          <reference field="23" count="1" selected="0">
            <x v="2"/>
          </reference>
          <reference field="72" count="1" selected="0">
            <x v="156"/>
          </reference>
        </references>
      </pivotArea>
    </format>
    <format dxfId="2278">
      <pivotArea dataOnly="0" labelOnly="1" outline="0" fieldPosition="0">
        <references count="8">
          <reference field="1" count="1" selected="0">
            <x v="1"/>
          </reference>
          <reference field="2" count="1" selected="0">
            <x v="3"/>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7"/>
          </reference>
        </references>
      </pivotArea>
    </format>
    <format dxfId="2277">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51"/>
          </reference>
        </references>
      </pivotArea>
    </format>
    <format dxfId="2276">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53"/>
          </reference>
        </references>
      </pivotArea>
    </format>
    <format dxfId="2275">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177"/>
          </reference>
        </references>
      </pivotArea>
    </format>
    <format dxfId="2274">
      <pivotArea dataOnly="0" labelOnly="1" outline="0" fieldPosition="0">
        <references count="8">
          <reference field="1" count="1" selected="0">
            <x v="2"/>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20"/>
          </reference>
        </references>
      </pivotArea>
    </format>
    <format dxfId="2273">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44"/>
          </reference>
        </references>
      </pivotArea>
    </format>
    <format dxfId="2272">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50"/>
          </reference>
        </references>
      </pivotArea>
    </format>
    <format dxfId="2271">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51"/>
          </reference>
        </references>
      </pivotArea>
    </format>
    <format dxfId="2270">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52"/>
          </reference>
        </references>
      </pivotArea>
    </format>
    <format dxfId="2269">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6"/>
          </reference>
        </references>
      </pivotArea>
    </format>
    <format dxfId="2268">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155"/>
          </reference>
        </references>
      </pivotArea>
    </format>
    <format dxfId="2267">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80"/>
          </reference>
        </references>
      </pivotArea>
    </format>
    <format dxfId="2266">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9"/>
          </reference>
        </references>
      </pivotArea>
    </format>
    <format dxfId="2265">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86"/>
          </reference>
        </references>
      </pivotArea>
    </format>
    <format dxfId="2264">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163"/>
          </reference>
        </references>
      </pivotArea>
    </format>
    <format dxfId="2263">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178"/>
          </reference>
        </references>
      </pivotArea>
    </format>
    <format dxfId="2262">
      <pivotArea dataOnly="0" labelOnly="1" outline="0" fieldPosition="0">
        <references count="8">
          <reference field="1" count="1" selected="0">
            <x v="3"/>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64"/>
          </reference>
        </references>
      </pivotArea>
    </format>
    <format dxfId="2261">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59"/>
          </reference>
        </references>
      </pivotArea>
    </format>
    <format dxfId="2260">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62"/>
          </reference>
        </references>
      </pivotArea>
    </format>
    <format dxfId="2259">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76"/>
          </reference>
        </references>
      </pivotArea>
    </format>
    <format dxfId="2258">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77"/>
          </reference>
        </references>
      </pivotArea>
    </format>
    <format dxfId="2257">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2256">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2255">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2254">
      <pivotArea dataOnly="0" labelOnly="1" outline="0" fieldPosition="0">
        <references count="8">
          <reference field="1" count="1" selected="0">
            <x v="3"/>
          </reference>
          <reference field="2" count="1" selected="0">
            <x v="3"/>
          </reference>
          <reference field="3" count="1" selected="0">
            <x v="7"/>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2253">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2252">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2251">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2250">
      <pivotArea dataOnly="0" labelOnly="1" outline="0" fieldPosition="0">
        <references count="8">
          <reference field="1" count="1" selected="0">
            <x v="4"/>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22"/>
          </reference>
        </references>
      </pivotArea>
    </format>
    <format dxfId="2249">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56"/>
          </reference>
        </references>
      </pivotArea>
    </format>
    <format dxfId="2248">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57"/>
          </reference>
        </references>
      </pivotArea>
    </format>
    <format dxfId="2247">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60"/>
          </reference>
        </references>
      </pivotArea>
    </format>
    <format dxfId="2246">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10"/>
          </reference>
          <reference field="23" count="1" selected="0">
            <x v="2"/>
          </reference>
          <reference field="72" count="1" selected="0">
            <x v="28"/>
          </reference>
        </references>
      </pivotArea>
    </format>
    <format dxfId="2245">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7"/>
          </reference>
          <reference field="23" count="1" selected="0">
            <x v="2"/>
          </reference>
          <reference field="72" count="1" selected="0">
            <x v="39"/>
          </reference>
        </references>
      </pivotArea>
    </format>
    <format dxfId="2244">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3"/>
          </reference>
          <reference field="23" count="1" selected="0">
            <x v="2"/>
          </reference>
          <reference field="72" count="1" selected="0">
            <x v="52"/>
          </reference>
        </references>
      </pivotArea>
    </format>
    <format dxfId="2243">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9"/>
          </reference>
          <reference field="23" count="1" selected="0">
            <x v="2"/>
          </reference>
          <reference field="72" count="1" selected="0">
            <x v="56"/>
          </reference>
        </references>
      </pivotArea>
    </format>
    <format dxfId="2242">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7"/>
          </reference>
          <reference field="23" count="1" selected="0">
            <x v="2"/>
          </reference>
          <reference field="72" count="1" selected="0">
            <x v="57"/>
          </reference>
        </references>
      </pivotArea>
    </format>
    <format dxfId="2241">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3"/>
          </reference>
          <reference field="23" count="1" selected="0">
            <x v="2"/>
          </reference>
          <reference field="72" count="1" selected="0">
            <x v="60"/>
          </reference>
        </references>
      </pivotArea>
    </format>
    <format dxfId="2240">
      <pivotArea dataOnly="0" labelOnly="1" outline="0" fieldPosition="0">
        <references count="8">
          <reference field="1" count="1" selected="0">
            <x v="5"/>
          </reference>
          <reference field="2" count="1" selected="0">
            <x v="8"/>
          </reference>
          <reference field="3" count="1" selected="0">
            <x v="5"/>
          </reference>
          <reference field="5" count="1" selected="0">
            <x v="6"/>
          </reference>
          <reference field="13" count="1" selected="0">
            <x v="5"/>
          </reference>
          <reference field="22" count="1">
            <x v="10"/>
          </reference>
          <reference field="23" count="1" selected="0">
            <x v="2"/>
          </reference>
          <reference field="72" count="1" selected="0">
            <x v="7"/>
          </reference>
        </references>
      </pivotArea>
    </format>
    <format dxfId="2239">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9"/>
          </reference>
        </references>
      </pivotArea>
    </format>
    <format dxfId="2238">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2"/>
          </reference>
        </references>
      </pivotArea>
    </format>
    <format dxfId="2237">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7"/>
          </reference>
        </references>
      </pivotArea>
    </format>
    <format dxfId="2236">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76"/>
          </reference>
        </references>
      </pivotArea>
    </format>
    <format dxfId="2235">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2234">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2233">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2232">
      <pivotArea dataOnly="0" labelOnly="1" outline="0" fieldPosition="0">
        <references count="8">
          <reference field="1" count="1" selected="0">
            <x v="7"/>
          </reference>
          <reference field="2" count="1" selected="0">
            <x v="4"/>
          </reference>
          <reference field="3" count="1" selected="0">
            <x v="7"/>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2231">
      <pivotArea dataOnly="0" labelOnly="1" outline="0" fieldPosition="0">
        <references count="8">
          <reference field="1" count="1" selected="0">
            <x v="7"/>
          </reference>
          <reference field="2" count="1" selected="0">
            <x v="5"/>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2230">
      <pivotArea dataOnly="0" labelOnly="1" outline="0" fieldPosition="0">
        <references count="8">
          <reference field="1" count="1" selected="0">
            <x v="7"/>
          </reference>
          <reference field="2" count="1" selected="0">
            <x v="5"/>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2229">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2228">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2227">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2226">
      <pivotArea dataOnly="0" labelOnly="1" outline="0" fieldPosition="0">
        <references count="8">
          <reference field="1" count="1" selected="0">
            <x v="7"/>
          </reference>
          <reference field="2" count="1" selected="0">
            <x v="4"/>
          </reference>
          <reference field="3" count="1" selected="0">
            <x v="1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2225">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2224">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2223">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2222">
      <pivotArea dataOnly="0" labelOnly="1" outline="0" fieldPosition="0">
        <references count="8">
          <reference field="1" count="1" selected="0">
            <x v="7"/>
          </reference>
          <reference field="2" count="1" selected="0">
            <x v="4"/>
          </reference>
          <reference field="3" count="1" selected="0">
            <x v="17"/>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2221">
      <pivotArea dataOnly="0" labelOnly="1" outline="0" fieldPosition="0">
        <references count="8">
          <reference field="1" count="1" selected="0">
            <x v="8"/>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64"/>
          </reference>
        </references>
      </pivotArea>
    </format>
    <format dxfId="2220">
      <pivotArea dataOnly="0" labelOnly="1" outline="0" fieldPosition="0">
        <references count="8">
          <reference field="1" count="1" selected="0">
            <x v="8"/>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153"/>
          </reference>
        </references>
      </pivotArea>
    </format>
    <format dxfId="2219">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2218">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2217">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2216">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8"/>
          </reference>
        </references>
      </pivotArea>
    </format>
    <format dxfId="2215">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21"/>
          </reference>
        </references>
      </pivotArea>
    </format>
    <format dxfId="2214">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26"/>
          </reference>
        </references>
      </pivotArea>
    </format>
    <format dxfId="2213">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2212">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2211">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2210">
      <pivotArea dataOnly="0" labelOnly="1" outline="0" fieldPosition="0">
        <references count="8">
          <reference field="1" count="1" selected="0">
            <x v="9"/>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71"/>
          </reference>
        </references>
      </pivotArea>
    </format>
    <format dxfId="2209">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8"/>
          </reference>
          <reference field="23" count="1" selected="0">
            <x v="2"/>
          </reference>
          <reference field="72" count="1" selected="0">
            <x v="11"/>
          </reference>
        </references>
      </pivotArea>
    </format>
    <format dxfId="2208">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25"/>
          </reference>
        </references>
      </pivotArea>
    </format>
    <format dxfId="2207">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38"/>
          </reference>
        </references>
      </pivotArea>
    </format>
    <format dxfId="2206">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4"/>
          </reference>
          <reference field="23" count="1" selected="0">
            <x v="2"/>
          </reference>
          <reference field="72" count="1" selected="0">
            <x v="60"/>
          </reference>
        </references>
      </pivotArea>
    </format>
    <format dxfId="2205">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1"/>
          </reference>
          <reference field="23" count="1" selected="0">
            <x v="2"/>
          </reference>
          <reference field="72" count="1" selected="0">
            <x v="181"/>
          </reference>
        </references>
      </pivotArea>
    </format>
    <format dxfId="2204">
      <pivotArea dataOnly="0" labelOnly="1" outline="0" fieldPosition="0">
        <references count="8">
          <reference field="1" count="1" selected="0">
            <x v="10"/>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2203">
      <pivotArea dataOnly="0" labelOnly="1" outline="0" fieldPosition="0">
        <references count="8">
          <reference field="1" count="1" selected="0">
            <x v="11"/>
          </reference>
          <reference field="2" count="1" selected="0">
            <x v="10"/>
          </reference>
          <reference field="3" count="1" selected="0">
            <x v="15"/>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2202">
      <pivotArea dataOnly="0" labelOnly="1" outline="0" fieldPosition="0">
        <references count="8">
          <reference field="1" count="1" selected="0">
            <x v="12"/>
          </reference>
          <reference field="2" count="1" selected="0">
            <x v="5"/>
          </reference>
          <reference field="3" count="1" selected="0">
            <x v="0"/>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2201">
      <pivotArea dataOnly="0" labelOnly="1" outline="0" fieldPosition="0">
        <references count="8">
          <reference field="1" count="1" selected="0">
            <x v="12"/>
          </reference>
          <reference field="2" count="1" selected="0">
            <x v="5"/>
          </reference>
          <reference field="3" count="1" selected="0">
            <x v="7"/>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2200">
      <pivotArea dataOnly="0" labelOnly="1" outline="0" fieldPosition="0">
        <references count="8">
          <reference field="1" count="1" selected="0">
            <x v="12"/>
          </reference>
          <reference field="2" count="1" selected="0">
            <x v="5"/>
          </reference>
          <reference field="3" count="1" selected="0">
            <x v="7"/>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2199">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3"/>
          </reference>
        </references>
      </pivotArea>
    </format>
    <format dxfId="2198">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15"/>
          </reference>
        </references>
      </pivotArea>
    </format>
    <format dxfId="2197">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20"/>
          </reference>
        </references>
      </pivotArea>
    </format>
    <format dxfId="2196">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5"/>
          </reference>
        </references>
      </pivotArea>
    </format>
    <format dxfId="2195">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27"/>
          </reference>
        </references>
      </pivotArea>
    </format>
    <format dxfId="2194">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57"/>
          </reference>
        </references>
      </pivotArea>
    </format>
    <format dxfId="2193">
      <pivotArea dataOnly="0" labelOnly="1" outline="0" fieldPosition="0">
        <references count="8">
          <reference field="1" count="1" selected="0">
            <x v="12"/>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71"/>
          </reference>
        </references>
      </pivotArea>
    </format>
    <format dxfId="2192">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24"/>
          </reference>
        </references>
      </pivotArea>
    </format>
    <format dxfId="2191">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4"/>
          </reference>
          <reference field="23" count="1" selected="0">
            <x v="2"/>
          </reference>
          <reference field="72" count="1" selected="0">
            <x v="60"/>
          </reference>
        </references>
      </pivotArea>
    </format>
    <format dxfId="2190">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181"/>
          </reference>
        </references>
      </pivotArea>
    </format>
    <format dxfId="2189">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2188">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2187">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2186">
      <pivotArea dataOnly="0" labelOnly="1" outline="0" fieldPosition="0">
        <references count="8">
          <reference field="1" count="1" selected="0">
            <x v="13"/>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2185">
      <pivotArea dataOnly="0" labelOnly="1" outline="0" fieldPosition="0">
        <references count="8">
          <reference field="1" count="1" selected="0">
            <x v="14"/>
          </reference>
          <reference field="2" count="1" selected="0">
            <x v="10"/>
          </reference>
          <reference field="3" count="1" selected="0">
            <x v="15"/>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2184">
      <pivotArea dataOnly="0" labelOnly="1" outline="0" fieldPosition="0">
        <references count="8">
          <reference field="1" count="1" selected="0">
            <x v="15"/>
          </reference>
          <reference field="2" count="1" selected="0">
            <x v="5"/>
          </reference>
          <reference field="3"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2183">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2182">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2181">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2180">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7"/>
          </reference>
          <reference field="23" count="1" selected="0">
            <x v="2"/>
          </reference>
          <reference field="72" count="1" selected="0">
            <x v="19"/>
          </reference>
        </references>
      </pivotArea>
    </format>
    <format dxfId="2179">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3"/>
          </reference>
          <reference field="23" count="1" selected="0">
            <x v="2"/>
          </reference>
          <reference field="72" count="1" selected="0">
            <x v="33"/>
          </reference>
        </references>
      </pivotArea>
    </format>
    <format dxfId="2178">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10"/>
          </reference>
          <reference field="23" count="1" selected="0">
            <x v="2"/>
          </reference>
          <reference field="72" count="1" selected="0">
            <x v="181"/>
          </reference>
        </references>
      </pivotArea>
    </format>
    <format dxfId="2177">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9"/>
          </reference>
        </references>
      </pivotArea>
    </format>
    <format dxfId="2176">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1"/>
          </reference>
        </references>
      </pivotArea>
    </format>
    <format dxfId="2175">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35"/>
          </reference>
        </references>
      </pivotArea>
    </format>
    <format dxfId="2174">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7"/>
          </reference>
          <reference field="23" count="1" selected="0">
            <x v="2"/>
          </reference>
          <reference field="72" count="1" selected="0">
            <x v="19"/>
          </reference>
        </references>
      </pivotArea>
    </format>
    <format dxfId="2173">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3"/>
          </reference>
          <reference field="23" count="1" selected="0">
            <x v="2"/>
          </reference>
          <reference field="72" count="1" selected="0">
            <x v="33"/>
          </reference>
        </references>
      </pivotArea>
    </format>
    <format dxfId="2172">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1"/>
          </reference>
          <reference field="23" count="1" selected="0">
            <x v="2"/>
          </reference>
          <reference field="72" count="1" selected="0">
            <x v="65"/>
          </reference>
        </references>
      </pivotArea>
    </format>
    <format dxfId="2171">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10"/>
          </reference>
          <reference field="23" count="1" selected="0">
            <x v="2"/>
          </reference>
          <reference field="72" count="1" selected="0">
            <x v="181"/>
          </reference>
        </references>
      </pivotArea>
    </format>
    <format dxfId="2170">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0"/>
          </reference>
          <reference field="23" count="1" selected="0">
            <x v="2"/>
          </reference>
          <reference field="72" count="1" selected="0">
            <x v="182"/>
          </reference>
        </references>
      </pivotArea>
    </format>
    <format dxfId="2169">
      <pivotArea dataOnly="0" labelOnly="1" outline="0" fieldPosition="0">
        <references count="8">
          <reference field="1" count="1" selected="0">
            <x v="17"/>
          </reference>
          <reference field="2" count="1" selected="0">
            <x v="4"/>
          </reference>
          <reference field="3" count="1" selected="0">
            <x v="0"/>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2168">
      <pivotArea dataOnly="0" labelOnly="1" outline="0" fieldPosition="0">
        <references count="8">
          <reference field="1" count="1" selected="0">
            <x v="17"/>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2167">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2166">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2165">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2164">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2163">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70"/>
          </reference>
        </references>
      </pivotArea>
    </format>
    <format dxfId="2162">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4"/>
          </reference>
        </references>
      </pivotArea>
    </format>
    <format dxfId="2161">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9"/>
          </reference>
        </references>
      </pivotArea>
    </format>
    <format dxfId="2160">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83"/>
          </reference>
        </references>
      </pivotArea>
    </format>
    <format dxfId="2159">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2158">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2157">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2156">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2155">
      <pivotArea dataOnly="0" labelOnly="1" outline="0" fieldPosition="0">
        <references count="8">
          <reference field="1" count="1" selected="0">
            <x v="19"/>
          </reference>
          <reference field="2" count="1" selected="0">
            <x v="3"/>
          </reference>
          <reference field="3" count="1" selected="0">
            <x v="1"/>
          </reference>
          <reference field="5" count="1" selected="0">
            <x v="1"/>
          </reference>
          <reference field="13" count="1" selected="0">
            <x v="5"/>
          </reference>
          <reference field="22" count="1">
            <x v="10"/>
          </reference>
          <reference field="23" count="1" selected="0">
            <x v="1"/>
          </reference>
          <reference field="72" count="1" selected="0">
            <x v="113"/>
          </reference>
        </references>
      </pivotArea>
    </format>
    <format dxfId="2154">
      <pivotArea dataOnly="0" labelOnly="1" outline="0" fieldPosition="0">
        <references count="8">
          <reference field="1" count="1" selected="0">
            <x v="19"/>
          </reference>
          <reference field="2" count="1" selected="0">
            <x v="10"/>
          </reference>
          <reference field="3" count="1" selected="0">
            <x v="1"/>
          </reference>
          <reference field="5" count="1" selected="0">
            <x v="4"/>
          </reference>
          <reference field="13" count="1" selected="0">
            <x v="2"/>
          </reference>
          <reference field="22" count="1">
            <x v="7"/>
          </reference>
          <reference field="23" count="1" selected="0">
            <x v="2"/>
          </reference>
          <reference field="72" count="1" selected="0">
            <x v="185"/>
          </reference>
        </references>
      </pivotArea>
    </format>
    <format dxfId="2153">
      <pivotArea dataOnly="0" labelOnly="1" outline="0" fieldPosition="0">
        <references count="8">
          <reference field="1" count="1" selected="0">
            <x v="19"/>
          </reference>
          <reference field="2" count="1" selected="0">
            <x v="10"/>
          </reference>
          <reference field="3" count="1" selected="0">
            <x v="1"/>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2152">
      <pivotArea dataOnly="0" labelOnly="1" outline="0" fieldPosition="0">
        <references count="8">
          <reference field="1" count="1" selected="0">
            <x v="19"/>
          </reference>
          <reference field="2" count="1" selected="0">
            <x v="6"/>
          </reference>
          <reference field="3" count="1" selected="0">
            <x v="15"/>
          </reference>
          <reference field="5" count="1" selected="0">
            <x v="5"/>
          </reference>
          <reference field="13" count="1" selected="0">
            <x v="2"/>
          </reference>
          <reference field="22" count="1">
            <x v="3"/>
          </reference>
          <reference field="23" count="1" selected="0">
            <x v="0"/>
          </reference>
          <reference field="72" count="1" selected="0">
            <x v="136"/>
          </reference>
        </references>
      </pivotArea>
    </format>
    <format dxfId="2151">
      <pivotArea dataOnly="0" labelOnly="1" outline="0" fieldPosition="0">
        <references count="8">
          <reference field="1" count="1" selected="0">
            <x v="20"/>
          </reference>
          <reference field="2" count="1" selected="0">
            <x v="10"/>
          </reference>
          <reference field="3" count="1" selected="0">
            <x v="1"/>
          </reference>
          <reference field="5" count="1" selected="0">
            <x v="7"/>
          </reference>
          <reference field="13" count="1" selected="0">
            <x v="0"/>
          </reference>
          <reference field="22" count="1">
            <x v="17"/>
          </reference>
          <reference field="23" count="1" selected="0">
            <x v="2"/>
          </reference>
          <reference field="72" count="1" selected="0">
            <x v="98"/>
          </reference>
        </references>
      </pivotArea>
    </format>
    <format dxfId="2150">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149">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148">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147">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146">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2145">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2144">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2143">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2142">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2141">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140">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139">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138">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137">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2136">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2135">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2134">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2133">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2132">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131">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130">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129">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128">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2127">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2126">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2125">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2124">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2123">
      <pivotArea dataOnly="0" labelOnly="1" outline="0" fieldPosition="0">
        <references count="8">
          <reference field="1" count="1" selected="0">
            <x v="21"/>
          </reference>
          <reference field="2" count="1" selected="0">
            <x v="5"/>
          </reference>
          <reference field="3" count="1" selected="0">
            <x v="19"/>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2122">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121">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120">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119">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2118">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2117">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2116">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2115">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2114">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2113">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2112">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2111">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5"/>
          </reference>
          <reference field="23" count="1" selected="0">
            <x v="2"/>
          </reference>
          <reference field="72" count="1" selected="0">
            <x v="92"/>
          </reference>
        </references>
      </pivotArea>
    </format>
    <format dxfId="2110">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3"/>
          </reference>
          <reference field="23" count="1" selected="0">
            <x v="2"/>
          </reference>
          <reference field="72" count="1" selected="0">
            <x v="95"/>
          </reference>
        </references>
      </pivotArea>
    </format>
    <format dxfId="2109">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7"/>
          </reference>
          <reference field="23" count="1" selected="0">
            <x v="2"/>
          </reference>
          <reference field="72" count="1" selected="0">
            <x v="194"/>
          </reference>
        </references>
      </pivotArea>
    </format>
    <format dxfId="2108">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1"/>
          </reference>
          <reference field="23" count="1" selected="0">
            <x v="2"/>
          </reference>
          <reference field="72" count="1" selected="0">
            <x v="195"/>
          </reference>
        </references>
      </pivotArea>
    </format>
    <format dxfId="2107">
      <pivotArea dataOnly="0" labelOnly="1" outline="0" fieldPosition="0">
        <references count="8">
          <reference field="1" count="1" selected="0">
            <x v="25"/>
          </reference>
          <reference field="2" count="1" selected="0">
            <x v="10"/>
          </reference>
          <reference field="3" count="1" selected="0">
            <x v="4"/>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2106">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10"/>
          </reference>
          <reference field="23" count="1" selected="0">
            <x v="2"/>
          </reference>
          <reference field="72" count="1" selected="0">
            <x v="88"/>
          </reference>
        </references>
      </pivotArea>
    </format>
    <format dxfId="2105">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7"/>
          </reference>
          <reference field="23" count="1" selected="0">
            <x v="2"/>
          </reference>
          <reference field="72" count="1" selected="0">
            <x v="91"/>
          </reference>
        </references>
      </pivotArea>
    </format>
    <format dxfId="2104">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3"/>
          </reference>
          <reference field="23" count="1" selected="0">
            <x v="2"/>
          </reference>
          <reference field="72" count="1" selected="0">
            <x v="100"/>
          </reference>
        </references>
      </pivotArea>
    </format>
    <format dxfId="2103">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102">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101">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100">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099">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9"/>
          </reference>
        </references>
      </pivotArea>
    </format>
    <format dxfId="2098">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4"/>
          </reference>
        </references>
      </pivotArea>
    </format>
    <format dxfId="2097">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76"/>
          </reference>
        </references>
      </pivotArea>
    </format>
    <format dxfId="2096">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7"/>
          </reference>
          <reference field="23" count="1" selected="0">
            <x v="2"/>
          </reference>
          <reference field="72" count="1" selected="0">
            <x v="51"/>
          </reference>
        </references>
      </pivotArea>
    </format>
    <format dxfId="2095">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3"/>
          </reference>
          <reference field="23" count="1" selected="0">
            <x v="2"/>
          </reference>
          <reference field="72" count="1" selected="0">
            <x v="59"/>
          </reference>
        </references>
      </pivotArea>
    </format>
    <format dxfId="2094">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1"/>
          </reference>
          <reference field="23" count="1" selected="0">
            <x v="2"/>
          </reference>
          <reference field="72" count="1" selected="0">
            <x v="64"/>
          </reference>
        </references>
      </pivotArea>
    </format>
    <format dxfId="2093">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5"/>
          </reference>
          <reference field="23" count="1" selected="0">
            <x v="2"/>
          </reference>
          <reference field="72" count="1" selected="0">
            <x v="176"/>
          </reference>
        </references>
      </pivotArea>
    </format>
    <format dxfId="2092">
      <pivotArea dataOnly="0" labelOnly="1" outline="0" fieldPosition="0">
        <references count="8">
          <reference field="1" count="1" selected="0">
            <x v="29"/>
          </reference>
          <reference field="2" count="1" selected="0">
            <x v="2"/>
          </reference>
          <reference field="3" count="1" selected="0">
            <x v="10"/>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2091">
      <pivotArea dataOnly="0" labelOnly="1" outline="0" fieldPosition="0">
        <references count="8">
          <reference field="1" count="1" selected="0">
            <x v="29"/>
          </reference>
          <reference field="2" count="1" selected="0">
            <x v="2"/>
          </reference>
          <reference field="3" count="1" selected="0">
            <x v="18"/>
          </reference>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2090">
      <pivotArea dataOnly="0" labelOnly="1" outline="0" fieldPosition="0">
        <references count="8">
          <reference field="1" count="1" selected="0">
            <x v="32"/>
          </reference>
          <reference field="2" count="1" selected="0">
            <x v="0"/>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81"/>
          </reference>
        </references>
      </pivotArea>
    </format>
    <format dxfId="2089">
      <pivotArea dataOnly="0" labelOnly="1" outline="0" fieldPosition="0">
        <references count="8">
          <reference field="1" count="1" selected="0">
            <x v="32"/>
          </reference>
          <reference field="2" count="1" selected="0">
            <x v="1"/>
          </reference>
          <reference field="3" count="1" selected="0">
            <x v="8"/>
          </reference>
          <reference field="5" count="1" selected="0">
            <x v="13"/>
          </reference>
          <reference field="13" count="1" selected="0">
            <x v="2"/>
          </reference>
          <reference field="22" count="1">
            <x v="17"/>
          </reference>
          <reference field="23" count="1" selected="0">
            <x v="2"/>
          </reference>
          <reference field="72" count="1" selected="0">
            <x v="206"/>
          </reference>
        </references>
      </pivotArea>
    </format>
    <format dxfId="2088">
      <pivotArea dataOnly="0" labelOnly="1" outline="0" fieldPosition="0">
        <references count="8">
          <reference field="1" count="1" selected="0">
            <x v="37"/>
          </reference>
          <reference field="2" count="1" selected="0">
            <x v="10"/>
          </reference>
          <reference field="3" count="1" selected="0">
            <x v="2"/>
          </reference>
          <reference field="5" count="1" selected="0">
            <x v="0"/>
          </reference>
          <reference field="13" count="1" selected="0">
            <x v="2"/>
          </reference>
          <reference field="22" count="1">
            <x v="10"/>
          </reference>
          <reference field="23" count="1" selected="0">
            <x v="2"/>
          </reference>
          <reference field="72" count="1" selected="0">
            <x v="83"/>
          </reference>
        </references>
      </pivotArea>
    </format>
    <format dxfId="2087">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20"/>
          </reference>
          <reference field="23" count="1" selected="0">
            <x v="2"/>
          </reference>
          <reference field="72" count="1" selected="0">
            <x v="82"/>
          </reference>
        </references>
      </pivotArea>
    </format>
    <format dxfId="2086">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2085">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2084">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2083">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2082">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3"/>
          </reference>
          <reference field="23" count="1" selected="0">
            <x v="2"/>
          </reference>
          <reference field="72" count="1" selected="0">
            <x v="183"/>
          </reference>
        </references>
      </pivotArea>
    </format>
    <format dxfId="2081">
      <pivotArea dataOnly="0" labelOnly="1" outline="0" fieldPosition="0">
        <references count="8">
          <reference field="1" count="1" selected="0">
            <x v="38"/>
          </reference>
          <reference field="2" count="1" selected="0">
            <x v="5"/>
          </reference>
          <reference field="3" count="1" selected="0">
            <x v="8"/>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2080">
      <pivotArea dataOnly="0" labelOnly="1" outline="0" fieldPosition="0">
        <references count="8">
          <reference field="1" count="1" selected="0">
            <x v="38"/>
          </reference>
          <reference field="2" count="1" selected="0">
            <x v="6"/>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136"/>
          </reference>
        </references>
      </pivotArea>
    </format>
    <format dxfId="2079">
      <pivotArea dataOnly="0" labelOnly="1" outline="0" fieldPosition="0">
        <references count="8">
          <reference field="1" count="1" selected="0">
            <x v="38"/>
          </reference>
          <reference field="2" count="1" selected="0">
            <x v="3"/>
          </reference>
          <reference field="3" count="1" selected="0">
            <x v="22"/>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2078">
      <pivotArea dataOnly="0" labelOnly="1" outline="0" fieldPosition="0">
        <references count="8">
          <reference field="1" count="1" selected="0">
            <x v="38"/>
          </reference>
          <reference field="2" count="1" selected="0">
            <x v="5"/>
          </reference>
          <reference field="3" count="1" selected="0">
            <x v="22"/>
          </reference>
          <reference field="5" count="1" selected="0">
            <x v="4"/>
          </reference>
          <reference field="13" count="1" selected="0">
            <x v="2"/>
          </reference>
          <reference field="22" count="1">
            <x v="20"/>
          </reference>
          <reference field="23" count="1" selected="0">
            <x v="2"/>
          </reference>
          <reference field="72" count="1" selected="0">
            <x v="82"/>
          </reference>
        </references>
      </pivotArea>
    </format>
    <format dxfId="2077">
      <pivotArea dataOnly="0" labelOnly="1" outline="0" fieldPosition="0">
        <references count="8">
          <reference field="1" count="1" selected="0">
            <x v="38"/>
          </reference>
          <reference field="2" count="1" selected="0">
            <x v="5"/>
          </reference>
          <reference field="3" count="1" selected="0">
            <x v="22"/>
          </reference>
          <reference field="5" count="1" selected="0">
            <x v="4"/>
          </reference>
          <reference field="13" count="1" selected="0">
            <x v="2"/>
          </reference>
          <reference field="22" count="1">
            <x v="13"/>
          </reference>
          <reference field="23" count="1" selected="0">
            <x v="2"/>
          </reference>
          <reference field="72" count="1" selected="0">
            <x v="183"/>
          </reference>
        </references>
      </pivotArea>
    </format>
    <format dxfId="2076">
      <pivotArea dataOnly="0" labelOnly="1" outline="0" fieldPosition="0">
        <references count="8">
          <reference field="1" count="1" selected="0">
            <x v="38"/>
          </reference>
          <reference field="2" count="1" selected="0">
            <x v="6"/>
          </reference>
          <reference field="3" count="1" selected="0">
            <x v="22"/>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2075">
      <pivotArea dataOnly="0" labelOnly="1" outline="0" fieldPosition="0">
        <references count="8">
          <reference field="1" count="1" selected="0">
            <x v="39"/>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63"/>
          </reference>
        </references>
      </pivotArea>
    </format>
    <format dxfId="2074">
      <pivotArea dataOnly="0" labelOnly="1" outline="0" fieldPosition="0">
        <references count="8">
          <reference field="1" count="1" selected="0">
            <x v="41"/>
          </reference>
          <reference field="2" count="1" selected="0">
            <x v="0"/>
          </reference>
          <reference field="3" count="1" selected="0">
            <x v="0"/>
          </reference>
          <reference field="5" count="1" selected="0">
            <x v="8"/>
          </reference>
          <reference field="13" count="1" selected="0">
            <x v="2"/>
          </reference>
          <reference field="22" count="1">
            <x v="17"/>
          </reference>
          <reference field="23" count="1" selected="0">
            <x v="0"/>
          </reference>
          <reference field="72" count="1" selected="0">
            <x v="107"/>
          </reference>
        </references>
      </pivotArea>
    </format>
    <format dxfId="2073">
      <pivotArea dataOnly="0" labelOnly="1" outline="0" fieldPosition="0">
        <references count="8">
          <reference field="1" count="1" selected="0">
            <x v="43"/>
          </reference>
          <reference field="2" count="1" selected="0">
            <x v="6"/>
          </reference>
          <reference field="3" count="1" selected="0">
            <x v="5"/>
          </reference>
          <reference field="5" count="1" selected="0">
            <x v="6"/>
          </reference>
          <reference field="13" count="1" selected="0">
            <x v="5"/>
          </reference>
          <reference field="22" count="1">
            <x v="10"/>
          </reference>
          <reference field="23" count="1" selected="0">
            <x v="2"/>
          </reference>
          <reference field="72" count="1" selected="0">
            <x v="170"/>
          </reference>
        </references>
      </pivotArea>
    </format>
    <format dxfId="2072">
      <pivotArea dataOnly="0" labelOnly="1" outline="0" fieldPosition="0">
        <references count="8">
          <reference field="1" count="1" selected="0">
            <x v="47"/>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2071">
      <pivotArea dataOnly="0" labelOnly="1" outline="0" fieldPosition="0">
        <references count="8">
          <reference field="1" count="1" selected="0">
            <x v="48"/>
          </reference>
          <reference field="2" count="1" selected="0">
            <x v="11"/>
          </reference>
          <reference field="3" count="1" selected="0">
            <x v="4"/>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2070">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2069">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2068">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2067">
      <pivotArea field="12" type="button" dataOnly="0" labelOnly="1" outline="0" axis="axisRow" fieldPosition="10"/>
    </format>
    <format dxfId="2066">
      <pivotArea field="85" type="button" dataOnly="0" labelOnly="1" outline="0" axis="axisRow" fieldPosition="11"/>
    </format>
    <format dxfId="2065">
      <pivotArea dataOnly="0" labelOnly="1" outline="0" fieldPosition="0">
        <references count="11">
          <reference field="1" count="1" selected="0">
            <x v="0"/>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3883"/>
          </reference>
          <reference field="82" count="1" selected="0">
            <x v="2395"/>
          </reference>
        </references>
      </pivotArea>
    </format>
    <format dxfId="2064">
      <pivotArea dataOnly="0" labelOnly="1" outline="0" fieldPosition="0">
        <references count="11">
          <reference field="1" count="1" selected="0">
            <x v="0"/>
          </reference>
          <reference field="2" count="1" selected="0">
            <x v="6"/>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5"/>
          </reference>
        </references>
      </pivotArea>
    </format>
    <format dxfId="2063">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3"/>
          </reference>
        </references>
      </pivotArea>
    </format>
    <format dxfId="2062">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917"/>
          </reference>
          <reference field="82" count="1" selected="0">
            <x v="2530"/>
          </reference>
        </references>
      </pivotArea>
    </format>
    <format dxfId="2061">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5"/>
          </reference>
        </references>
      </pivotArea>
    </format>
    <format dxfId="2060">
      <pivotArea dataOnly="0" labelOnly="1" outline="0" fieldPosition="0">
        <references count="11">
          <reference field="1" count="1" selected="0">
            <x v="0"/>
          </reference>
          <reference field="2" count="1" selected="0">
            <x v="10"/>
          </reference>
          <reference field="3" count="1" selected="0">
            <x v="3"/>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2059">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2"/>
          </reference>
        </references>
      </pivotArea>
    </format>
    <format dxfId="2058">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5"/>
          </reference>
        </references>
      </pivotArea>
    </format>
    <format dxfId="2057">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2"/>
          </reference>
        </references>
      </pivotArea>
    </format>
    <format dxfId="2056">
      <pivotArea dataOnly="0" labelOnly="1" outline="0" fieldPosition="0">
        <references count="11">
          <reference field="1" count="1" selected="0">
            <x v="0"/>
          </reference>
          <reference field="2" count="1" selected="0">
            <x v="10"/>
          </reference>
          <reference field="3" count="1" selected="0">
            <x v="5"/>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2055">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5"/>
          </reference>
        </references>
      </pivotArea>
    </format>
    <format dxfId="2054">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3919"/>
          </reference>
          <reference field="82" count="1" selected="0">
            <x v="2447"/>
          </reference>
        </references>
      </pivotArea>
    </format>
    <format dxfId="2053">
      <pivotArea dataOnly="0" labelOnly="1" outline="0" fieldPosition="0">
        <references count="11">
          <reference field="1" count="1" selected="0">
            <x v="0"/>
          </reference>
          <reference field="2" count="1" selected="0">
            <x v="6"/>
          </reference>
          <reference field="3" count="1" selected="0">
            <x v="7"/>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2052">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3"/>
          </reference>
        </references>
      </pivotArea>
    </format>
    <format dxfId="2051">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917"/>
          </reference>
          <reference field="82" count="1" selected="0">
            <x v="2530"/>
          </reference>
        </references>
      </pivotArea>
    </format>
    <format dxfId="2050">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3866"/>
          </reference>
          <reference field="82" count="1" selected="0">
            <x v="2387"/>
          </reference>
        </references>
      </pivotArea>
    </format>
    <format dxfId="2049">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3883"/>
          </reference>
          <reference field="82" count="1" selected="0">
            <x v="2431"/>
          </reference>
        </references>
      </pivotArea>
    </format>
    <format dxfId="2048">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2"/>
          </reference>
        </references>
      </pivotArea>
    </format>
    <format dxfId="2047">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3866"/>
          </reference>
          <reference field="82" count="1" selected="0">
            <x v="2386"/>
          </reference>
        </references>
      </pivotArea>
    </format>
    <format dxfId="2046">
      <pivotArea dataOnly="0" labelOnly="1" outline="0" fieldPosition="0">
        <references count="11">
          <reference field="1" count="1" selected="0">
            <x v="0"/>
          </reference>
          <reference field="2" count="1" selected="0">
            <x v="6"/>
          </reference>
          <reference field="3" count="1" selected="0">
            <x v="12"/>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2045">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3"/>
          </reference>
        </references>
      </pivotArea>
    </format>
    <format dxfId="2044">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3922"/>
          </reference>
          <reference field="82" count="1" selected="0">
            <x v="2450"/>
          </reference>
        </references>
      </pivotArea>
    </format>
    <format dxfId="2043">
      <pivotArea dataOnly="0" labelOnly="1" outline="0" fieldPosition="0">
        <references count="11">
          <reference field="1" count="1" selected="0">
            <x v="0"/>
          </reference>
          <reference field="2" count="1" selected="0">
            <x v="6"/>
          </reference>
          <reference field="3" count="1" selected="0">
            <x v="14"/>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2042">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3"/>
          </reference>
        </references>
      </pivotArea>
    </format>
    <format dxfId="2041">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917"/>
          </reference>
          <reference field="82" count="1" selected="0">
            <x v="2530"/>
          </reference>
        </references>
      </pivotArea>
    </format>
    <format dxfId="2040">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5"/>
          </reference>
        </references>
      </pivotArea>
    </format>
    <format dxfId="2039">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2"/>
          </reference>
        </references>
      </pivotArea>
    </format>
    <format dxfId="2038">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3868"/>
          </reference>
          <reference field="82" count="1" selected="0">
            <x v="2373"/>
          </reference>
        </references>
      </pivotArea>
    </format>
    <format dxfId="2037">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3927"/>
          </reference>
          <reference field="82" count="1" selected="0">
            <x v="2458"/>
          </reference>
        </references>
      </pivotArea>
    </format>
    <format dxfId="2036">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3967"/>
          </reference>
          <reference field="82" count="1" selected="0">
            <x v="2507"/>
          </reference>
        </references>
      </pivotArea>
    </format>
    <format dxfId="2035">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3927"/>
          </reference>
          <reference field="82" count="1" selected="0">
            <x v="2458"/>
          </reference>
        </references>
      </pivotArea>
    </format>
    <format dxfId="2034">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3967"/>
          </reference>
          <reference field="82" count="1" selected="0">
            <x v="2507"/>
          </reference>
        </references>
      </pivotArea>
    </format>
    <format dxfId="2033">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3936"/>
          </reference>
          <reference field="82" count="1" selected="0">
            <x v="2467"/>
          </reference>
        </references>
      </pivotArea>
    </format>
    <format dxfId="2032">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3864"/>
          </reference>
          <reference field="82" count="1" selected="0">
            <x v="2368"/>
          </reference>
        </references>
      </pivotArea>
    </format>
    <format dxfId="2031">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3882"/>
          </reference>
          <reference field="82" count="1" selected="0">
            <x v="2423"/>
          </reference>
        </references>
      </pivotArea>
    </format>
    <format dxfId="2030">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3933"/>
          </reference>
          <reference field="82" count="1" selected="0">
            <x v="2464"/>
          </reference>
        </references>
      </pivotArea>
    </format>
    <format dxfId="2029">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3978"/>
          </reference>
          <reference field="82" count="1" selected="0">
            <x v="2520"/>
          </reference>
        </references>
      </pivotArea>
    </format>
    <format dxfId="2028">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3915"/>
          </reference>
          <reference field="82" count="1" selected="0">
            <x v="2442"/>
          </reference>
        </references>
      </pivotArea>
    </format>
    <format dxfId="2027">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3876"/>
          </reference>
          <reference field="82" count="1" selected="0">
            <x v="2384"/>
          </reference>
        </references>
      </pivotArea>
    </format>
    <format dxfId="2026">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3909"/>
          </reference>
          <reference field="82" count="1" selected="0">
            <x v="2427"/>
          </reference>
        </references>
      </pivotArea>
    </format>
    <format dxfId="2025">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3912"/>
          </reference>
          <reference field="82" count="1" selected="0">
            <x v="2438"/>
          </reference>
        </references>
      </pivotArea>
    </format>
    <format dxfId="2024">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selected="0">
            <x v="2369"/>
          </reference>
        </references>
      </pivotArea>
    </format>
    <format dxfId="2023">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3912"/>
          </reference>
          <reference field="82" count="1" selected="0">
            <x v="2438"/>
          </reference>
        </references>
      </pivotArea>
    </format>
    <format dxfId="2022">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3870"/>
          </reference>
          <reference field="82" count="1" selected="0">
            <x v="2375"/>
          </reference>
        </references>
      </pivotArea>
    </format>
    <format dxfId="2021">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3917"/>
          </reference>
          <reference field="82" count="1" selected="0">
            <x v="2444"/>
          </reference>
        </references>
      </pivotArea>
    </format>
    <format dxfId="2020">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3943"/>
          </reference>
          <reference field="82" count="1" selected="0">
            <x v="2489"/>
          </reference>
        </references>
      </pivotArea>
    </format>
    <format dxfId="2019">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3917"/>
          </reference>
          <reference field="82" count="1" selected="0">
            <x v="2444"/>
          </reference>
        </references>
      </pivotArea>
    </format>
    <format dxfId="2018">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3869"/>
          </reference>
          <reference field="82" count="1" selected="0">
            <x v="2511"/>
          </reference>
        </references>
      </pivotArea>
    </format>
    <format dxfId="2017">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59"/>
          </reference>
          <reference field="81" count="1" selected="0">
            <x v="3987"/>
          </reference>
          <reference field="82" count="1" selected="0">
            <x v="2542"/>
          </reference>
        </references>
      </pivotArea>
    </format>
    <format dxfId="2016">
      <pivotArea dataOnly="0" labelOnly="1" outline="0" fieldPosition="0">
        <references count="11">
          <reference field="1" count="1" selected="0">
            <x v="7"/>
          </reference>
          <reference field="2" count="1" selected="0">
            <x v="4"/>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2015">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3979"/>
          </reference>
          <reference field="82" count="1" selected="0">
            <x v="2521"/>
          </reference>
        </references>
      </pivotArea>
    </format>
    <format dxfId="2014">
      <pivotArea dataOnly="0" labelOnly="1" outline="0" fieldPosition="0">
        <references count="11">
          <reference field="1" count="1" selected="0">
            <x v="7"/>
          </reference>
          <reference field="2" count="1" selected="0">
            <x v="4"/>
          </reference>
          <reference field="3" count="1" selected="0">
            <x v="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2013">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3849"/>
          </reference>
          <reference field="82" count="1" selected="0">
            <x v="2352"/>
          </reference>
        </references>
      </pivotArea>
    </format>
    <format dxfId="2012">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3979"/>
          </reference>
          <reference field="82" count="1" selected="0">
            <x v="2521"/>
          </reference>
        </references>
      </pivotArea>
    </format>
    <format dxfId="2011">
      <pivotArea dataOnly="0" labelOnly="1" outline="0" fieldPosition="0">
        <references count="11">
          <reference field="1" count="1" selected="0">
            <x v="7"/>
          </reference>
          <reference field="2" count="1" selected="0">
            <x v="4"/>
          </reference>
          <reference field="3" count="1" selected="0">
            <x v="1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2010">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3979"/>
          </reference>
          <reference field="82" count="1" selected="0">
            <x v="2521"/>
          </reference>
        </references>
      </pivotArea>
    </format>
    <format dxfId="2009">
      <pivotArea dataOnly="0" labelOnly="1" outline="0" fieldPosition="0">
        <references count="11">
          <reference field="1" count="1" selected="0">
            <x v="7"/>
          </reference>
          <reference field="2" count="1" selected="0">
            <x v="4"/>
          </reference>
          <reference field="3" count="1" selected="0">
            <x v="1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2008">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3862"/>
          </reference>
          <reference field="82" count="1" selected="0">
            <x v="2446"/>
          </reference>
        </references>
      </pivotArea>
    </format>
    <format dxfId="2007">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3866"/>
          </reference>
          <reference field="82" count="1" selected="0">
            <x v="2370"/>
          </reference>
        </references>
      </pivotArea>
    </format>
    <format dxfId="2006">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3903"/>
          </reference>
          <reference field="82" count="1" selected="0">
            <x v="2417"/>
          </reference>
        </references>
      </pivotArea>
    </format>
    <format dxfId="2005">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3928"/>
          </reference>
          <reference field="82" count="1" selected="0">
            <x v="2477"/>
          </reference>
        </references>
      </pivotArea>
    </format>
    <format dxfId="2004">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3977"/>
          </reference>
          <reference field="82" count="1" selected="0">
            <x v="2518"/>
          </reference>
        </references>
      </pivotArea>
    </format>
    <format dxfId="2003">
      <pivotArea dataOnly="0" labelOnly="1" outline="0" fieldPosition="0">
        <references count="11">
          <reference field="1" count="1" selected="0">
            <x v="10"/>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s>
      </pivotArea>
    </format>
    <format dxfId="2002">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3866"/>
          </reference>
          <reference field="82" count="1" selected="0">
            <x v="2370"/>
          </reference>
        </references>
      </pivotArea>
    </format>
    <format dxfId="2001">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3901"/>
          </reference>
          <reference field="82" count="1" selected="0">
            <x v="2413"/>
          </reference>
        </references>
      </pivotArea>
    </format>
    <format dxfId="2000">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3860"/>
          </reference>
          <reference field="82" count="1" selected="0">
            <x v="2478"/>
          </reference>
        </references>
      </pivotArea>
    </format>
    <format dxfId="1999">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3977"/>
          </reference>
          <reference field="82" count="1" selected="0">
            <x v="2518"/>
          </reference>
        </references>
      </pivotArea>
    </format>
    <format dxfId="1998">
      <pivotArea dataOnly="0" labelOnly="1" outline="0" fieldPosition="0">
        <references count="11">
          <reference field="1" count="1" selected="0">
            <x v="13"/>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s>
      </pivotArea>
    </format>
    <format dxfId="1997">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3911"/>
          </reference>
          <reference field="82" count="1" selected="0">
            <x v="2429"/>
          </reference>
        </references>
      </pivotArea>
    </format>
    <format dxfId="1996">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3941"/>
          </reference>
          <reference field="82" count="1" selected="0">
            <x v="2472"/>
          </reference>
        </references>
      </pivotArea>
    </format>
    <format dxfId="1995">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3949"/>
          </reference>
          <reference field="82" count="1" selected="0">
            <x v="2484"/>
          </reference>
        </references>
      </pivotArea>
    </format>
    <format dxfId="1994">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3911"/>
          </reference>
          <reference field="82" count="1" selected="0">
            <x v="2429"/>
          </reference>
        </references>
      </pivotArea>
    </format>
    <format dxfId="1993">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3944"/>
          </reference>
          <reference field="82" count="1" selected="0">
            <x v="2475"/>
          </reference>
        </references>
      </pivotArea>
    </format>
    <format dxfId="1992">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3949"/>
          </reference>
          <reference field="82" count="1" selected="0">
            <x v="2484"/>
          </reference>
        </references>
      </pivotArea>
    </format>
    <format dxfId="1991">
      <pivotArea dataOnly="0" labelOnly="1" outline="0" fieldPosition="0">
        <references count="11">
          <reference field="1" count="1" selected="0">
            <x v="17"/>
          </reference>
          <reference field="2" count="1" selected="0">
            <x v="4"/>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1990">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3975"/>
          </reference>
          <reference field="82" count="1" selected="0">
            <x v="2516"/>
          </reference>
        </references>
      </pivotArea>
    </format>
    <format dxfId="1989">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68"/>
          </reference>
          <reference field="81" count="1" selected="0">
            <x v="3990"/>
          </reference>
          <reference field="82" count="1" selected="0">
            <x v="2545"/>
          </reference>
        </references>
      </pivotArea>
    </format>
    <format dxfId="1988">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3866"/>
          </reference>
          <reference field="82" count="1" selected="0">
            <x v="2380"/>
          </reference>
        </references>
      </pivotArea>
    </format>
    <format dxfId="1987">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3963"/>
          </reference>
          <reference field="82" count="1" selected="0">
            <x v="2502"/>
          </reference>
        </references>
      </pivotArea>
    </format>
    <format dxfId="1986">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3933"/>
          </reference>
          <reference field="82" count="1" selected="0">
            <x v="2560"/>
          </reference>
        </references>
      </pivotArea>
    </format>
    <format dxfId="1985">
      <pivotArea dataOnly="0" labelOnly="1" outline="0" fieldPosition="0">
        <references count="11">
          <reference field="1" count="1" selected="0">
            <x v="19"/>
          </reference>
          <reference field="2" count="1" selected="0">
            <x v="6"/>
          </reference>
          <reference field="3" count="1" selected="0">
            <x v="15"/>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6"/>
          </reference>
          <reference field="81" count="1" selected="0">
            <x v="1030"/>
          </reference>
          <reference field="82" count="1" selected="0">
            <x v="26"/>
          </reference>
        </references>
      </pivotArea>
    </format>
    <format dxfId="1984">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3997"/>
          </reference>
          <reference field="82" count="1" selected="0">
            <x v="2563"/>
          </reference>
        </references>
      </pivotArea>
    </format>
    <format dxfId="1983">
      <pivotArea dataOnly="0" labelOnly="1" outline="0" fieldPosition="0">
        <references count="11">
          <reference field="1" count="1" selected="0">
            <x v="21"/>
          </reference>
          <reference field="2" count="1" selected="0">
            <x v="5"/>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1982">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858"/>
          </reference>
          <reference field="82" count="1" selected="0">
            <x v="2362"/>
          </reference>
        </references>
      </pivotArea>
    </format>
    <format dxfId="1981">
      <pivotArea dataOnly="0" labelOnly="1" outline="0" fieldPosition="0">
        <references count="11">
          <reference field="1" count="1" selected="0">
            <x v="21"/>
          </reference>
          <reference field="2" count="1" selected="0">
            <x v="5"/>
          </reference>
          <reference field="3" count="1" selected="0">
            <x v="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1980">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858"/>
          </reference>
          <reference field="82" count="1" selected="0">
            <x v="2362"/>
          </reference>
        </references>
      </pivotArea>
    </format>
    <format dxfId="1979">
      <pivotArea dataOnly="0" labelOnly="1" outline="0" fieldPosition="0">
        <references count="11">
          <reference field="1" count="1" selected="0">
            <x v="21"/>
          </reference>
          <reference field="2" count="1" selected="0">
            <x v="5"/>
          </reference>
          <reference field="3" count="1" selected="0">
            <x v="12"/>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1978">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858"/>
          </reference>
          <reference field="82" count="1" selected="0">
            <x v="2362"/>
          </reference>
        </references>
      </pivotArea>
    </format>
    <format dxfId="1977">
      <pivotArea dataOnly="0" labelOnly="1" outline="0" fieldPosition="0">
        <references count="11">
          <reference field="1" count="1" selected="0">
            <x v="21"/>
          </reference>
          <reference field="2" count="1" selected="0">
            <x v="5"/>
          </reference>
          <reference field="3" count="1" selected="0">
            <x v="19"/>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1976">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8"/>
          </reference>
          <reference field="81" count="1" selected="0">
            <x v="3996"/>
          </reference>
          <reference field="82" count="1" selected="0">
            <x v="2556"/>
          </reference>
        </references>
      </pivotArea>
    </format>
    <format dxfId="1975">
      <pivotArea dataOnly="0" labelOnly="1" outline="0" fieldPosition="0">
        <references count="11">
          <reference field="1" count="1" selected="0">
            <x v="25"/>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s>
      </pivotArea>
    </format>
    <format dxfId="1974">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3961"/>
          </reference>
          <reference field="82" count="1" selected="0">
            <x v="2500"/>
          </reference>
        </references>
      </pivotArea>
    </format>
    <format dxfId="1973">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3890"/>
          </reference>
          <reference field="82" count="1" selected="0">
            <x v="2402"/>
          </reference>
        </references>
      </pivotArea>
    </format>
    <format dxfId="1972">
      <pivotArea dataOnly="0" labelOnly="1" outline="0" fieldPosition="0">
        <references count="11">
          <reference field="1" count="1" selected="0">
            <x v="29"/>
          </reference>
          <reference field="2" count="1" selected="0">
            <x v="2"/>
          </reference>
          <reference field="3"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1971">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3854"/>
          </reference>
          <reference field="82" count="1" selected="0">
            <x v="2358"/>
          </reference>
        </references>
      </pivotArea>
    </format>
    <format dxfId="1970">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3998"/>
          </reference>
          <reference field="82" count="1" selected="0">
            <x v="2565"/>
          </reference>
        </references>
      </pivotArea>
    </format>
    <format dxfId="1969">
      <pivotArea dataOnly="0" labelOnly="1" outline="0" fieldPosition="0">
        <references count="11">
          <reference field="1" count="1" selected="0">
            <x v="29"/>
          </reference>
          <reference field="2" count="1" selected="0">
            <x v="2"/>
          </reference>
          <reference field="3" count="1" selected="0">
            <x v="1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1968">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3881"/>
          </reference>
          <reference field="82" count="1" selected="0">
            <x v="2392"/>
          </reference>
        </references>
      </pivotArea>
    </format>
    <format dxfId="1967">
      <pivotArea dataOnly="0" labelOnly="1" outline="0" fieldPosition="0">
        <references count="11">
          <reference field="1" count="1" selected="0">
            <x v="30"/>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1"/>
          </reference>
          <reference field="81" count="1" selected="0">
            <x v="3028"/>
          </reference>
          <reference field="82" count="1" selected="0">
            <x v="1453"/>
          </reference>
        </references>
      </pivotArea>
    </format>
    <format dxfId="1966">
      <pivotArea dataOnly="0" labelOnly="1" outline="0" fieldPosition="0">
        <references count="11">
          <reference field="1" count="1" selected="0">
            <x v="30"/>
          </reference>
          <reference field="2" count="1" selected="0">
            <x v="0"/>
          </reference>
          <reference field="3" count="1" selected="0">
            <x v="8"/>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s>
      </pivotArea>
    </format>
    <format dxfId="1965">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4000"/>
          </reference>
          <reference field="82" count="1" selected="0">
            <x v="2567"/>
          </reference>
        </references>
      </pivotArea>
    </format>
    <format dxfId="1964">
      <pivotArea dataOnly="0" labelOnly="1" outline="0" fieldPosition="0">
        <references count="11">
          <reference field="1" count="1" selected="0">
            <x v="30"/>
          </reference>
          <reference field="2" count="1" selected="0">
            <x v="14"/>
          </reference>
          <reference field="3" count="1" selected="0">
            <x v="22"/>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s>
      </pivotArea>
    </format>
    <format dxfId="1963">
      <pivotArea dataOnly="0" labelOnly="1" outline="0" fieldPosition="0">
        <references count="11">
          <reference field="1" count="1" selected="0">
            <x v="31"/>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4"/>
          </reference>
          <reference field="81" count="1" selected="0">
            <x v="3031"/>
          </reference>
          <reference field="82" count="1" selected="0">
            <x v="1456"/>
          </reference>
        </references>
      </pivotArea>
    </format>
    <format dxfId="1962">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4001"/>
          </reference>
          <reference field="82" count="1" selected="0">
            <x v="2568"/>
          </reference>
        </references>
      </pivotArea>
    </format>
    <format dxfId="1961">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3877"/>
          </reference>
          <reference field="82" count="1" selected="0">
            <x v="2385"/>
          </reference>
        </references>
      </pivotArea>
    </format>
    <format dxfId="1960">
      <pivotArea dataOnly="0" labelOnly="1" outline="0" fieldPosition="0">
        <references count="11">
          <reference field="1" count="1" selected="0">
            <x v="32"/>
          </reference>
          <reference field="2" count="1" selected="0">
            <x v="1"/>
          </reference>
          <reference field="3" count="1" selected="0">
            <x v="8"/>
          </reference>
          <reference field="5" count="1" selected="0">
            <x v="13"/>
          </reference>
          <reference field="12" count="1">
            <x v="0"/>
          </reference>
          <reference field="13" count="1" selected="0">
            <x v="2"/>
          </reference>
          <reference field="22" count="1" selected="0">
            <x v="17"/>
          </reference>
          <reference field="23" count="1" selected="0">
            <x v="2"/>
          </reference>
          <reference field="72" count="1" selected="0">
            <x v="206"/>
          </reference>
          <reference field="81" count="1" selected="0">
            <x v="4003"/>
          </reference>
          <reference field="82" count="1" selected="0">
            <x v="2570"/>
          </reference>
        </references>
      </pivotArea>
    </format>
    <format dxfId="1959">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4002"/>
          </reference>
          <reference field="82" count="1" selected="0">
            <x v="2569"/>
          </reference>
        </references>
      </pivotArea>
    </format>
    <format dxfId="1958">
      <pivotArea dataOnly="0" labelOnly="1" outline="0" fieldPosition="0">
        <references count="11">
          <reference field="1" count="1" selected="0">
            <x v="32"/>
          </reference>
          <reference field="2" count="1" selected="0">
            <x v="0"/>
          </reference>
          <reference field="3" count="1" selected="0">
            <x v="23"/>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2"/>
          </reference>
          <reference field="81" count="1" selected="0">
            <x v="3029"/>
          </reference>
          <reference field="82" count="1" selected="0">
            <x v="1454"/>
          </reference>
        </references>
      </pivotArea>
    </format>
    <format dxfId="1957">
      <pivotArea dataOnly="0" labelOnly="1" outline="0" fieldPosition="0">
        <references count="11">
          <reference field="1" count="1" selected="0">
            <x v="35"/>
          </reference>
          <reference field="2" count="1" selected="0">
            <x v="13"/>
          </reference>
          <reference field="3" count="1" selected="0">
            <x v="15"/>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1956">
      <pivotArea dataOnly="0" labelOnly="1" outline="0" fieldPosition="0">
        <references count="11">
          <reference field="1" count="1" selected="0">
            <x v="36"/>
          </reference>
          <reference field="2" count="1" selected="0">
            <x v="0"/>
          </reference>
          <reference field="3" count="1" selected="0">
            <x v="8"/>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s>
      </pivotArea>
    </format>
    <format dxfId="1955">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3853"/>
          </reference>
          <reference field="82" count="1" selected="0">
            <x v="2357"/>
          </reference>
        </references>
      </pivotArea>
    </format>
    <format dxfId="1954">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3930"/>
          </reference>
          <reference field="82" count="1" selected="0">
            <x v="2562"/>
          </reference>
        </references>
      </pivotArea>
    </format>
    <format dxfId="1953">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3954"/>
          </reference>
          <reference field="82" count="1" selected="0">
            <x v="2492"/>
          </reference>
        </references>
      </pivotArea>
    </format>
    <format dxfId="1952">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3999"/>
          </reference>
          <reference field="82" count="1" selected="0">
            <x v="2566"/>
          </reference>
        </references>
      </pivotArea>
    </format>
    <format dxfId="1951">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3880"/>
          </reference>
          <reference field="82" count="1" selected="0">
            <x v="2391"/>
          </reference>
        </references>
      </pivotArea>
    </format>
    <format dxfId="1950">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3879"/>
          </reference>
          <reference field="82" count="1" selected="0">
            <x v="2389"/>
          </reference>
        </references>
      </pivotArea>
    </format>
    <format dxfId="1949">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3954"/>
          </reference>
          <reference field="82" count="1" selected="0">
            <x v="2492"/>
          </reference>
        </references>
      </pivotArea>
    </format>
    <format dxfId="1948">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3879"/>
          </reference>
          <reference field="82" count="1" selected="0">
            <x v="2390"/>
          </reference>
        </references>
      </pivotArea>
    </format>
    <format dxfId="1947">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3914"/>
          </reference>
          <reference field="82" count="1" selected="0">
            <x v="2555"/>
          </reference>
        </references>
      </pivotArea>
    </format>
    <format dxfId="1946">
      <pivotArea dataOnly="0" labelOnly="1" outline="0" fieldPosition="0">
        <references count="11">
          <reference field="1" count="1" selected="0">
            <x v="41"/>
          </reference>
          <reference field="2" count="1" selected="0">
            <x v="0"/>
          </reference>
          <reference field="3"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1945">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3972"/>
          </reference>
          <reference field="82" count="1" selected="0">
            <x v="2513"/>
          </reference>
        </references>
      </pivotArea>
    </format>
    <format dxfId="1944">
      <pivotArea dataOnly="0" labelOnly="1" outline="0" fieldPosition="0">
        <references count="11">
          <reference field="1" count="1" selected="0">
            <x v="47"/>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s>
      </pivotArea>
    </format>
    <format dxfId="1943">
      <pivotArea dataOnly="0" labelOnly="1" outline="0" fieldPosition="0">
        <references count="11">
          <reference field="1" count="1" selected="0">
            <x v="49"/>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9"/>
          </reference>
          <reference field="81" count="1" selected="0">
            <x v="3987"/>
          </reference>
          <reference field="82" count="1" selected="0">
            <x v="2542"/>
          </reference>
        </references>
      </pivotArea>
    </format>
    <format dxfId="1942">
      <pivotArea dataOnly="0" labelOnly="1" outline="0" fieldPosition="0">
        <references count="12">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883"/>
          </reference>
          <reference field="82" count="1" selected="0">
            <x v="2395"/>
          </reference>
          <reference field="85" count="1">
            <x v="4"/>
          </reference>
        </references>
      </pivotArea>
    </format>
    <format dxfId="1941">
      <pivotArea dataOnly="0" labelOnly="1" outline="0" fieldPosition="0">
        <references count="12">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5"/>
          </reference>
          <reference field="85" count="1">
            <x v="0"/>
          </reference>
        </references>
      </pivotArea>
    </format>
    <format dxfId="1940">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3"/>
          </reference>
          <reference field="85" count="1">
            <x v="7"/>
          </reference>
        </references>
      </pivotArea>
    </format>
    <format dxfId="1939">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917"/>
          </reference>
          <reference field="82" count="1" selected="0">
            <x v="2530"/>
          </reference>
          <reference field="85" count="1">
            <x v="4"/>
          </reference>
        </references>
      </pivotArea>
    </format>
    <format dxfId="1938">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5"/>
          </reference>
          <reference field="85" count="1">
            <x v="7"/>
          </reference>
        </references>
      </pivotArea>
    </format>
    <format dxfId="1937">
      <pivotArea dataOnly="0" labelOnly="1" outline="0" fieldPosition="0">
        <references count="12">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1936">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2"/>
          </reference>
          <reference field="85" count="1">
            <x v="0"/>
          </reference>
        </references>
      </pivotArea>
    </format>
    <format dxfId="1935">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5"/>
          </reference>
          <reference field="85" count="1">
            <x v="7"/>
          </reference>
        </references>
      </pivotArea>
    </format>
    <format dxfId="1934">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2"/>
          </reference>
          <reference field="85" count="1">
            <x v="0"/>
          </reference>
        </references>
      </pivotArea>
    </format>
    <format dxfId="1933">
      <pivotArea dataOnly="0" labelOnly="1" outline="0" fieldPosition="0">
        <references count="12">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1932">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5"/>
          </reference>
          <reference field="85" count="1">
            <x v="7"/>
          </reference>
        </references>
      </pivotArea>
    </format>
    <format dxfId="1931">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3919"/>
          </reference>
          <reference field="82" count="1" selected="0">
            <x v="2447"/>
          </reference>
          <reference field="85" count="1">
            <x v="0"/>
          </reference>
        </references>
      </pivotArea>
    </format>
    <format dxfId="1930">
      <pivotArea dataOnly="0" labelOnly="1" outline="0" fieldPosition="0">
        <references count="12">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1929">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3"/>
          </reference>
          <reference field="85" count="1">
            <x v="7"/>
          </reference>
        </references>
      </pivotArea>
    </format>
    <format dxfId="1928">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917"/>
          </reference>
          <reference field="82" count="1" selected="0">
            <x v="2530"/>
          </reference>
          <reference field="85" count="1">
            <x v="4"/>
          </reference>
        </references>
      </pivotArea>
    </format>
    <format dxfId="1927">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866"/>
          </reference>
          <reference field="82" count="1" selected="0">
            <x v="2387"/>
          </reference>
          <reference field="85" count="1">
            <x v="7"/>
          </reference>
        </references>
      </pivotArea>
    </format>
    <format dxfId="1926">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883"/>
          </reference>
          <reference field="82" count="1" selected="0">
            <x v="2431"/>
          </reference>
          <reference field="85" count="1">
            <x v="4"/>
          </reference>
        </references>
      </pivotArea>
    </format>
    <format dxfId="1925">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2"/>
          </reference>
          <reference field="85" count="1">
            <x v="0"/>
          </reference>
        </references>
      </pivotArea>
    </format>
    <format dxfId="1924">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866"/>
          </reference>
          <reference field="82" count="1" selected="0">
            <x v="2386"/>
          </reference>
          <reference field="85" count="1">
            <x v="7"/>
          </reference>
        </references>
      </pivotArea>
    </format>
    <format dxfId="1923">
      <pivotArea dataOnly="0" labelOnly="1" outline="0" fieldPosition="0">
        <references count="12">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1922">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3"/>
          </reference>
          <reference field="85" count="1">
            <x v="7"/>
          </reference>
        </references>
      </pivotArea>
    </format>
    <format dxfId="1921">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922"/>
          </reference>
          <reference field="82" count="1" selected="0">
            <x v="2450"/>
          </reference>
          <reference field="85" count="1">
            <x v="0"/>
          </reference>
        </references>
      </pivotArea>
    </format>
    <format dxfId="1920">
      <pivotArea dataOnly="0" labelOnly="1" outline="0" fieldPosition="0">
        <references count="12">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1919">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3"/>
          </reference>
          <reference field="85" count="1">
            <x v="7"/>
          </reference>
        </references>
      </pivotArea>
    </format>
    <format dxfId="1918">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917"/>
          </reference>
          <reference field="82" count="1" selected="0">
            <x v="2530"/>
          </reference>
          <reference field="85" count="1">
            <x v="4"/>
          </reference>
        </references>
      </pivotArea>
    </format>
    <format dxfId="1917">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5"/>
          </reference>
          <reference field="85" count="1">
            <x v="7"/>
          </reference>
        </references>
      </pivotArea>
    </format>
    <format dxfId="1916">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2"/>
          </reference>
          <reference field="85" count="1">
            <x v="0"/>
          </reference>
        </references>
      </pivotArea>
    </format>
    <format dxfId="1915">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3868"/>
          </reference>
          <reference field="82" count="1" selected="0">
            <x v="2373"/>
          </reference>
          <reference field="85" count="1">
            <x v="7"/>
          </reference>
        </references>
      </pivotArea>
    </format>
    <format dxfId="1914">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927"/>
          </reference>
          <reference field="82" count="1" selected="0">
            <x v="2458"/>
          </reference>
          <reference field="85" count="1">
            <x v="0"/>
          </reference>
        </references>
      </pivotArea>
    </format>
    <format dxfId="1913">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967"/>
          </reference>
          <reference field="82" count="1" selected="0">
            <x v="2507"/>
          </reference>
          <reference field="85" count="1">
            <x v="7"/>
          </reference>
        </references>
      </pivotArea>
    </format>
    <format dxfId="1912">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927"/>
          </reference>
          <reference field="82" count="1" selected="0">
            <x v="2458"/>
          </reference>
          <reference field="85" count="1">
            <x v="0"/>
          </reference>
        </references>
      </pivotArea>
    </format>
    <format dxfId="1911">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967"/>
          </reference>
          <reference field="82" count="1" selected="0">
            <x v="2507"/>
          </reference>
          <reference field="85" count="1">
            <x v="7"/>
          </reference>
        </references>
      </pivotArea>
    </format>
    <format dxfId="1910">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3936"/>
          </reference>
          <reference field="82" count="1" selected="0">
            <x v="2467"/>
          </reference>
          <reference field="85" count="1">
            <x v="0"/>
          </reference>
        </references>
      </pivotArea>
    </format>
    <format dxfId="1909">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3864"/>
          </reference>
          <reference field="82" count="1" selected="0">
            <x v="2368"/>
          </reference>
          <reference field="85" count="1">
            <x v="7"/>
          </reference>
        </references>
      </pivotArea>
    </format>
    <format dxfId="1908">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3882"/>
          </reference>
          <reference field="82" count="1" selected="0">
            <x v="2423"/>
          </reference>
          <reference field="85" count="1">
            <x v="4"/>
          </reference>
        </references>
      </pivotArea>
    </format>
    <format dxfId="1907">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3933"/>
          </reference>
          <reference field="82" count="1" selected="0">
            <x v="2464"/>
          </reference>
          <reference field="85" count="1">
            <x v="0"/>
          </reference>
        </references>
      </pivotArea>
    </format>
    <format dxfId="1906">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978"/>
          </reference>
          <reference field="82" count="1" selected="0">
            <x v="2520"/>
          </reference>
          <reference field="85" count="1">
            <x v="7"/>
          </reference>
        </references>
      </pivotArea>
    </format>
    <format dxfId="1905">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3915"/>
          </reference>
          <reference field="82" count="1" selected="0">
            <x v="2442"/>
          </reference>
          <reference field="85" count="1">
            <x v="0"/>
          </reference>
        </references>
      </pivotArea>
    </format>
    <format dxfId="1904">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3876"/>
          </reference>
          <reference field="82" count="1" selected="0">
            <x v="2384"/>
          </reference>
          <reference field="85" count="1">
            <x v="7"/>
          </reference>
        </references>
      </pivotArea>
    </format>
    <format dxfId="1903">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3909"/>
          </reference>
          <reference field="82" count="1" selected="0">
            <x v="2427"/>
          </reference>
          <reference field="85" count="1">
            <x v="4"/>
          </reference>
        </references>
      </pivotArea>
    </format>
    <format dxfId="1902">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912"/>
          </reference>
          <reference field="82" count="1" selected="0">
            <x v="2438"/>
          </reference>
          <reference field="85" count="1">
            <x v="0"/>
          </reference>
        </references>
      </pivotArea>
    </format>
    <format dxfId="1901">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selected="0">
            <x v="2369"/>
          </reference>
          <reference field="85" count="1">
            <x v="7"/>
          </reference>
        </references>
      </pivotArea>
    </format>
    <format dxfId="1900">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912"/>
          </reference>
          <reference field="82" count="1" selected="0">
            <x v="2438"/>
          </reference>
          <reference field="85" count="1">
            <x v="0"/>
          </reference>
        </references>
      </pivotArea>
    </format>
    <format dxfId="1899">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3870"/>
          </reference>
          <reference field="82" count="1" selected="0">
            <x v="2375"/>
          </reference>
          <reference field="85" count="1">
            <x v="7"/>
          </reference>
        </references>
      </pivotArea>
    </format>
    <format dxfId="1898">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917"/>
          </reference>
          <reference field="82" count="1" selected="0">
            <x v="2444"/>
          </reference>
          <reference field="85" count="1">
            <x v="0"/>
          </reference>
        </references>
      </pivotArea>
    </format>
    <format dxfId="1897">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943"/>
          </reference>
          <reference field="82" count="1" selected="0">
            <x v="2489"/>
          </reference>
          <reference field="85" count="1">
            <x v="2"/>
          </reference>
        </references>
      </pivotArea>
    </format>
    <format dxfId="1896">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917"/>
          </reference>
          <reference field="82" count="1" selected="0">
            <x v="2444"/>
          </reference>
          <reference field="85" count="1">
            <x v="0"/>
          </reference>
        </references>
      </pivotArea>
    </format>
    <format dxfId="1895">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869"/>
          </reference>
          <reference field="82" count="1" selected="0">
            <x v="2511"/>
          </reference>
          <reference field="85" count="1">
            <x v="7"/>
          </reference>
        </references>
      </pivotArea>
    </format>
    <format dxfId="1894">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3987"/>
          </reference>
          <reference field="82" count="1" selected="0">
            <x v="2542"/>
          </reference>
          <reference field="85" count="1">
            <x v="4"/>
          </reference>
        </references>
      </pivotArea>
    </format>
    <format dxfId="1893">
      <pivotArea dataOnly="0" labelOnly="1" outline="0" fieldPosition="0">
        <references count="12">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892">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979"/>
          </reference>
          <reference field="82" count="1" selected="0">
            <x v="2521"/>
          </reference>
          <reference field="85" count="1">
            <x v="4"/>
          </reference>
        </references>
      </pivotArea>
    </format>
    <format dxfId="1891">
      <pivotArea dataOnly="0" labelOnly="1" outline="0" fieldPosition="0">
        <references count="12">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890">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3849"/>
          </reference>
          <reference field="82" count="1" selected="0">
            <x v="2352"/>
          </reference>
          <reference field="85" count="1">
            <x v="3"/>
          </reference>
        </references>
      </pivotArea>
    </format>
    <format dxfId="1889">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979"/>
          </reference>
          <reference field="82" count="1" selected="0">
            <x v="2521"/>
          </reference>
          <reference field="85" count="1">
            <x v="4"/>
          </reference>
        </references>
      </pivotArea>
    </format>
    <format dxfId="1888">
      <pivotArea dataOnly="0" labelOnly="1" outline="0" fieldPosition="0">
        <references count="12">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887">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979"/>
          </reference>
          <reference field="82" count="1" selected="0">
            <x v="2521"/>
          </reference>
          <reference field="85" count="1">
            <x v="4"/>
          </reference>
        </references>
      </pivotArea>
    </format>
    <format dxfId="1886">
      <pivotArea dataOnly="0" labelOnly="1" outline="0" fieldPosition="0">
        <references count="12">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885">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3862"/>
          </reference>
          <reference field="82" count="1" selected="0">
            <x v="2446"/>
          </reference>
          <reference field="85" count="1">
            <x v="0"/>
          </reference>
        </references>
      </pivotArea>
    </format>
    <format dxfId="1884">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866"/>
          </reference>
          <reference field="82" count="1" selected="0">
            <x v="2370"/>
          </reference>
          <reference field="85" count="1">
            <x v="7"/>
          </reference>
        </references>
      </pivotArea>
    </format>
    <format dxfId="1883">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3903"/>
          </reference>
          <reference field="82" count="1" selected="0">
            <x v="2417"/>
          </reference>
          <reference field="85" count="1">
            <x v="4"/>
          </reference>
        </references>
      </pivotArea>
    </format>
    <format dxfId="1882">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928"/>
          </reference>
          <reference field="82" count="1" selected="0">
            <x v="2477"/>
          </reference>
          <reference field="85" count="1">
            <x v="0"/>
          </reference>
        </references>
      </pivotArea>
    </format>
    <format dxfId="1881">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977"/>
          </reference>
          <reference field="82" count="1" selected="0">
            <x v="2518"/>
          </reference>
          <reference field="85" count="1">
            <x v="7"/>
          </reference>
        </references>
      </pivotArea>
    </format>
    <format dxfId="1880">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3858"/>
          </reference>
          <reference field="82" count="1" selected="0">
            <x v="2362"/>
          </reference>
          <reference field="85" count="1">
            <x v="3"/>
          </reference>
        </references>
      </pivotArea>
    </format>
    <format dxfId="1879">
      <pivotArea dataOnly="0" labelOnly="1" outline="0" fieldPosition="0">
        <references count="12">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x v="2"/>
          </reference>
        </references>
      </pivotArea>
    </format>
    <format dxfId="1878">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866"/>
          </reference>
          <reference field="82" count="1" selected="0">
            <x v="2370"/>
          </reference>
          <reference field="85" count="1">
            <x v="7"/>
          </reference>
        </references>
      </pivotArea>
    </format>
    <format dxfId="1877">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3901"/>
          </reference>
          <reference field="82" count="1" selected="0">
            <x v="2413"/>
          </reference>
          <reference field="85" count="1">
            <x v="4"/>
          </reference>
        </references>
      </pivotArea>
    </format>
    <format dxfId="1876">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3860"/>
          </reference>
          <reference field="82" count="1" selected="0">
            <x v="2478"/>
          </reference>
          <reference field="85" count="1">
            <x v="0"/>
          </reference>
        </references>
      </pivotArea>
    </format>
    <format dxfId="1875">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977"/>
          </reference>
          <reference field="82" count="1" selected="0">
            <x v="2518"/>
          </reference>
          <reference field="85" count="1">
            <x v="7"/>
          </reference>
        </references>
      </pivotArea>
    </format>
    <format dxfId="1874">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3863"/>
          </reference>
          <reference field="82" count="1" selected="0">
            <x v="2367"/>
          </reference>
          <reference field="85" count="1">
            <x v="3"/>
          </reference>
        </references>
      </pivotArea>
    </format>
    <format dxfId="1873">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866"/>
          </reference>
          <reference field="82" count="1" selected="0">
            <x v="2370"/>
          </reference>
          <reference field="85" count="1">
            <x v="7"/>
          </reference>
        </references>
      </pivotArea>
    </format>
    <format dxfId="1872">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3848"/>
          </reference>
          <reference field="82" count="1" selected="0">
            <x v="2356"/>
          </reference>
          <reference field="85" count="1">
            <x v="3"/>
          </reference>
        </references>
      </pivotArea>
    </format>
    <format dxfId="1871">
      <pivotArea dataOnly="0" labelOnly="1" outline="0" fieldPosition="0">
        <references count="12">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x v="2"/>
          </reference>
        </references>
      </pivotArea>
    </format>
    <format dxfId="1870">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911"/>
          </reference>
          <reference field="82" count="1" selected="0">
            <x v="2429"/>
          </reference>
          <reference field="85" count="1">
            <x v="4"/>
          </reference>
        </references>
      </pivotArea>
    </format>
    <format dxfId="1869">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3941"/>
          </reference>
          <reference field="82" count="1" selected="0">
            <x v="2472"/>
          </reference>
          <reference field="85" count="1">
            <x v="0"/>
          </reference>
        </references>
      </pivotArea>
    </format>
    <format dxfId="1868">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949"/>
          </reference>
          <reference field="82" count="1" selected="0">
            <x v="2484"/>
          </reference>
          <reference field="85" count="1">
            <x v="2"/>
          </reference>
        </references>
      </pivotArea>
    </format>
    <format dxfId="1867">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911"/>
          </reference>
          <reference field="82" count="1" selected="0">
            <x v="2429"/>
          </reference>
          <reference field="85" count="1">
            <x v="4"/>
          </reference>
        </references>
      </pivotArea>
    </format>
    <format dxfId="1866">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3944"/>
          </reference>
          <reference field="82" count="1" selected="0">
            <x v="2475"/>
          </reference>
          <reference field="85" count="1">
            <x v="0"/>
          </reference>
        </references>
      </pivotArea>
    </format>
    <format dxfId="1865">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949"/>
          </reference>
          <reference field="82" count="1" selected="0">
            <x v="2484"/>
          </reference>
          <reference field="85" count="1">
            <x v="2"/>
          </reference>
        </references>
      </pivotArea>
    </format>
    <format dxfId="1864">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975"/>
          </reference>
          <reference field="82" count="1" selected="0">
            <x v="2516"/>
          </reference>
          <reference field="85" count="1">
            <x v="7"/>
          </reference>
        </references>
      </pivotArea>
    </format>
    <format dxfId="1863">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3990"/>
          </reference>
          <reference field="82" count="1" selected="0">
            <x v="2545"/>
          </reference>
          <reference field="85" count="1">
            <x v="4"/>
          </reference>
        </references>
      </pivotArea>
    </format>
    <format dxfId="1862">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3866"/>
          </reference>
          <reference field="82" count="1" selected="0">
            <x v="2380"/>
          </reference>
          <reference field="85" count="1">
            <x v="7"/>
          </reference>
        </references>
      </pivotArea>
    </format>
    <format dxfId="1861">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963"/>
          </reference>
          <reference field="82" count="1" selected="0">
            <x v="2502"/>
          </reference>
          <reference field="85" count="1">
            <x v="2"/>
          </reference>
        </references>
      </pivotArea>
    </format>
    <format dxfId="1860">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933"/>
          </reference>
          <reference field="82" count="1" selected="0">
            <x v="2560"/>
          </reference>
          <reference field="85" count="1">
            <x v="4"/>
          </reference>
        </references>
      </pivotArea>
    </format>
    <format dxfId="1859">
      <pivotArea dataOnly="0" labelOnly="1" outline="0" fieldPosition="0">
        <references count="12">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1030"/>
          </reference>
          <reference field="82" count="1" selected="0">
            <x v="26"/>
          </reference>
          <reference field="85" count="1">
            <x v="2"/>
          </reference>
        </references>
      </pivotArea>
    </format>
    <format dxfId="1858">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997"/>
          </reference>
          <reference field="82" count="1" selected="0">
            <x v="2563"/>
          </reference>
          <reference field="85" count="1">
            <x v="4"/>
          </reference>
        </references>
      </pivotArea>
    </format>
    <format dxfId="1857">
      <pivotArea dataOnly="0" labelOnly="1" outline="0" fieldPosition="0">
        <references count="12">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856">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858"/>
          </reference>
          <reference field="82" count="1" selected="0">
            <x v="2362"/>
          </reference>
          <reference field="85" count="1">
            <x v="4"/>
          </reference>
        </references>
      </pivotArea>
    </format>
    <format dxfId="1855">
      <pivotArea dataOnly="0" labelOnly="1" outline="0" fieldPosition="0">
        <references count="12">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854">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858"/>
          </reference>
          <reference field="82" count="1" selected="0">
            <x v="2362"/>
          </reference>
          <reference field="85" count="1">
            <x v="4"/>
          </reference>
        </references>
      </pivotArea>
    </format>
    <format dxfId="1853">
      <pivotArea dataOnly="0" labelOnly="1" outline="0" fieldPosition="0">
        <references count="12">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852">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858"/>
          </reference>
          <reference field="82" count="1" selected="0">
            <x v="2362"/>
          </reference>
          <reference field="85" count="1">
            <x v="4"/>
          </reference>
        </references>
      </pivotArea>
    </format>
    <format dxfId="1851">
      <pivotArea dataOnly="0" labelOnly="1" outline="0" fieldPosition="0">
        <references count="12">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850">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3996"/>
          </reference>
          <reference field="82" count="1" selected="0">
            <x v="2556"/>
          </reference>
          <reference field="85" count="1">
            <x v="4"/>
          </reference>
        </references>
      </pivotArea>
    </format>
    <format dxfId="1849">
      <pivotArea dataOnly="0" labelOnly="1" outline="0" fieldPosition="0">
        <references count="12">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x v="2"/>
          </reference>
        </references>
      </pivotArea>
    </format>
    <format dxfId="1848">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890"/>
          </reference>
          <reference field="82" count="1" selected="0">
            <x v="2402"/>
          </reference>
          <reference field="85" count="1">
            <x v="4"/>
          </reference>
        </references>
      </pivotArea>
    </format>
    <format dxfId="1847">
      <pivotArea dataOnly="0" labelOnly="1" outline="0" fieldPosition="0">
        <references count="12">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1846">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3854"/>
          </reference>
          <reference field="82" count="1" selected="0">
            <x v="2358"/>
          </reference>
          <reference field="85" count="1">
            <x v="3"/>
          </reference>
        </references>
      </pivotArea>
    </format>
    <format dxfId="1845">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998"/>
          </reference>
          <reference field="82" count="1" selected="0">
            <x v="2565"/>
          </reference>
          <reference field="85" count="1">
            <x v="4"/>
          </reference>
        </references>
      </pivotArea>
    </format>
    <format dxfId="1844">
      <pivotArea dataOnly="0" labelOnly="1" outline="0" fieldPosition="0">
        <references count="12">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1843">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881"/>
          </reference>
          <reference field="82" count="1" selected="0">
            <x v="2392"/>
          </reference>
          <reference field="85" count="1">
            <x v="7"/>
          </reference>
        </references>
      </pivotArea>
    </format>
    <format dxfId="1842">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3855"/>
          </reference>
          <reference field="82" count="1" selected="0">
            <x v="2359"/>
          </reference>
          <reference field="85" count="1">
            <x v="3"/>
          </reference>
        </references>
      </pivotArea>
    </format>
    <format dxfId="1841">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881"/>
          </reference>
          <reference field="82" count="1" selected="0">
            <x v="2393"/>
          </reference>
          <reference field="85" count="1">
            <x v="7"/>
          </reference>
        </references>
      </pivotArea>
    </format>
    <format dxfId="1840">
      <pivotArea dataOnly="0" labelOnly="1" outline="0" fieldPosition="0">
        <references count="12">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3028"/>
          </reference>
          <reference field="82" count="1" selected="0">
            <x v="1453"/>
          </reference>
          <reference field="85" count="1">
            <x v="2"/>
          </reference>
        </references>
      </pivotArea>
    </format>
    <format dxfId="1839">
      <pivotArea dataOnly="0" labelOnly="1" outline="0" fieldPosition="0">
        <references count="12">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x v="3"/>
          </reference>
        </references>
      </pivotArea>
    </format>
    <format dxfId="1838">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000"/>
          </reference>
          <reference field="82" count="1" selected="0">
            <x v="2567"/>
          </reference>
          <reference field="85" count="1">
            <x v="7"/>
          </reference>
        </references>
      </pivotArea>
    </format>
    <format dxfId="1837">
      <pivotArea dataOnly="0" labelOnly="1" outline="0" fieldPosition="0">
        <references count="12">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x v="3"/>
          </reference>
        </references>
      </pivotArea>
    </format>
    <format dxfId="1836">
      <pivotArea dataOnly="0" labelOnly="1" outline="0" fieldPosition="0">
        <references count="12">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3031"/>
          </reference>
          <reference field="82" count="1" selected="0">
            <x v="1456"/>
          </reference>
          <reference field="85" count="1">
            <x v="2"/>
          </reference>
        </references>
      </pivotArea>
    </format>
    <format dxfId="1835">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001"/>
          </reference>
          <reference field="82" count="1" selected="0">
            <x v="2568"/>
          </reference>
          <reference field="85" count="1">
            <x v="7"/>
          </reference>
        </references>
      </pivotArea>
    </format>
    <format dxfId="1834">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3877"/>
          </reference>
          <reference field="82" count="1" selected="0">
            <x v="2385"/>
          </reference>
          <reference field="85" count="1">
            <x v="2"/>
          </reference>
        </references>
      </pivotArea>
    </format>
    <format dxfId="1833">
      <pivotArea dataOnly="0" labelOnly="1" outline="0" fieldPosition="0">
        <references count="12">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4003"/>
          </reference>
          <reference field="82" count="1" selected="0">
            <x v="2570"/>
          </reference>
          <reference field="85" count="1">
            <x v="8"/>
          </reference>
        </references>
      </pivotArea>
    </format>
    <format dxfId="1832">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002"/>
          </reference>
          <reference field="82" count="1" selected="0">
            <x v="2569"/>
          </reference>
          <reference field="85" count="1">
            <x v="7"/>
          </reference>
        </references>
      </pivotArea>
    </format>
    <format dxfId="1831">
      <pivotArea dataOnly="0" labelOnly="1" outline="0" fieldPosition="0">
        <references count="12">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029"/>
          </reference>
          <reference field="82" count="1" selected="0">
            <x v="1454"/>
          </reference>
          <reference field="85" count="1">
            <x v="2"/>
          </reference>
        </references>
      </pivotArea>
    </format>
    <format dxfId="1830">
      <pivotArea dataOnly="0" labelOnly="1" outline="0" fieldPosition="0">
        <references count="12">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1829">
      <pivotArea dataOnly="0" labelOnly="1" outline="0" fieldPosition="0">
        <references count="12">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x v="3"/>
          </reference>
        </references>
      </pivotArea>
    </format>
    <format dxfId="1828">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930"/>
          </reference>
          <reference field="82" count="1" selected="0">
            <x v="2562"/>
          </reference>
          <reference field="85" count="1">
            <x v="4"/>
          </reference>
        </references>
      </pivotArea>
    </format>
    <format dxfId="1827">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954"/>
          </reference>
          <reference field="82" count="1" selected="0">
            <x v="2492"/>
          </reference>
          <reference field="85" count="1">
            <x v="2"/>
          </reference>
        </references>
      </pivotArea>
    </format>
    <format dxfId="1826">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999"/>
          </reference>
          <reference field="82" count="1" selected="0">
            <x v="2566"/>
          </reference>
          <reference field="85" count="1">
            <x v="4"/>
          </reference>
        </references>
      </pivotArea>
    </format>
    <format dxfId="1825">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3880"/>
          </reference>
          <reference field="82" count="1" selected="0">
            <x v="2391"/>
          </reference>
          <reference field="85" count="1">
            <x v="2"/>
          </reference>
        </references>
      </pivotArea>
    </format>
    <format dxfId="1824">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879"/>
          </reference>
          <reference field="82" count="1" selected="0">
            <x v="2389"/>
          </reference>
          <reference field="85" count="1">
            <x v="7"/>
          </reference>
        </references>
      </pivotArea>
    </format>
    <format dxfId="1823">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954"/>
          </reference>
          <reference field="82" count="1" selected="0">
            <x v="2492"/>
          </reference>
          <reference field="85" count="1">
            <x v="2"/>
          </reference>
        </references>
      </pivotArea>
    </format>
    <format dxfId="1822">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879"/>
          </reference>
          <reference field="82" count="1" selected="0">
            <x v="2390"/>
          </reference>
          <reference field="85" count="1">
            <x v="7"/>
          </reference>
        </references>
      </pivotArea>
    </format>
    <format dxfId="1821">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914"/>
          </reference>
          <reference field="82" count="1" selected="0">
            <x v="2555"/>
          </reference>
          <reference field="85" count="1">
            <x v="4"/>
          </reference>
        </references>
      </pivotArea>
    </format>
    <format dxfId="1820">
      <pivotArea dataOnly="0" labelOnly="1" outline="0" fieldPosition="0">
        <references count="12">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1819">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972"/>
          </reference>
          <reference field="82" count="1" selected="0">
            <x v="2513"/>
          </reference>
          <reference field="85" count="1">
            <x v="7"/>
          </reference>
        </references>
      </pivotArea>
    </format>
    <format dxfId="1818">
      <pivotArea dataOnly="0" labelOnly="1" outline="0" fieldPosition="0">
        <references count="12">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x v="2"/>
          </reference>
        </references>
      </pivotArea>
    </format>
    <format dxfId="1817">
      <pivotArea dataOnly="0" labelOnly="1" outline="0" fieldPosition="0">
        <references count="12">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987"/>
          </reference>
          <reference field="82" count="1" selected="0">
            <x v="2542"/>
          </reference>
          <reference field="85" count="1">
            <x v="4"/>
          </reference>
        </references>
      </pivotArea>
    </format>
    <format dxfId="1816">
      <pivotArea field="3" type="button" dataOnly="0" labelOnly="1" outline="0" axis="axisRow" fieldPosition="1"/>
    </format>
    <format dxfId="1815">
      <pivotArea dataOnly="0" labelOnly="1" outline="0" fieldPosition="0">
        <references count="2">
          <reference field="1" count="1" selected="0">
            <x v="0"/>
          </reference>
          <reference field="3" count="9">
            <x v="0"/>
            <x v="3"/>
            <x v="4"/>
            <x v="5"/>
            <x v="7"/>
            <x v="12"/>
            <x v="13"/>
            <x v="14"/>
            <x v="17"/>
          </reference>
        </references>
      </pivotArea>
    </format>
    <format dxfId="1814">
      <pivotArea dataOnly="0" labelOnly="1" outline="0" fieldPosition="0">
        <references count="2">
          <reference field="1" count="1" selected="0">
            <x v="1"/>
          </reference>
          <reference field="3" count="4">
            <x v="0"/>
            <x v="5"/>
            <x v="7"/>
            <x v="14"/>
          </reference>
        </references>
      </pivotArea>
    </format>
    <format dxfId="1813">
      <pivotArea dataOnly="0" labelOnly="1" outline="0" fieldPosition="0">
        <references count="2">
          <reference field="1" count="1" selected="0">
            <x v="2"/>
          </reference>
          <reference field="3" count="2">
            <x v="0"/>
            <x v="7"/>
          </reference>
        </references>
      </pivotArea>
    </format>
    <format dxfId="1812">
      <pivotArea dataOnly="0" labelOnly="1" outline="0" fieldPosition="0">
        <references count="2">
          <reference field="1" count="1" selected="0">
            <x v="3"/>
          </reference>
          <reference field="3" count="2">
            <x v="0"/>
            <x v="7"/>
          </reference>
        </references>
      </pivotArea>
    </format>
    <format dxfId="1811">
      <pivotArea dataOnly="0" labelOnly="1" outline="0" fieldPosition="0">
        <references count="2">
          <reference field="1" count="1" selected="0">
            <x v="4"/>
          </reference>
          <reference field="3" count="3">
            <x v="0"/>
            <x v="7"/>
            <x v="12"/>
          </reference>
        </references>
      </pivotArea>
    </format>
    <format dxfId="1810">
      <pivotArea dataOnly="0" labelOnly="1" outline="0" fieldPosition="0">
        <references count="2">
          <reference field="1" count="1" selected="0">
            <x v="5"/>
          </reference>
          <reference field="3" count="1">
            <x v="5"/>
          </reference>
        </references>
      </pivotArea>
    </format>
    <format dxfId="1809">
      <pivotArea dataOnly="0" labelOnly="1" outline="0" fieldPosition="0">
        <references count="2">
          <reference field="1" count="1" selected="0">
            <x v="6"/>
          </reference>
          <reference field="3" count="1">
            <x v="7"/>
          </reference>
        </references>
      </pivotArea>
    </format>
    <format dxfId="1808">
      <pivotArea dataOnly="0" labelOnly="1" outline="0" fieldPosition="0">
        <references count="2">
          <reference field="1" count="1" selected="0">
            <x v="7"/>
          </reference>
          <reference field="3" count="5">
            <x v="0"/>
            <x v="7"/>
            <x v="14"/>
            <x v="17"/>
            <x v="20"/>
          </reference>
        </references>
      </pivotArea>
    </format>
    <format dxfId="1807">
      <pivotArea dataOnly="0" labelOnly="1" outline="0" fieldPosition="0">
        <references count="2">
          <reference field="1" count="1" selected="0">
            <x v="8"/>
          </reference>
          <reference field="3" count="1">
            <x v="7"/>
          </reference>
        </references>
      </pivotArea>
    </format>
    <format dxfId="1806">
      <pivotArea dataOnly="0" labelOnly="1" outline="0" fieldPosition="0">
        <references count="2">
          <reference field="1" count="1" selected="0">
            <x v="10"/>
          </reference>
          <reference field="3" count="1">
            <x v="4"/>
          </reference>
        </references>
      </pivotArea>
    </format>
    <format dxfId="1805">
      <pivotArea dataOnly="0" labelOnly="1" outline="0" fieldPosition="0">
        <references count="2">
          <reference field="1" count="1" selected="0">
            <x v="11"/>
          </reference>
          <reference field="3" count="1">
            <x v="15"/>
          </reference>
        </references>
      </pivotArea>
    </format>
    <format dxfId="1804">
      <pivotArea dataOnly="0" labelOnly="1" outline="0" fieldPosition="0">
        <references count="2">
          <reference field="1" count="1" selected="0">
            <x v="12"/>
          </reference>
          <reference field="3" count="3">
            <x v="0"/>
            <x v="7"/>
            <x v="14"/>
          </reference>
        </references>
      </pivotArea>
    </format>
    <format dxfId="1803">
      <pivotArea dataOnly="0" labelOnly="1" outline="0" fieldPosition="0">
        <references count="2">
          <reference field="1" count="1" selected="0">
            <x v="13"/>
          </reference>
          <reference field="3" count="1">
            <x v="4"/>
          </reference>
        </references>
      </pivotArea>
    </format>
    <format dxfId="1802">
      <pivotArea dataOnly="0" labelOnly="1" outline="0" fieldPosition="0">
        <references count="2">
          <reference field="1" count="1" selected="0">
            <x v="14"/>
          </reference>
          <reference field="3" count="1">
            <x v="15"/>
          </reference>
        </references>
      </pivotArea>
    </format>
    <format dxfId="1801">
      <pivotArea dataOnly="0" labelOnly="1" outline="0" fieldPosition="0">
        <references count="2">
          <reference field="1" count="1" selected="0">
            <x v="15"/>
          </reference>
          <reference field="3" count="1">
            <x v="5"/>
          </reference>
        </references>
      </pivotArea>
    </format>
    <format dxfId="1800">
      <pivotArea dataOnly="0" labelOnly="1" outline="0" fieldPosition="0">
        <references count="2">
          <reference field="1" count="1" selected="0">
            <x v="16"/>
          </reference>
          <reference field="3" count="1">
            <x v="7"/>
          </reference>
        </references>
      </pivotArea>
    </format>
    <format dxfId="1799">
      <pivotArea dataOnly="0" labelOnly="1" outline="0" fieldPosition="0">
        <references count="2">
          <reference field="1" count="1" selected="0">
            <x v="17"/>
          </reference>
          <reference field="3" count="2">
            <x v="0"/>
            <x v="7"/>
          </reference>
        </references>
      </pivotArea>
    </format>
    <format dxfId="1798">
      <pivotArea dataOnly="0" labelOnly="1" outline="0" fieldPosition="0">
        <references count="2">
          <reference field="1" count="1" selected="0">
            <x v="19"/>
          </reference>
          <reference field="3" count="3">
            <x v="1"/>
            <x v="2"/>
            <x v="15"/>
          </reference>
        </references>
      </pivotArea>
    </format>
    <format dxfId="1797">
      <pivotArea dataOnly="0" labelOnly="1" outline="0" fieldPosition="0">
        <references count="2">
          <reference field="1" count="1" selected="0">
            <x v="20"/>
          </reference>
          <reference field="3" count="1">
            <x v="1"/>
          </reference>
        </references>
      </pivotArea>
    </format>
    <format dxfId="1796">
      <pivotArea dataOnly="0" labelOnly="1" outline="0" fieldPosition="0">
        <references count="2">
          <reference field="1" count="1" selected="0">
            <x v="21"/>
          </reference>
          <reference field="3" count="4">
            <x v="0"/>
            <x v="7"/>
            <x v="12"/>
            <x v="19"/>
          </reference>
        </references>
      </pivotArea>
    </format>
    <format dxfId="1795">
      <pivotArea dataOnly="0" labelOnly="1" outline="0" fieldPosition="0">
        <references count="2">
          <reference field="1" count="1" selected="0">
            <x v="22"/>
          </reference>
          <reference field="3" count="1">
            <x v="7"/>
          </reference>
        </references>
      </pivotArea>
    </format>
    <format dxfId="1794">
      <pivotArea dataOnly="0" labelOnly="1" outline="0" fieldPosition="0">
        <references count="2">
          <reference field="1" count="1" selected="0">
            <x v="23"/>
          </reference>
          <reference field="3" count="1">
            <x v="9"/>
          </reference>
        </references>
      </pivotArea>
    </format>
    <format dxfId="1793">
      <pivotArea dataOnly="0" labelOnly="1" outline="0" fieldPosition="0">
        <references count="2">
          <reference field="1" count="1" selected="0">
            <x v="24"/>
          </reference>
          <reference field="3" count="1">
            <x v="15"/>
          </reference>
        </references>
      </pivotArea>
    </format>
    <format dxfId="1792">
      <pivotArea dataOnly="0" labelOnly="1" outline="0" fieldPosition="0">
        <references count="2">
          <reference field="1" count="1" selected="0">
            <x v="25"/>
          </reference>
          <reference field="3" count="1">
            <x v="4"/>
          </reference>
        </references>
      </pivotArea>
    </format>
    <format dxfId="1791">
      <pivotArea dataOnly="0" labelOnly="1" outline="0" fieldPosition="0">
        <references count="2">
          <reference field="1" count="1" selected="0">
            <x v="27"/>
          </reference>
          <reference field="3" count="1">
            <x v="8"/>
          </reference>
        </references>
      </pivotArea>
    </format>
    <format dxfId="1790">
      <pivotArea dataOnly="0" labelOnly="1" outline="0" fieldPosition="0">
        <references count="2">
          <reference field="1" count="1" selected="0">
            <x v="28"/>
          </reference>
          <reference field="3" count="3">
            <x v="0"/>
            <x v="7"/>
            <x v="11"/>
          </reference>
        </references>
      </pivotArea>
    </format>
    <format dxfId="1789">
      <pivotArea dataOnly="0" labelOnly="1" outline="0" fieldPosition="0">
        <references count="2">
          <reference field="1" count="1" selected="0">
            <x v="29"/>
          </reference>
          <reference field="3" count="2">
            <x v="10"/>
            <x v="18"/>
          </reference>
        </references>
      </pivotArea>
    </format>
    <format dxfId="1788">
      <pivotArea dataOnly="0" labelOnly="1" outline="0" fieldPosition="0">
        <references count="2">
          <reference field="1" count="1" selected="0">
            <x v="30"/>
          </reference>
          <reference field="3" count="2">
            <x v="8"/>
            <x v="22"/>
          </reference>
        </references>
      </pivotArea>
    </format>
    <format dxfId="1787">
      <pivotArea dataOnly="0" labelOnly="1" outline="0" fieldPosition="0">
        <references count="2">
          <reference field="1" count="1" selected="0">
            <x v="31"/>
          </reference>
          <reference field="3" count="1">
            <x v="8"/>
          </reference>
        </references>
      </pivotArea>
    </format>
    <format dxfId="1786">
      <pivotArea dataOnly="0" labelOnly="1" outline="0" fieldPosition="0">
        <references count="2">
          <reference field="1" count="1" selected="0">
            <x v="32"/>
          </reference>
          <reference field="3" count="1">
            <x v="23"/>
          </reference>
        </references>
      </pivotArea>
    </format>
    <format dxfId="1785">
      <pivotArea dataOnly="0" labelOnly="1" outline="0" fieldPosition="0">
        <references count="2">
          <reference field="1" count="1" selected="0">
            <x v="33"/>
          </reference>
          <reference field="3" count="1">
            <x v="8"/>
          </reference>
        </references>
      </pivotArea>
    </format>
    <format dxfId="1784">
      <pivotArea dataOnly="0" labelOnly="1" outline="0" fieldPosition="0">
        <references count="2">
          <reference field="1" count="1" selected="0">
            <x v="35"/>
          </reference>
          <reference field="3" count="1">
            <x v="15"/>
          </reference>
        </references>
      </pivotArea>
    </format>
    <format dxfId="1783">
      <pivotArea dataOnly="0" labelOnly="1" outline="0" fieldPosition="0">
        <references count="2">
          <reference field="1" count="1" selected="0">
            <x v="36"/>
          </reference>
          <reference field="3" count="3">
            <x v="8"/>
            <x v="15"/>
            <x v="16"/>
          </reference>
        </references>
      </pivotArea>
    </format>
    <format dxfId="1782">
      <pivotArea dataOnly="0" labelOnly="1" outline="0" fieldPosition="0">
        <references count="2">
          <reference field="1" count="1" selected="0">
            <x v="37"/>
          </reference>
          <reference field="3" count="1">
            <x v="2"/>
          </reference>
        </references>
      </pivotArea>
    </format>
    <format dxfId="1781">
      <pivotArea dataOnly="0" labelOnly="1" outline="0" fieldPosition="0">
        <references count="2">
          <reference field="1" count="1" selected="0">
            <x v="38"/>
          </reference>
          <reference field="3" count="2">
            <x v="8"/>
            <x v="22"/>
          </reference>
        </references>
      </pivotArea>
    </format>
    <format dxfId="1780">
      <pivotArea dataOnly="0" labelOnly="1" outline="0" fieldPosition="0">
        <references count="2">
          <reference field="1" count="1" selected="0">
            <x v="39"/>
          </reference>
          <reference field="3" count="1">
            <x v="7"/>
          </reference>
        </references>
      </pivotArea>
    </format>
    <format dxfId="1779">
      <pivotArea dataOnly="0" labelOnly="1" outline="0" fieldPosition="0">
        <references count="2">
          <reference field="1" count="1" selected="0">
            <x v="41"/>
          </reference>
          <reference field="3" count="1">
            <x v="0"/>
          </reference>
        </references>
      </pivotArea>
    </format>
    <format dxfId="1778">
      <pivotArea dataOnly="0" labelOnly="1" outline="0" fieldPosition="0">
        <references count="2">
          <reference field="1" count="1" selected="0">
            <x v="43"/>
          </reference>
          <reference field="3" count="1">
            <x v="5"/>
          </reference>
        </references>
      </pivotArea>
    </format>
    <format dxfId="1777">
      <pivotArea dataOnly="0" labelOnly="1" outline="0" fieldPosition="0">
        <references count="2">
          <reference field="1" count="1" selected="0">
            <x v="44"/>
          </reference>
          <reference field="3" count="1">
            <x v="7"/>
          </reference>
        </references>
      </pivotArea>
    </format>
    <format dxfId="1776">
      <pivotArea dataOnly="0" labelOnly="1" outline="0" fieldPosition="0">
        <references count="2">
          <reference field="1" count="1" selected="0">
            <x v="47"/>
          </reference>
          <reference field="3" count="1">
            <x v="4"/>
          </reference>
        </references>
      </pivotArea>
    </format>
    <format dxfId="1775">
      <pivotArea dataOnly="0" labelOnly="1" outline="0" fieldPosition="0">
        <references count="2">
          <reference field="1" count="1" selected="0">
            <x v="48"/>
          </reference>
          <reference field="3" count="1">
            <x v="14"/>
          </reference>
        </references>
      </pivotArea>
    </format>
    <format dxfId="1774">
      <pivotArea dataOnly="0" labelOnly="1" outline="0" fieldPosition="0">
        <references count="2">
          <reference field="1" count="1" selected="0">
            <x v="49"/>
          </reference>
          <reference field="3" count="1">
            <x v="7"/>
          </reference>
        </references>
      </pivotArea>
    </format>
    <format dxfId="1773">
      <pivotArea dataOnly="0" labelOnly="1" outline="0" fieldPosition="0">
        <references count="2">
          <reference field="1" count="1" selected="0">
            <x v="50"/>
          </reference>
          <reference field="3" count="1">
            <x v="14"/>
          </reference>
        </references>
      </pivotArea>
    </format>
    <format dxfId="1772">
      <pivotArea field="2" type="button" dataOnly="0" labelOnly="1" outline="0" axis="axisRow" fieldPosition="2"/>
    </format>
    <format dxfId="1771">
      <pivotArea dataOnly="0" labelOnly="1" outline="0" fieldPosition="0">
        <references count="3">
          <reference field="1" count="1" selected="0">
            <x v="0"/>
          </reference>
          <reference field="2" count="3">
            <x v="5"/>
            <x v="6"/>
            <x v="10"/>
          </reference>
          <reference field="3" count="1" selected="0">
            <x v="0"/>
          </reference>
        </references>
      </pivotArea>
    </format>
    <format dxfId="1770">
      <pivotArea dataOnly="0" labelOnly="1" outline="0" fieldPosition="0">
        <references count="3">
          <reference field="1" count="1" selected="0">
            <x v="0"/>
          </reference>
          <reference field="2" count="2">
            <x v="6"/>
            <x v="10"/>
          </reference>
          <reference field="3" count="1" selected="0">
            <x v="7"/>
          </reference>
        </references>
      </pivotArea>
    </format>
    <format dxfId="1769">
      <pivotArea dataOnly="0" labelOnly="1" outline="0" fieldPosition="0">
        <references count="3">
          <reference field="1" count="1" selected="0">
            <x v="0"/>
          </reference>
          <reference field="2" count="1">
            <x v="6"/>
          </reference>
          <reference field="3" count="1" selected="0">
            <x v="12"/>
          </reference>
        </references>
      </pivotArea>
    </format>
    <format dxfId="1768">
      <pivotArea dataOnly="0" labelOnly="1" outline="0" fieldPosition="0">
        <references count="3">
          <reference field="1" count="1" selected="0">
            <x v="0"/>
          </reference>
          <reference field="2" count="1">
            <x v="10"/>
          </reference>
          <reference field="3" count="1" selected="0">
            <x v="14"/>
          </reference>
        </references>
      </pivotArea>
    </format>
    <format dxfId="1767">
      <pivotArea dataOnly="0" labelOnly="1" outline="0" fieldPosition="0">
        <references count="3">
          <reference field="1" count="1" selected="0">
            <x v="1"/>
          </reference>
          <reference field="2" count="1">
            <x v="3"/>
          </reference>
          <reference field="3" count="1" selected="0">
            <x v="0"/>
          </reference>
        </references>
      </pivotArea>
    </format>
    <format dxfId="1766">
      <pivotArea dataOnly="0" labelOnly="1" outline="0" fieldPosition="0">
        <references count="3">
          <reference field="1" count="1" selected="0">
            <x v="5"/>
          </reference>
          <reference field="2" count="1">
            <x v="8"/>
          </reference>
          <reference field="3" count="1" selected="0">
            <x v="5"/>
          </reference>
        </references>
      </pivotArea>
    </format>
    <format dxfId="1765">
      <pivotArea dataOnly="0" labelOnly="1" outline="0" fieldPosition="0">
        <references count="3">
          <reference field="1" count="1" selected="0">
            <x v="6"/>
          </reference>
          <reference field="2" count="1">
            <x v="5"/>
          </reference>
          <reference field="3" count="1" selected="0">
            <x v="7"/>
          </reference>
        </references>
      </pivotArea>
    </format>
    <format dxfId="1764">
      <pivotArea dataOnly="0" labelOnly="1" outline="0" fieldPosition="0">
        <references count="3">
          <reference field="1" count="1" selected="0">
            <x v="7"/>
          </reference>
          <reference field="2" count="2">
            <x v="4"/>
            <x v="5"/>
          </reference>
          <reference field="3" count="1" selected="0">
            <x v="0"/>
          </reference>
        </references>
      </pivotArea>
    </format>
    <format dxfId="1763">
      <pivotArea dataOnly="0" labelOnly="1" outline="0" fieldPosition="0">
        <references count="3">
          <reference field="1" count="1" selected="0">
            <x v="7"/>
          </reference>
          <reference field="2" count="2">
            <x v="4"/>
            <x v="5"/>
          </reference>
          <reference field="3" count="1" selected="0">
            <x v="7"/>
          </reference>
        </references>
      </pivotArea>
    </format>
    <format dxfId="1762">
      <pivotArea dataOnly="0" labelOnly="1" outline="0" fieldPosition="0">
        <references count="3">
          <reference field="1" count="1" selected="0">
            <x v="7"/>
          </reference>
          <reference field="2" count="2">
            <x v="4"/>
            <x v="5"/>
          </reference>
          <reference field="3" count="1" selected="0">
            <x v="14"/>
          </reference>
        </references>
      </pivotArea>
    </format>
    <format dxfId="1761">
      <pivotArea dataOnly="0" labelOnly="1" outline="0" fieldPosition="0">
        <references count="3">
          <reference field="1" count="1" selected="0">
            <x v="7"/>
          </reference>
          <reference field="2" count="1">
            <x v="4"/>
          </reference>
          <reference field="3" count="1" selected="0">
            <x v="17"/>
          </reference>
        </references>
      </pivotArea>
    </format>
    <format dxfId="1760">
      <pivotArea dataOnly="0" labelOnly="1" outline="0" fieldPosition="0">
        <references count="3">
          <reference field="1" count="1" selected="0">
            <x v="8"/>
          </reference>
          <reference field="2" count="1">
            <x v="3"/>
          </reference>
          <reference field="3" count="1" selected="0">
            <x v="7"/>
          </reference>
        </references>
      </pivotArea>
    </format>
    <format dxfId="1759">
      <pivotArea dataOnly="0" labelOnly="1" outline="0" fieldPosition="0">
        <references count="3">
          <reference field="1" count="1" selected="0">
            <x v="9"/>
          </reference>
          <reference field="2" count="2">
            <x v="5"/>
            <x v="6"/>
          </reference>
          <reference field="3" count="1" selected="0">
            <x v="7"/>
          </reference>
        </references>
      </pivotArea>
    </format>
    <format dxfId="1758">
      <pivotArea dataOnly="0" labelOnly="1" outline="0" fieldPosition="0">
        <references count="3">
          <reference field="1" count="1" selected="0">
            <x v="10"/>
          </reference>
          <reference field="2" count="1">
            <x v="10"/>
          </reference>
          <reference field="3" count="1" selected="0">
            <x v="4"/>
          </reference>
        </references>
      </pivotArea>
    </format>
    <format dxfId="1757">
      <pivotArea dataOnly="0" labelOnly="1" outline="0" fieldPosition="0">
        <references count="3">
          <reference field="1" count="1" selected="0">
            <x v="12"/>
          </reference>
          <reference field="2" count="1">
            <x v="5"/>
          </reference>
          <reference field="3" count="1" selected="0">
            <x v="0"/>
          </reference>
        </references>
      </pivotArea>
    </format>
    <format dxfId="1756">
      <pivotArea dataOnly="0" labelOnly="1" outline="0" fieldPosition="0">
        <references count="3">
          <reference field="1" count="1" selected="0">
            <x v="12"/>
          </reference>
          <reference field="2" count="1">
            <x v="6"/>
          </reference>
          <reference field="3" count="1" selected="0">
            <x v="7"/>
          </reference>
        </references>
      </pivotArea>
    </format>
    <format dxfId="1755">
      <pivotArea dataOnly="0" labelOnly="1" outline="0" fieldPosition="0">
        <references count="3">
          <reference field="1" count="1" selected="0">
            <x v="12"/>
          </reference>
          <reference field="2" count="1">
            <x v="5"/>
          </reference>
          <reference field="3" count="1" selected="0">
            <x v="14"/>
          </reference>
        </references>
      </pivotArea>
    </format>
    <format dxfId="1754">
      <pivotArea dataOnly="0" labelOnly="1" outline="0" fieldPosition="0">
        <references count="3">
          <reference field="1" count="1" selected="0">
            <x v="13"/>
          </reference>
          <reference field="2" count="1">
            <x v="10"/>
          </reference>
          <reference field="3" count="1" selected="0">
            <x v="4"/>
          </reference>
        </references>
      </pivotArea>
    </format>
    <format dxfId="1753">
      <pivotArea dataOnly="0" labelOnly="1" outline="0" fieldPosition="0">
        <references count="3">
          <reference field="1" count="1" selected="0">
            <x v="15"/>
          </reference>
          <reference field="2" count="1">
            <x v="5"/>
          </reference>
          <reference field="3" count="1" selected="0">
            <x v="5"/>
          </reference>
        </references>
      </pivotArea>
    </format>
    <format dxfId="1752">
      <pivotArea dataOnly="0" labelOnly="1" outline="0" fieldPosition="0">
        <references count="3">
          <reference field="1" count="1" selected="0">
            <x v="17"/>
          </reference>
          <reference field="2" count="1">
            <x v="4"/>
          </reference>
          <reference field="3" count="1" selected="0">
            <x v="0"/>
          </reference>
        </references>
      </pivotArea>
    </format>
    <format dxfId="1751">
      <pivotArea dataOnly="0" labelOnly="1" outline="0" fieldPosition="0">
        <references count="3">
          <reference field="1" count="1" selected="0">
            <x v="17"/>
          </reference>
          <reference field="2" count="1">
            <x v="5"/>
          </reference>
          <reference field="3" count="1" selected="0">
            <x v="7"/>
          </reference>
        </references>
      </pivotArea>
    </format>
    <format dxfId="1750">
      <pivotArea dataOnly="0" labelOnly="1" outline="0" fieldPosition="0">
        <references count="3">
          <reference field="1" count="1" selected="0">
            <x v="18"/>
          </reference>
          <reference field="2" count="2">
            <x v="3"/>
            <x v="6"/>
          </reference>
          <reference field="3" count="1" selected="0">
            <x v="7"/>
          </reference>
        </references>
      </pivotArea>
    </format>
    <format dxfId="1749">
      <pivotArea dataOnly="0" labelOnly="1" outline="0" fieldPosition="0">
        <references count="3">
          <reference field="1" count="1" selected="0">
            <x v="19"/>
          </reference>
          <reference field="2" count="2">
            <x v="3"/>
            <x v="10"/>
          </reference>
          <reference field="3" count="1" selected="0">
            <x v="1"/>
          </reference>
        </references>
      </pivotArea>
    </format>
    <format dxfId="1748">
      <pivotArea dataOnly="0" labelOnly="1" outline="0" fieldPosition="0">
        <references count="3">
          <reference field="1" count="1" selected="0">
            <x v="19"/>
          </reference>
          <reference field="2" count="1">
            <x v="6"/>
          </reference>
          <reference field="3" count="1" selected="0">
            <x v="2"/>
          </reference>
        </references>
      </pivotArea>
    </format>
    <format dxfId="1747">
      <pivotArea dataOnly="0" labelOnly="1" outline="0" fieldPosition="0">
        <references count="3">
          <reference field="1" count="1" selected="0">
            <x v="20"/>
          </reference>
          <reference field="2" count="1">
            <x v="10"/>
          </reference>
          <reference field="3" count="1" selected="0">
            <x v="1"/>
          </reference>
        </references>
      </pivotArea>
    </format>
    <format dxfId="1746">
      <pivotArea dataOnly="0" labelOnly="1" outline="0" fieldPosition="0">
        <references count="3">
          <reference field="1" count="1" selected="0">
            <x v="21"/>
          </reference>
          <reference field="2" count="2">
            <x v="5"/>
            <x v="6"/>
          </reference>
          <reference field="3" count="1" selected="0">
            <x v="0"/>
          </reference>
        </references>
      </pivotArea>
    </format>
    <format dxfId="1745">
      <pivotArea dataOnly="0" labelOnly="1" outline="0" fieldPosition="0">
        <references count="3">
          <reference field="1" count="1" selected="0">
            <x v="21"/>
          </reference>
          <reference field="2" count="2">
            <x v="5"/>
            <x v="6"/>
          </reference>
          <reference field="3" count="1" selected="0">
            <x v="7"/>
          </reference>
        </references>
      </pivotArea>
    </format>
    <format dxfId="1744">
      <pivotArea dataOnly="0" labelOnly="1" outline="0" fieldPosition="0">
        <references count="3">
          <reference field="1" count="1" selected="0">
            <x v="21"/>
          </reference>
          <reference field="2" count="2">
            <x v="5"/>
            <x v="6"/>
          </reference>
          <reference field="3" count="1" selected="0">
            <x v="12"/>
          </reference>
        </references>
      </pivotArea>
    </format>
    <format dxfId="1743">
      <pivotArea dataOnly="0" labelOnly="1" outline="0" fieldPosition="0">
        <references count="3">
          <reference field="1" count="1" selected="0">
            <x v="21"/>
          </reference>
          <reference field="2" count="1">
            <x v="5"/>
          </reference>
          <reference field="3" count="1" selected="0">
            <x v="19"/>
          </reference>
        </references>
      </pivotArea>
    </format>
    <format dxfId="1742">
      <pivotArea dataOnly="0" labelOnly="1" outline="0" fieldPosition="0">
        <references count="3">
          <reference field="1" count="1" selected="0">
            <x v="22"/>
          </reference>
          <reference field="2" count="1">
            <x v="8"/>
          </reference>
          <reference field="3" count="1" selected="0">
            <x v="7"/>
          </reference>
        </references>
      </pivotArea>
    </format>
    <format dxfId="1741">
      <pivotArea dataOnly="0" labelOnly="1" outline="0" fieldPosition="0">
        <references count="3">
          <reference field="1" count="1" selected="0">
            <x v="23"/>
          </reference>
          <reference field="2" count="1">
            <x v="6"/>
          </reference>
          <reference field="3" count="1" selected="0">
            <x v="7"/>
          </reference>
        </references>
      </pivotArea>
    </format>
    <format dxfId="1740">
      <pivotArea dataOnly="0" labelOnly="1" outline="0" fieldPosition="0">
        <references count="3">
          <reference field="1" count="1" selected="0">
            <x v="24"/>
          </reference>
          <reference field="2" count="1">
            <x v="12"/>
          </reference>
          <reference field="3" count="1" selected="0">
            <x v="15"/>
          </reference>
        </references>
      </pivotArea>
    </format>
    <format dxfId="1739">
      <pivotArea dataOnly="0" labelOnly="1" outline="0" fieldPosition="0">
        <references count="3">
          <reference field="1" count="1" selected="0">
            <x v="25"/>
          </reference>
          <reference field="2" count="1">
            <x v="10"/>
          </reference>
          <reference field="3" count="1" selected="0">
            <x v="4"/>
          </reference>
        </references>
      </pivotArea>
    </format>
    <format dxfId="1738">
      <pivotArea dataOnly="0" labelOnly="1" outline="0" fieldPosition="0">
        <references count="3">
          <reference field="1" count="1" selected="0">
            <x v="28"/>
          </reference>
          <reference field="2" count="1">
            <x v="5"/>
          </reference>
          <reference field="3" count="1" selected="0">
            <x v="0"/>
          </reference>
        </references>
      </pivotArea>
    </format>
    <format dxfId="1737">
      <pivotArea dataOnly="0" labelOnly="1" outline="0" fieldPosition="0">
        <references count="3">
          <reference field="1" count="1" selected="0">
            <x v="28"/>
          </reference>
          <reference field="2" count="1">
            <x v="7"/>
          </reference>
          <reference field="3" count="1" selected="0">
            <x v="7"/>
          </reference>
        </references>
      </pivotArea>
    </format>
    <format dxfId="1736">
      <pivotArea dataOnly="0" labelOnly="1" outline="0" fieldPosition="0">
        <references count="3">
          <reference field="1" count="1" selected="0">
            <x v="29"/>
          </reference>
          <reference field="2" count="1">
            <x v="2"/>
          </reference>
          <reference field="3" count="1" selected="0">
            <x v="10"/>
          </reference>
        </references>
      </pivotArea>
    </format>
    <format dxfId="1735">
      <pivotArea dataOnly="0" labelOnly="1" outline="0" fieldPosition="0">
        <references count="3">
          <reference field="1" count="1" selected="0">
            <x v="29"/>
          </reference>
          <reference field="2" count="1">
            <x v="16"/>
          </reference>
          <reference field="3" count="1" selected="0">
            <x v="18"/>
          </reference>
        </references>
      </pivotArea>
    </format>
    <format dxfId="1734">
      <pivotArea dataOnly="0" labelOnly="1" outline="0" fieldPosition="0">
        <references count="3">
          <reference field="1" count="1" selected="0">
            <x v="30"/>
          </reference>
          <reference field="2" count="2">
            <x v="0"/>
            <x v="14"/>
          </reference>
          <reference field="3" count="1" selected="0">
            <x v="8"/>
          </reference>
        </references>
      </pivotArea>
    </format>
    <format dxfId="1733">
      <pivotArea dataOnly="0" labelOnly="1" outline="0" fieldPosition="0">
        <references count="3">
          <reference field="1" count="1" selected="0">
            <x v="31"/>
          </reference>
          <reference field="2" count="1">
            <x v="0"/>
          </reference>
          <reference field="3" count="1" selected="0">
            <x v="8"/>
          </reference>
        </references>
      </pivotArea>
    </format>
    <format dxfId="1732">
      <pivotArea dataOnly="0" labelOnly="1" outline="0" fieldPosition="0">
        <references count="3">
          <reference field="1" count="1" selected="0">
            <x v="32"/>
          </reference>
          <reference field="2" count="2">
            <x v="1"/>
            <x v="14"/>
          </reference>
          <reference field="3" count="1" selected="0">
            <x v="8"/>
          </reference>
        </references>
      </pivotArea>
    </format>
    <format dxfId="1731">
      <pivotArea dataOnly="0" labelOnly="1" outline="0" fieldPosition="0">
        <references count="3">
          <reference field="1" count="1" selected="0">
            <x v="32"/>
          </reference>
          <reference field="2" count="1">
            <x v="0"/>
          </reference>
          <reference field="3" count="1" selected="0">
            <x v="23"/>
          </reference>
        </references>
      </pivotArea>
    </format>
    <format dxfId="1730">
      <pivotArea dataOnly="0" labelOnly="1" outline="0" fieldPosition="0">
        <references count="3">
          <reference field="1" count="1" selected="0">
            <x v="33"/>
          </reference>
          <reference field="2" count="1">
            <x v="1"/>
          </reference>
          <reference field="3" count="1" selected="0">
            <x v="8"/>
          </reference>
        </references>
      </pivotArea>
    </format>
    <format dxfId="1729">
      <pivotArea dataOnly="0" labelOnly="1" outline="0" fieldPosition="0">
        <references count="3">
          <reference field="1" count="1" selected="0">
            <x v="34"/>
          </reference>
          <reference field="2" count="1">
            <x v="0"/>
          </reference>
          <reference field="3" count="1" selected="0">
            <x v="8"/>
          </reference>
        </references>
      </pivotArea>
    </format>
    <format dxfId="1728">
      <pivotArea dataOnly="0" labelOnly="1" outline="0" fieldPosition="0">
        <references count="3">
          <reference field="1" count="1" selected="0">
            <x v="35"/>
          </reference>
          <reference field="2" count="1">
            <x v="13"/>
          </reference>
          <reference field="3" count="1" selected="0">
            <x v="15"/>
          </reference>
        </references>
      </pivotArea>
    </format>
    <format dxfId="1727">
      <pivotArea dataOnly="0" labelOnly="1" outline="0" fieldPosition="0">
        <references count="3">
          <reference field="1" count="1" selected="0">
            <x v="36"/>
          </reference>
          <reference field="2" count="1">
            <x v="0"/>
          </reference>
          <reference field="3" count="1" selected="0">
            <x v="8"/>
          </reference>
        </references>
      </pivotArea>
    </format>
    <format dxfId="1726">
      <pivotArea dataOnly="0" labelOnly="1" outline="0" fieldPosition="0">
        <references count="3">
          <reference field="1" count="1" selected="0">
            <x v="36"/>
          </reference>
          <reference field="2" count="1">
            <x v="15"/>
          </reference>
          <reference field="3" count="1" selected="0">
            <x v="15"/>
          </reference>
        </references>
      </pivotArea>
    </format>
    <format dxfId="1725">
      <pivotArea dataOnly="0" labelOnly="1" outline="0" fieldPosition="0">
        <references count="3">
          <reference field="1" count="1" selected="0">
            <x v="36"/>
          </reference>
          <reference field="2" count="1">
            <x v="0"/>
          </reference>
          <reference field="3" count="1" selected="0">
            <x v="16"/>
          </reference>
        </references>
      </pivotArea>
    </format>
    <format dxfId="1724">
      <pivotArea dataOnly="0" labelOnly="1" outline="0" fieldPosition="0">
        <references count="3">
          <reference field="1" count="1" selected="0">
            <x v="37"/>
          </reference>
          <reference field="2" count="1">
            <x v="10"/>
          </reference>
          <reference field="3" count="1" selected="0">
            <x v="2"/>
          </reference>
        </references>
      </pivotArea>
    </format>
    <format dxfId="1723">
      <pivotArea dataOnly="0" labelOnly="1" outline="0" fieldPosition="0">
        <references count="3">
          <reference field="1" count="1" selected="0">
            <x v="38"/>
          </reference>
          <reference field="2" count="2">
            <x v="5"/>
            <x v="6"/>
          </reference>
          <reference field="3" count="1" selected="0">
            <x v="8"/>
          </reference>
        </references>
      </pivotArea>
    </format>
    <format dxfId="1722">
      <pivotArea dataOnly="0" labelOnly="1" outline="0" fieldPosition="0">
        <references count="3">
          <reference field="1" count="1" selected="0">
            <x v="38"/>
          </reference>
          <reference field="2" count="3">
            <x v="3"/>
            <x v="5"/>
            <x v="6"/>
          </reference>
          <reference field="3" count="1" selected="0">
            <x v="22"/>
          </reference>
        </references>
      </pivotArea>
    </format>
    <format dxfId="1721">
      <pivotArea dataOnly="0" labelOnly="1" outline="0" fieldPosition="0">
        <references count="3">
          <reference field="1" count="1" selected="0">
            <x v="41"/>
          </reference>
          <reference field="2" count="1">
            <x v="0"/>
          </reference>
          <reference field="3" count="1" selected="0">
            <x v="0"/>
          </reference>
        </references>
      </pivotArea>
    </format>
    <format dxfId="1720">
      <pivotArea dataOnly="0" labelOnly="1" outline="0" fieldPosition="0">
        <references count="3">
          <reference field="1" count="1" selected="0">
            <x v="43"/>
          </reference>
          <reference field="2" count="1">
            <x v="6"/>
          </reference>
          <reference field="3" count="1" selected="0">
            <x v="5"/>
          </reference>
        </references>
      </pivotArea>
    </format>
    <format dxfId="1719">
      <pivotArea dataOnly="0" labelOnly="1" outline="0" fieldPosition="0">
        <references count="3">
          <reference field="1" count="1" selected="0">
            <x v="47"/>
          </reference>
          <reference field="2" count="1">
            <x v="10"/>
          </reference>
          <reference field="3" count="1" selected="0">
            <x v="4"/>
          </reference>
        </references>
      </pivotArea>
    </format>
    <format dxfId="1718">
      <pivotArea dataOnly="0" labelOnly="1" outline="0" fieldPosition="0">
        <references count="3">
          <reference field="1" count="1" selected="0">
            <x v="48"/>
          </reference>
          <reference field="2" count="1">
            <x v="11"/>
          </reference>
          <reference field="3" count="1" selected="0">
            <x v="4"/>
          </reference>
        </references>
      </pivotArea>
    </format>
    <format dxfId="1717">
      <pivotArea dataOnly="0" labelOnly="1" outline="0" fieldPosition="0">
        <references count="3">
          <reference field="1" count="1" selected="0">
            <x v="49"/>
          </reference>
          <reference field="2" count="1">
            <x v="5"/>
          </reference>
          <reference field="3" count="1" selected="0">
            <x v="7"/>
          </reference>
        </references>
      </pivotArea>
    </format>
    <format dxfId="1716">
      <pivotArea dataOnly="0" labelOnly="1" outline="0" fieldPosition="0">
        <references count="3">
          <reference field="1" count="1" selected="0">
            <x v="50"/>
          </reference>
          <reference field="2" count="1">
            <x v="3"/>
          </reference>
          <reference field="3" count="1" selected="0">
            <x v="7"/>
          </reference>
        </references>
      </pivotArea>
    </format>
    <format dxfId="1715">
      <pivotArea field="72" type="button" dataOnly="0" labelOnly="1" outline="0" axis="axisRow" fieldPosition="5"/>
    </format>
    <format dxfId="1714">
      <pivotArea dataOnly="0" labelOnly="1" outline="0" fieldPosition="0">
        <references count="6">
          <reference field="1" count="1" selected="0">
            <x v="0"/>
          </reference>
          <reference field="2" count="1" selected="0">
            <x v="5"/>
          </reference>
          <reference field="3" count="1" selected="0">
            <x v="0"/>
          </reference>
          <reference field="5" count="1" selected="0">
            <x v="2"/>
          </reference>
          <reference field="23" count="1" selected="0">
            <x v="2"/>
          </reference>
          <reference field="72" count="8">
            <x v="40"/>
            <x v="41"/>
            <x v="42"/>
            <x v="44"/>
            <x v="46"/>
            <x v="50"/>
            <x v="55"/>
            <x v="151"/>
          </reference>
        </references>
      </pivotArea>
    </format>
    <format dxfId="1713">
      <pivotArea dataOnly="0" labelOnly="1" outline="0" fieldPosition="0">
        <references count="6">
          <reference field="1" count="1" selected="0">
            <x v="0"/>
          </reference>
          <reference field="2" count="1" selected="0">
            <x v="6"/>
          </reference>
          <reference field="3" count="1" selected="0">
            <x v="0"/>
          </reference>
          <reference field="5" count="1" selected="0">
            <x v="3"/>
          </reference>
          <reference field="23" count="1" selected="0">
            <x v="2"/>
          </reference>
          <reference field="72" count="3">
            <x v="20"/>
            <x v="22"/>
            <x v="27"/>
          </reference>
        </references>
      </pivotArea>
    </format>
    <format dxfId="1712">
      <pivotArea dataOnly="0" labelOnly="1" outline="0" fieldPosition="0">
        <references count="6">
          <reference field="1" count="1" selected="0">
            <x v="0"/>
          </reference>
          <reference field="2" count="1" selected="0">
            <x v="6"/>
          </reference>
          <reference field="3" count="1" selected="0">
            <x v="0"/>
          </reference>
          <reference field="5" count="1" selected="0">
            <x v="6"/>
          </reference>
          <reference field="23" count="1" selected="0">
            <x v="1"/>
          </reference>
          <reference field="72" count="1">
            <x v="186"/>
          </reference>
        </references>
      </pivotArea>
    </format>
    <format dxfId="1711">
      <pivotArea dataOnly="0" labelOnly="1" outline="0" fieldPosition="0">
        <references count="6">
          <reference field="1" count="1" selected="0">
            <x v="0"/>
          </reference>
          <reference field="2" count="1" selected="0">
            <x v="6"/>
          </reference>
          <reference field="3" count="1" selected="0">
            <x v="0"/>
          </reference>
          <reference field="5" count="1" selected="0">
            <x v="6"/>
          </reference>
          <reference field="23" count="1" selected="0">
            <x v="2"/>
          </reference>
          <reference field="72" count="1">
            <x v="12"/>
          </reference>
        </references>
      </pivotArea>
    </format>
    <format dxfId="1710">
      <pivotArea dataOnly="0" labelOnly="1" outline="0" fieldPosition="0">
        <references count="6">
          <reference field="1" count="1" selected="0">
            <x v="0"/>
          </reference>
          <reference field="2" count="1" selected="0">
            <x v="6"/>
          </reference>
          <reference field="3" count="1" selected="0">
            <x v="0"/>
          </reference>
          <reference field="5" count="1" selected="0">
            <x v="7"/>
          </reference>
          <reference field="23" count="1" selected="0">
            <x v="2"/>
          </reference>
          <reference field="72" count="4">
            <x v="56"/>
            <x v="68"/>
            <x v="153"/>
            <x v="154"/>
          </reference>
        </references>
      </pivotArea>
    </format>
    <format dxfId="1709">
      <pivotArea dataOnly="0" labelOnly="1" outline="0" fieldPosition="0">
        <references count="6">
          <reference field="1" count="1" selected="0">
            <x v="0"/>
          </reference>
          <reference field="2" count="1" selected="0">
            <x v="10"/>
          </reference>
          <reference field="3" count="1" selected="0">
            <x v="0"/>
          </reference>
          <reference field="5" count="1" selected="0">
            <x v="6"/>
          </reference>
          <reference field="23" count="1" selected="0">
            <x v="1"/>
          </reference>
          <reference field="72" count="1">
            <x v="186"/>
          </reference>
        </references>
      </pivotArea>
    </format>
    <format dxfId="1708">
      <pivotArea dataOnly="0" labelOnly="1" outline="0" fieldPosition="0">
        <references count="6">
          <reference field="1" count="1" selected="0">
            <x v="0"/>
          </reference>
          <reference field="2" count="1" selected="0">
            <x v="10"/>
          </reference>
          <reference field="3" count="1" selected="0">
            <x v="0"/>
          </reference>
          <reference field="5" count="1" selected="0">
            <x v="6"/>
          </reference>
          <reference field="23" count="1" selected="0">
            <x v="2"/>
          </reference>
          <reference field="72" count="1">
            <x v="10"/>
          </reference>
        </references>
      </pivotArea>
    </format>
    <format dxfId="1707">
      <pivotArea dataOnly="0" labelOnly="1" outline="0" fieldPosition="0">
        <references count="6">
          <reference field="1" count="1" selected="0">
            <x v="0"/>
          </reference>
          <reference field="2" count="1" selected="0">
            <x v="10"/>
          </reference>
          <reference field="3" count="1" selected="0">
            <x v="3"/>
          </reference>
          <reference field="5" count="1" selected="0">
            <x v="5"/>
          </reference>
          <reference field="23" count="1" selected="0">
            <x v="0"/>
          </reference>
          <reference field="72" count="1">
            <x v="121"/>
          </reference>
        </references>
      </pivotArea>
    </format>
    <format dxfId="1706">
      <pivotArea dataOnly="0" labelOnly="1" outline="0" fieldPosition="0">
        <references count="6">
          <reference field="1" count="1" selected="0">
            <x v="0"/>
          </reference>
          <reference field="2" count="1" selected="0">
            <x v="10"/>
          </reference>
          <reference field="3" count="1" selected="0">
            <x v="4"/>
          </reference>
          <reference field="5" count="1" selected="0">
            <x v="3"/>
          </reference>
          <reference field="23" count="1" selected="0">
            <x v="2"/>
          </reference>
          <reference field="72" count="4">
            <x v="20"/>
            <x v="22"/>
            <x v="27"/>
            <x v="191"/>
          </reference>
        </references>
      </pivotArea>
    </format>
    <format dxfId="1705">
      <pivotArea dataOnly="0" labelOnly="1" outline="0" fieldPosition="0">
        <references count="6">
          <reference field="1" count="1" selected="0">
            <x v="0"/>
          </reference>
          <reference field="2" count="1" selected="0">
            <x v="10"/>
          </reference>
          <reference field="3" count="1" selected="0">
            <x v="4"/>
          </reference>
          <reference field="5" count="1" selected="0">
            <x v="6"/>
          </reference>
          <reference field="23" count="1" selected="0">
            <x v="1"/>
          </reference>
          <reference field="72" count="1">
            <x v="186"/>
          </reference>
        </references>
      </pivotArea>
    </format>
    <format dxfId="1704">
      <pivotArea dataOnly="0" labelOnly="1" outline="0" fieldPosition="0">
        <references count="6">
          <reference field="1" count="1" selected="0">
            <x v="0"/>
          </reference>
          <reference field="2" count="1" selected="0">
            <x v="10"/>
          </reference>
          <reference field="3" count="1" selected="0">
            <x v="4"/>
          </reference>
          <reference field="5" count="1" selected="0">
            <x v="6"/>
          </reference>
          <reference field="23" count="1" selected="0">
            <x v="2"/>
          </reference>
          <reference field="72" count="1">
            <x v="10"/>
          </reference>
        </references>
      </pivotArea>
    </format>
    <format dxfId="1703">
      <pivotArea dataOnly="0" labelOnly="1" outline="0" fieldPosition="0">
        <references count="6">
          <reference field="1" count="1" selected="0">
            <x v="0"/>
          </reference>
          <reference field="2" count="1" selected="0">
            <x v="10"/>
          </reference>
          <reference field="3" count="1" selected="0">
            <x v="5"/>
          </reference>
          <reference field="5" count="1" selected="0">
            <x v="3"/>
          </reference>
          <reference field="23" count="1" selected="0">
            <x v="2"/>
          </reference>
          <reference field="72" count="4">
            <x v="20"/>
            <x v="22"/>
            <x v="27"/>
            <x v="191"/>
          </reference>
        </references>
      </pivotArea>
    </format>
    <format dxfId="1702">
      <pivotArea dataOnly="0" labelOnly="1" outline="0" fieldPosition="0">
        <references count="6">
          <reference field="1" count="1" selected="0">
            <x v="0"/>
          </reference>
          <reference field="2" count="1" selected="0">
            <x v="10"/>
          </reference>
          <reference field="3" count="1" selected="0">
            <x v="5"/>
          </reference>
          <reference field="5" count="1" selected="0">
            <x v="5"/>
          </reference>
          <reference field="23" count="1" selected="0">
            <x v="0"/>
          </reference>
          <reference field="72" count="1">
            <x v="121"/>
          </reference>
        </references>
      </pivotArea>
    </format>
    <format dxfId="1701">
      <pivotArea dataOnly="0" labelOnly="1" outline="0" fieldPosition="0">
        <references count="6">
          <reference field="1" count="1" selected="0">
            <x v="0"/>
          </reference>
          <reference field="2" count="1" selected="0">
            <x v="10"/>
          </reference>
          <reference field="3" count="1" selected="0">
            <x v="5"/>
          </reference>
          <reference field="5" count="1" selected="0">
            <x v="6"/>
          </reference>
          <reference field="23" count="1" selected="0">
            <x v="1"/>
          </reference>
          <reference field="72" count="1">
            <x v="186"/>
          </reference>
        </references>
      </pivotArea>
    </format>
    <format dxfId="1700">
      <pivotArea dataOnly="0" labelOnly="1" outline="0" fieldPosition="0">
        <references count="6">
          <reference field="1" count="1" selected="0">
            <x v="0"/>
          </reference>
          <reference field="2" count="1" selected="0">
            <x v="10"/>
          </reference>
          <reference field="3" count="1" selected="0">
            <x v="5"/>
          </reference>
          <reference field="5" count="1" selected="0">
            <x v="6"/>
          </reference>
          <reference field="23" count="1" selected="0">
            <x v="2"/>
          </reference>
          <reference field="72" count="1">
            <x v="10"/>
          </reference>
        </references>
      </pivotArea>
    </format>
    <format dxfId="1699">
      <pivotArea dataOnly="0" labelOnly="1" outline="0" fieldPosition="0">
        <references count="6">
          <reference field="1" count="1" selected="0">
            <x v="0"/>
          </reference>
          <reference field="2" count="1" selected="0">
            <x v="6"/>
          </reference>
          <reference field="3" count="1" selected="0">
            <x v="7"/>
          </reference>
          <reference field="5" count="1" selected="0">
            <x v="1"/>
          </reference>
          <reference field="23" count="1" selected="0">
            <x v="1"/>
          </reference>
          <reference field="72" count="1">
            <x v="192"/>
          </reference>
        </references>
      </pivotArea>
    </format>
    <format dxfId="1698">
      <pivotArea dataOnly="0" labelOnly="1" outline="0" fieldPosition="0">
        <references count="6">
          <reference field="1" count="1" selected="0">
            <x v="0"/>
          </reference>
          <reference field="2" count="1" selected="0">
            <x v="6"/>
          </reference>
          <reference field="3" count="1" selected="0">
            <x v="7"/>
          </reference>
          <reference field="5" count="1" selected="0">
            <x v="1"/>
          </reference>
          <reference field="23" count="1" selected="0">
            <x v="2"/>
          </reference>
          <reference field="72" count="1">
            <x v="15"/>
          </reference>
        </references>
      </pivotArea>
    </format>
    <format dxfId="1697">
      <pivotArea dataOnly="0" labelOnly="1" outline="0" fieldPosition="0">
        <references count="6">
          <reference field="1" count="1" selected="0">
            <x v="0"/>
          </reference>
          <reference field="2" count="1" selected="0">
            <x v="6"/>
          </reference>
          <reference field="3" count="1" selected="0">
            <x v="7"/>
          </reference>
          <reference field="5" count="1" selected="0">
            <x v="3"/>
          </reference>
          <reference field="23" count="1" selected="0">
            <x v="2"/>
          </reference>
          <reference field="72" count="4">
            <x v="44"/>
            <x v="49"/>
            <x v="152"/>
            <x v="179"/>
          </reference>
        </references>
      </pivotArea>
    </format>
    <format dxfId="1696">
      <pivotArea dataOnly="0" labelOnly="1" outline="0" fieldPosition="0">
        <references count="6">
          <reference field="1" count="1" selected="0">
            <x v="0"/>
          </reference>
          <reference field="2" count="1" selected="0">
            <x v="6"/>
          </reference>
          <reference field="3" count="1" selected="0">
            <x v="7"/>
          </reference>
          <reference field="5" count="1" selected="0">
            <x v="5"/>
          </reference>
          <reference field="23" count="1" selected="0">
            <x v="0"/>
          </reference>
          <reference field="72" count="1">
            <x v="121"/>
          </reference>
        </references>
      </pivotArea>
    </format>
    <format dxfId="1695">
      <pivotArea dataOnly="0" labelOnly="1" outline="0" fieldPosition="0">
        <references count="6">
          <reference field="1" count="1" selected="0">
            <x v="0"/>
          </reference>
          <reference field="2" count="1" selected="0">
            <x v="6"/>
          </reference>
          <reference field="3" count="1" selected="0">
            <x v="7"/>
          </reference>
          <reference field="5" count="1" selected="0">
            <x v="6"/>
          </reference>
          <reference field="23" count="1" selected="0">
            <x v="1"/>
          </reference>
          <reference field="72" count="1">
            <x v="186"/>
          </reference>
        </references>
      </pivotArea>
    </format>
    <format dxfId="1694">
      <pivotArea dataOnly="0" labelOnly="1" outline="0" fieldPosition="0">
        <references count="6">
          <reference field="1" count="1" selected="0">
            <x v="0"/>
          </reference>
          <reference field="2" count="1" selected="0">
            <x v="6"/>
          </reference>
          <reference field="3" count="1" selected="0">
            <x v="7"/>
          </reference>
          <reference field="5" count="1" selected="0">
            <x v="6"/>
          </reference>
          <reference field="23" count="1" selected="0">
            <x v="2"/>
          </reference>
          <reference field="72" count="1">
            <x v="12"/>
          </reference>
        </references>
      </pivotArea>
    </format>
    <format dxfId="1693">
      <pivotArea dataOnly="0" labelOnly="1" outline="0" fieldPosition="0">
        <references count="6">
          <reference field="1" count="1" selected="0">
            <x v="0"/>
          </reference>
          <reference field="2" count="1" selected="0">
            <x v="6"/>
          </reference>
          <reference field="3" count="1" selected="0">
            <x v="7"/>
          </reference>
          <reference field="5" count="1" selected="0">
            <x v="7"/>
          </reference>
          <reference field="23" count="1" selected="0">
            <x v="2"/>
          </reference>
          <reference field="72" count="4">
            <x v="56"/>
            <x v="68"/>
            <x v="153"/>
            <x v="154"/>
          </reference>
        </references>
      </pivotArea>
    </format>
    <format dxfId="1692">
      <pivotArea dataOnly="0" labelOnly="1" outline="0" fieldPosition="0">
        <references count="6">
          <reference field="1" count="1" selected="0">
            <x v="0"/>
          </reference>
          <reference field="2" count="1" selected="0">
            <x v="6"/>
          </reference>
          <reference field="3" count="1" selected="0">
            <x v="7"/>
          </reference>
          <reference field="5" count="1" selected="0">
            <x v="12"/>
          </reference>
          <reference field="23" count="1" selected="0">
            <x v="1"/>
          </reference>
          <reference field="72" count="1">
            <x v="113"/>
          </reference>
        </references>
      </pivotArea>
    </format>
    <format dxfId="1691">
      <pivotArea dataOnly="0" labelOnly="1" outline="0" fieldPosition="0">
        <references count="6">
          <reference field="1" count="1" selected="0">
            <x v="0"/>
          </reference>
          <reference field="2" count="1" selected="0">
            <x v="10"/>
          </reference>
          <reference field="3" count="1" selected="0">
            <x v="7"/>
          </reference>
          <reference field="5" count="1" selected="0">
            <x v="1"/>
          </reference>
          <reference field="23" count="1" selected="0">
            <x v="1"/>
          </reference>
          <reference field="72" count="1">
            <x v="192"/>
          </reference>
        </references>
      </pivotArea>
    </format>
    <format dxfId="1690">
      <pivotArea dataOnly="0" labelOnly="1" outline="0" fieldPosition="0">
        <references count="6">
          <reference field="1" count="1" selected="0">
            <x v="0"/>
          </reference>
          <reference field="2" count="1" selected="0">
            <x v="10"/>
          </reference>
          <reference field="3" count="1" selected="0">
            <x v="7"/>
          </reference>
          <reference field="5" count="1" selected="0">
            <x v="2"/>
          </reference>
          <reference field="23" count="1" selected="0">
            <x v="2"/>
          </reference>
          <reference field="72" count="8">
            <x v="40"/>
            <x v="41"/>
            <x v="42"/>
            <x v="44"/>
            <x v="46"/>
            <x v="50"/>
            <x v="55"/>
            <x v="151"/>
          </reference>
        </references>
      </pivotArea>
    </format>
    <format dxfId="1689">
      <pivotArea dataOnly="0" labelOnly="1" outline="0" fieldPosition="0">
        <references count="6">
          <reference field="1" count="1" selected="0">
            <x v="0"/>
          </reference>
          <reference field="2" count="1" selected="0">
            <x v="10"/>
          </reference>
          <reference field="3" count="1" selected="0">
            <x v="7"/>
          </reference>
          <reference field="5" count="1" selected="0">
            <x v="3"/>
          </reference>
          <reference field="23" count="1" selected="0">
            <x v="2"/>
          </reference>
          <reference field="72" count="4">
            <x v="20"/>
            <x v="22"/>
            <x v="27"/>
            <x v="191"/>
          </reference>
        </references>
      </pivotArea>
    </format>
    <format dxfId="1688">
      <pivotArea dataOnly="0" labelOnly="1" outline="0" fieldPosition="0">
        <references count="6">
          <reference field="1" count="1" selected="0">
            <x v="0"/>
          </reference>
          <reference field="2" count="1" selected="0">
            <x v="10"/>
          </reference>
          <reference field="3" count="1" selected="0">
            <x v="7"/>
          </reference>
          <reference field="5" count="1" selected="0">
            <x v="12"/>
          </reference>
          <reference field="23" count="1" selected="0">
            <x v="1"/>
          </reference>
          <reference field="72" count="1">
            <x v="113"/>
          </reference>
        </references>
      </pivotArea>
    </format>
    <format dxfId="1687">
      <pivotArea dataOnly="0" labelOnly="1" outline="0" fieldPosition="0">
        <references count="6">
          <reference field="1" count="1" selected="0">
            <x v="0"/>
          </reference>
          <reference field="2" count="1" selected="0">
            <x v="6"/>
          </reference>
          <reference field="3" count="1" selected="0">
            <x v="12"/>
          </reference>
          <reference field="5" count="1" selected="0">
            <x v="5"/>
          </reference>
          <reference field="23" count="1" selected="0">
            <x v="0"/>
          </reference>
          <reference field="72" count="1">
            <x v="121"/>
          </reference>
        </references>
      </pivotArea>
    </format>
    <format dxfId="1686">
      <pivotArea dataOnly="0" labelOnly="1" outline="0" fieldPosition="0">
        <references count="6">
          <reference field="1" count="1" selected="0">
            <x v="0"/>
          </reference>
          <reference field="2" count="1" selected="0">
            <x v="6"/>
          </reference>
          <reference field="3" count="1" selected="0">
            <x v="13"/>
          </reference>
          <reference field="5" count="1" selected="0">
            <x v="6"/>
          </reference>
          <reference field="23" count="1" selected="0">
            <x v="1"/>
          </reference>
          <reference field="72" count="1">
            <x v="186"/>
          </reference>
        </references>
      </pivotArea>
    </format>
    <format dxfId="1685">
      <pivotArea dataOnly="0" labelOnly="1" outline="0" fieldPosition="0">
        <references count="6">
          <reference field="1" count="1" selected="0">
            <x v="0"/>
          </reference>
          <reference field="2" count="1" selected="0">
            <x v="6"/>
          </reference>
          <reference field="3" count="1" selected="0">
            <x v="13"/>
          </reference>
          <reference field="5" count="1" selected="0">
            <x v="6"/>
          </reference>
          <reference field="23" count="1" selected="0">
            <x v="2"/>
          </reference>
          <reference field="72" count="1">
            <x v="12"/>
          </reference>
        </references>
      </pivotArea>
    </format>
    <format dxfId="1684">
      <pivotArea dataOnly="0" labelOnly="1" outline="0" fieldPosition="0">
        <references count="6">
          <reference field="1" count="1" selected="0">
            <x v="0"/>
          </reference>
          <reference field="2" count="1" selected="0">
            <x v="6"/>
          </reference>
          <reference field="3" count="1" selected="0">
            <x v="14"/>
          </reference>
          <reference field="5" count="1" selected="0">
            <x v="3"/>
          </reference>
          <reference field="23" count="1" selected="0">
            <x v="2"/>
          </reference>
          <reference field="72" count="3">
            <x v="49"/>
            <x v="152"/>
            <x v="179"/>
          </reference>
        </references>
      </pivotArea>
    </format>
    <format dxfId="1683">
      <pivotArea dataOnly="0" labelOnly="1" outline="0" fieldPosition="0">
        <references count="6">
          <reference field="1" count="1" selected="0">
            <x v="0"/>
          </reference>
          <reference field="2" count="1" selected="0">
            <x v="6"/>
          </reference>
          <reference field="3" count="1" selected="0">
            <x v="14"/>
          </reference>
          <reference field="5" count="1" selected="0">
            <x v="5"/>
          </reference>
          <reference field="23" count="1" selected="0">
            <x v="0"/>
          </reference>
          <reference field="72" count="1">
            <x v="121"/>
          </reference>
        </references>
      </pivotArea>
    </format>
    <format dxfId="1682">
      <pivotArea dataOnly="0" labelOnly="1" outline="0" fieldPosition="0">
        <references count="6">
          <reference field="1" count="1" selected="0">
            <x v="0"/>
          </reference>
          <reference field="2" count="1" selected="0">
            <x v="6"/>
          </reference>
          <reference field="3" count="1" selected="0">
            <x v="14"/>
          </reference>
          <reference field="5" count="1" selected="0">
            <x v="6"/>
          </reference>
          <reference field="23" count="1" selected="0">
            <x v="1"/>
          </reference>
          <reference field="72" count="1">
            <x v="186"/>
          </reference>
        </references>
      </pivotArea>
    </format>
    <format dxfId="1681">
      <pivotArea dataOnly="0" labelOnly="1" outline="0" fieldPosition="0">
        <references count="6">
          <reference field="1" count="1" selected="0">
            <x v="0"/>
          </reference>
          <reference field="2" count="1" selected="0">
            <x v="6"/>
          </reference>
          <reference field="3" count="1" selected="0">
            <x v="14"/>
          </reference>
          <reference field="5" count="1" selected="0">
            <x v="6"/>
          </reference>
          <reference field="23" count="1" selected="0">
            <x v="2"/>
          </reference>
          <reference field="72" count="1">
            <x v="12"/>
          </reference>
        </references>
      </pivotArea>
    </format>
    <format dxfId="1680">
      <pivotArea dataOnly="0" labelOnly="1" outline="0" fieldPosition="0">
        <references count="6">
          <reference field="1" count="1" selected="0">
            <x v="0"/>
          </reference>
          <reference field="2" count="1" selected="0">
            <x v="6"/>
          </reference>
          <reference field="3" count="1" selected="0">
            <x v="14"/>
          </reference>
          <reference field="5" count="1" selected="0">
            <x v="7"/>
          </reference>
          <reference field="23" count="1" selected="0">
            <x v="2"/>
          </reference>
          <reference field="72" count="4">
            <x v="56"/>
            <x v="68"/>
            <x v="153"/>
            <x v="154"/>
          </reference>
        </references>
      </pivotArea>
    </format>
    <format dxfId="1679">
      <pivotArea dataOnly="0" labelOnly="1" outline="0" fieldPosition="0">
        <references count="6">
          <reference field="1" count="1" selected="0">
            <x v="0"/>
          </reference>
          <reference field="2" count="1" selected="0">
            <x v="10"/>
          </reference>
          <reference field="3" count="1" selected="0">
            <x v="14"/>
          </reference>
          <reference field="5" count="1" selected="0">
            <x v="6"/>
          </reference>
          <reference field="23" count="1" selected="0">
            <x v="1"/>
          </reference>
          <reference field="72" count="1">
            <x v="186"/>
          </reference>
        </references>
      </pivotArea>
    </format>
    <format dxfId="1678">
      <pivotArea dataOnly="0" labelOnly="1" outline="0" fieldPosition="0">
        <references count="6">
          <reference field="1" count="1" selected="0">
            <x v="0"/>
          </reference>
          <reference field="2" count="1" selected="0">
            <x v="10"/>
          </reference>
          <reference field="3" count="1" selected="0">
            <x v="14"/>
          </reference>
          <reference field="5" count="1" selected="0">
            <x v="6"/>
          </reference>
          <reference field="23" count="1" selected="0">
            <x v="2"/>
          </reference>
          <reference field="72" count="1">
            <x v="10"/>
          </reference>
        </references>
      </pivotArea>
    </format>
    <format dxfId="1677">
      <pivotArea dataOnly="0" labelOnly="1" outline="0" fieldPosition="0">
        <references count="6">
          <reference field="1" count="1" selected="0">
            <x v="0"/>
          </reference>
          <reference field="2" count="1" selected="0">
            <x v="10"/>
          </reference>
          <reference field="3" count="1" selected="0">
            <x v="17"/>
          </reference>
          <reference field="5" count="1" selected="0">
            <x v="3"/>
          </reference>
          <reference field="23" count="1" selected="0">
            <x v="2"/>
          </reference>
          <reference field="72" count="1">
            <x v="20"/>
          </reference>
        </references>
      </pivotArea>
    </format>
    <format dxfId="1676">
      <pivotArea dataOnly="0" labelOnly="1" outline="0" fieldPosition="0">
        <references count="6">
          <reference field="1" count="1" selected="0">
            <x v="1"/>
          </reference>
          <reference field="2" count="1" selected="0">
            <x v="3"/>
          </reference>
          <reference field="3" count="1" selected="0">
            <x v="0"/>
          </reference>
          <reference field="5" count="1" selected="0">
            <x v="3"/>
          </reference>
          <reference field="23" count="1" selected="0">
            <x v="2"/>
          </reference>
          <reference field="72" count="3">
            <x v="47"/>
            <x v="50"/>
            <x v="55"/>
          </reference>
        </references>
      </pivotArea>
    </format>
    <format dxfId="1675">
      <pivotArea dataOnly="0" labelOnly="1" outline="0" fieldPosition="0">
        <references count="6">
          <reference field="1" count="1" selected="0">
            <x v="1"/>
          </reference>
          <reference field="2" count="1" selected="0">
            <x v="3"/>
          </reference>
          <reference field="3" count="1" selected="0">
            <x v="5"/>
          </reference>
          <reference field="5" count="1" selected="0">
            <x v="1"/>
          </reference>
          <reference field="23" count="1" selected="0">
            <x v="1"/>
          </reference>
          <reference field="72" count="1">
            <x v="114"/>
          </reference>
        </references>
      </pivotArea>
    </format>
    <format dxfId="1674">
      <pivotArea dataOnly="0" labelOnly="1" outline="0" fieldPosition="0">
        <references count="6">
          <reference field="1" count="1" selected="0">
            <x v="1"/>
          </reference>
          <reference field="2" count="1" selected="0">
            <x v="3"/>
          </reference>
          <reference field="3" count="1" selected="0">
            <x v="7"/>
          </reference>
          <reference field="5" count="1" selected="0">
            <x v="1"/>
          </reference>
          <reference field="23" count="1" selected="0">
            <x v="2"/>
          </reference>
          <reference field="72" count="1">
            <x v="7"/>
          </reference>
        </references>
      </pivotArea>
    </format>
    <format dxfId="1673">
      <pivotArea dataOnly="0" labelOnly="1" outline="0" fieldPosition="0">
        <references count="6">
          <reference field="1" count="1" selected="0">
            <x v="1"/>
          </reference>
          <reference field="2" count="1" selected="0">
            <x v="3"/>
          </reference>
          <reference field="3" count="1" selected="0">
            <x v="7"/>
          </reference>
          <reference field="5" count="1" selected="0">
            <x v="3"/>
          </reference>
          <reference field="23" count="1" selected="0">
            <x v="2"/>
          </reference>
          <reference field="72" count="3">
            <x v="33"/>
            <x v="35"/>
            <x v="156"/>
          </reference>
        </references>
      </pivotArea>
    </format>
    <format dxfId="1672">
      <pivotArea dataOnly="0" labelOnly="1" outline="0" fieldPosition="0">
        <references count="6">
          <reference field="1" count="1" selected="0">
            <x v="1"/>
          </reference>
          <reference field="2" count="1" selected="0">
            <x v="3"/>
          </reference>
          <reference field="3" count="1" selected="0">
            <x v="7"/>
          </reference>
          <reference field="5" count="1" selected="0">
            <x v="6"/>
          </reference>
          <reference field="23" count="1" selected="0">
            <x v="1"/>
          </reference>
          <reference field="72" count="1">
            <x v="187"/>
          </reference>
        </references>
      </pivotArea>
    </format>
    <format dxfId="1671">
      <pivotArea dataOnly="0" labelOnly="1" outline="0" fieldPosition="0">
        <references count="6">
          <reference field="1" count="1" selected="0">
            <x v="1"/>
          </reference>
          <reference field="2" count="1" selected="0">
            <x v="3"/>
          </reference>
          <reference field="3" count="1" selected="0">
            <x v="7"/>
          </reference>
          <reference field="5" count="1" selected="0">
            <x v="6"/>
          </reference>
          <reference field="23" count="1" selected="0">
            <x v="2"/>
          </reference>
          <reference field="72" count="1">
            <x v="8"/>
          </reference>
        </references>
      </pivotArea>
    </format>
    <format dxfId="1670">
      <pivotArea dataOnly="0" labelOnly="1" outline="0" fieldPosition="0">
        <references count="6">
          <reference field="1" count="1" selected="0">
            <x v="1"/>
          </reference>
          <reference field="2" count="1" selected="0">
            <x v="3"/>
          </reference>
          <reference field="3" count="1" selected="0">
            <x v="7"/>
          </reference>
          <reference field="5" count="1" selected="0">
            <x v="12"/>
          </reference>
          <reference field="23" count="1" selected="0">
            <x v="1"/>
          </reference>
          <reference field="72" count="1">
            <x v="190"/>
          </reference>
        </references>
      </pivotArea>
    </format>
    <format dxfId="1669">
      <pivotArea dataOnly="0" labelOnly="1" outline="0" fieldPosition="0">
        <references count="6">
          <reference field="1" count="1" selected="0">
            <x v="1"/>
          </reference>
          <reference field="2" count="1" selected="0">
            <x v="3"/>
          </reference>
          <reference field="3" count="1" selected="0">
            <x v="14"/>
          </reference>
          <reference field="5" count="1" selected="0">
            <x v="3"/>
          </reference>
          <reference field="23" count="1" selected="0">
            <x v="2"/>
          </reference>
          <reference field="72" count="3">
            <x v="33"/>
            <x v="35"/>
            <x v="156"/>
          </reference>
        </references>
      </pivotArea>
    </format>
    <format dxfId="1668">
      <pivotArea dataOnly="0" labelOnly="1" outline="0" fieldPosition="0">
        <references count="6">
          <reference field="1" count="1" selected="0">
            <x v="1"/>
          </reference>
          <reference field="2" count="1" selected="0">
            <x v="3"/>
          </reference>
          <reference field="3" count="1" selected="0">
            <x v="14"/>
          </reference>
          <reference field="5" count="1" selected="0">
            <x v="6"/>
          </reference>
          <reference field="23" count="1" selected="0">
            <x v="1"/>
          </reference>
          <reference field="72" count="1">
            <x v="187"/>
          </reference>
        </references>
      </pivotArea>
    </format>
    <format dxfId="1667">
      <pivotArea dataOnly="0" labelOnly="1" outline="0" fieldPosition="0">
        <references count="6">
          <reference field="1" count="1" selected="0">
            <x v="2"/>
          </reference>
          <reference field="2" count="1" selected="0">
            <x v="3"/>
          </reference>
          <reference field="3" count="1" selected="0">
            <x v="0"/>
          </reference>
          <reference field="5" count="1" selected="0">
            <x v="3"/>
          </reference>
          <reference field="23" count="1" selected="0">
            <x v="2"/>
          </reference>
          <reference field="72" count="3">
            <x v="51"/>
            <x v="53"/>
            <x v="177"/>
          </reference>
        </references>
      </pivotArea>
    </format>
    <format dxfId="1666">
      <pivotArea dataOnly="0" labelOnly="1" outline="0" fieldPosition="0">
        <references count="6">
          <reference field="1" count="1" selected="0">
            <x v="2"/>
          </reference>
          <reference field="2" count="1" selected="0">
            <x v="3"/>
          </reference>
          <reference field="3" count="1" selected="0">
            <x v="7"/>
          </reference>
          <reference field="5" count="1" selected="0">
            <x v="1"/>
          </reference>
          <reference field="23" count="1" selected="0">
            <x v="1"/>
          </reference>
          <reference field="72" count="1">
            <x v="120"/>
          </reference>
        </references>
      </pivotArea>
    </format>
    <format dxfId="1665">
      <pivotArea dataOnly="0" labelOnly="1" outline="0" fieldPosition="0">
        <references count="6">
          <reference field="1" count="1" selected="0">
            <x v="2"/>
          </reference>
          <reference field="2" count="1" selected="0">
            <x v="3"/>
          </reference>
          <reference field="3" count="1" selected="0">
            <x v="7"/>
          </reference>
          <reference field="5" count="1" selected="0">
            <x v="1"/>
          </reference>
          <reference field="23" count="1" selected="0">
            <x v="2"/>
          </reference>
          <reference field="72" count="1">
            <x v="15"/>
          </reference>
        </references>
      </pivotArea>
    </format>
    <format dxfId="1664">
      <pivotArea dataOnly="0" labelOnly="1" outline="0" fieldPosition="0">
        <references count="6">
          <reference field="1" count="1" selected="0">
            <x v="2"/>
          </reference>
          <reference field="2" count="1" selected="0">
            <x v="3"/>
          </reference>
          <reference field="3" count="1" selected="0">
            <x v="7"/>
          </reference>
          <reference field="5" count="1" selected="0">
            <x v="2"/>
          </reference>
          <reference field="23" count="1" selected="0">
            <x v="2"/>
          </reference>
          <reference field="72" count="4">
            <x v="44"/>
            <x v="50"/>
            <x v="151"/>
            <x v="152"/>
          </reference>
        </references>
      </pivotArea>
    </format>
    <format dxfId="1663">
      <pivotArea dataOnly="0" labelOnly="1" outline="0" fieldPosition="0">
        <references count="6">
          <reference field="1" count="1" selected="0">
            <x v="2"/>
          </reference>
          <reference field="2" count="1" selected="0">
            <x v="3"/>
          </reference>
          <reference field="3" count="1" selected="0">
            <x v="7"/>
          </reference>
          <reference field="5" count="1" selected="0">
            <x v="3"/>
          </reference>
          <reference field="23" count="1" selected="0">
            <x v="2"/>
          </reference>
          <reference field="72" count="3">
            <x v="36"/>
            <x v="155"/>
            <x v="180"/>
          </reference>
        </references>
      </pivotArea>
    </format>
    <format dxfId="1662">
      <pivotArea dataOnly="0" labelOnly="1" outline="0" fieldPosition="0">
        <references count="6">
          <reference field="1" count="1" selected="0">
            <x v="2"/>
          </reference>
          <reference field="2" count="1" selected="0">
            <x v="3"/>
          </reference>
          <reference field="3" count="1" selected="0">
            <x v="7"/>
          </reference>
          <reference field="5" count="1" selected="0">
            <x v="6"/>
          </reference>
          <reference field="23" count="1" selected="0">
            <x v="1"/>
          </reference>
          <reference field="72" count="1">
            <x v="189"/>
          </reference>
        </references>
      </pivotArea>
    </format>
    <format dxfId="1661">
      <pivotArea dataOnly="0" labelOnly="1" outline="0" fieldPosition="0">
        <references count="6">
          <reference field="1" count="1" selected="0">
            <x v="3"/>
          </reference>
          <reference field="2" count="1" selected="0">
            <x v="3"/>
          </reference>
          <reference field="3" count="1" selected="0">
            <x v="0"/>
          </reference>
          <reference field="5" count="1" selected="0">
            <x v="1"/>
          </reference>
          <reference field="23" count="1" selected="0">
            <x v="2"/>
          </reference>
          <reference field="72" count="1">
            <x v="5"/>
          </reference>
        </references>
      </pivotArea>
    </format>
    <format dxfId="1660">
      <pivotArea dataOnly="0" labelOnly="1" outline="0" fieldPosition="0">
        <references count="6">
          <reference field="1" count="1" selected="0">
            <x v="3"/>
          </reference>
          <reference field="2" count="1" selected="0">
            <x v="3"/>
          </reference>
          <reference field="3" count="1" selected="0">
            <x v="0"/>
          </reference>
          <reference field="5" count="1" selected="0">
            <x v="3"/>
          </reference>
          <reference field="23" count="1" selected="0">
            <x v="2"/>
          </reference>
          <reference field="72" count="3">
            <x v="86"/>
            <x v="163"/>
            <x v="178"/>
          </reference>
        </references>
      </pivotArea>
    </format>
    <format dxfId="1659">
      <pivotArea dataOnly="0" labelOnly="1" outline="0" fieldPosition="0">
        <references count="6">
          <reference field="1" count="1" selected="0">
            <x v="3"/>
          </reference>
          <reference field="2" count="1" selected="0">
            <x v="3"/>
          </reference>
          <reference field="3" count="1" selected="0">
            <x v="7"/>
          </reference>
          <reference field="5" count="1" selected="0">
            <x v="1"/>
          </reference>
          <reference field="23" count="1" selected="0">
            <x v="1"/>
          </reference>
          <reference field="72" count="1">
            <x v="164"/>
          </reference>
        </references>
      </pivotArea>
    </format>
    <format dxfId="1658">
      <pivotArea dataOnly="0" labelOnly="1" outline="0" fieldPosition="0">
        <references count="6">
          <reference field="1" count="1" selected="0">
            <x v="3"/>
          </reference>
          <reference field="2" count="1" selected="0">
            <x v="3"/>
          </reference>
          <reference field="3" count="1" selected="0">
            <x v="7"/>
          </reference>
          <reference field="5" count="1" selected="0">
            <x v="1"/>
          </reference>
          <reference field="23" count="1" selected="0">
            <x v="2"/>
          </reference>
          <reference field="72" count="1">
            <x v="5"/>
          </reference>
        </references>
      </pivotArea>
    </format>
    <format dxfId="1657">
      <pivotArea dataOnly="0" labelOnly="1" outline="0" fieldPosition="0">
        <references count="6">
          <reference field="1" count="1" selected="0">
            <x v="3"/>
          </reference>
          <reference field="2" count="1" selected="0">
            <x v="3"/>
          </reference>
          <reference field="3" count="1" selected="0">
            <x v="7"/>
          </reference>
          <reference field="5" count="1" selected="0">
            <x v="2"/>
          </reference>
          <reference field="23" count="1" selected="0">
            <x v="2"/>
          </reference>
          <reference field="72" count="4">
            <x v="59"/>
            <x v="62"/>
            <x v="176"/>
            <x v="177"/>
          </reference>
        </references>
      </pivotArea>
    </format>
    <format dxfId="1656">
      <pivotArea dataOnly="0" labelOnly="1" outline="0" fieldPosition="0">
        <references count="6">
          <reference field="1" count="1" selected="0">
            <x v="3"/>
          </reference>
          <reference field="2" count="1" selected="0">
            <x v="3"/>
          </reference>
          <reference field="3" count="1" selected="0">
            <x v="7"/>
          </reference>
          <reference field="5" count="1" selected="0">
            <x v="3"/>
          </reference>
          <reference field="23" count="1" selected="0">
            <x v="2"/>
          </reference>
          <reference field="72" count="3">
            <x v="70"/>
            <x v="71"/>
            <x v="76"/>
          </reference>
        </references>
      </pivotArea>
    </format>
    <format dxfId="1655">
      <pivotArea dataOnly="0" labelOnly="1" outline="0" fieldPosition="0">
        <references count="6">
          <reference field="1" count="1" selected="0">
            <x v="3"/>
          </reference>
          <reference field="2" count="1" selected="0">
            <x v="3"/>
          </reference>
          <reference field="3" count="1" selected="0">
            <x v="7"/>
          </reference>
          <reference field="5" count="1" selected="0">
            <x v="6"/>
          </reference>
          <reference field="23" count="1" selected="0">
            <x v="2"/>
          </reference>
          <reference field="72" count="1">
            <x v="15"/>
          </reference>
        </references>
      </pivotArea>
    </format>
    <format dxfId="1654">
      <pivotArea dataOnly="0" labelOnly="1" outline="0" fieldPosition="0">
        <references count="6">
          <reference field="1" count="1" selected="0">
            <x v="4"/>
          </reference>
          <reference field="2" count="1" selected="0">
            <x v="3"/>
          </reference>
          <reference field="3" count="1" selected="0">
            <x v="0"/>
          </reference>
          <reference field="5" count="1" selected="0">
            <x v="3"/>
          </reference>
          <reference field="23" count="1" selected="0">
            <x v="2"/>
          </reference>
          <reference field="72" count="3">
            <x v="70"/>
            <x v="71"/>
            <x v="76"/>
          </reference>
        </references>
      </pivotArea>
    </format>
    <format dxfId="1653">
      <pivotArea dataOnly="0" labelOnly="1" outline="0" fieldPosition="0">
        <references count="6">
          <reference field="1" count="1" selected="0">
            <x v="4"/>
          </reference>
          <reference field="2" count="1" selected="0">
            <x v="3"/>
          </reference>
          <reference field="3" count="1" selected="0">
            <x v="7"/>
          </reference>
          <reference field="5" count="1" selected="0">
            <x v="1"/>
          </reference>
          <reference field="23" count="1" selected="0">
            <x v="1"/>
          </reference>
          <reference field="72" count="1">
            <x v="122"/>
          </reference>
        </references>
      </pivotArea>
    </format>
    <format dxfId="1652">
      <pivotArea dataOnly="0" labelOnly="1" outline="0" fieldPosition="0">
        <references count="6">
          <reference field="1" count="1" selected="0">
            <x v="4"/>
          </reference>
          <reference field="2" count="1" selected="0">
            <x v="3"/>
          </reference>
          <reference field="3" count="1" selected="0">
            <x v="7"/>
          </reference>
          <reference field="5" count="1" selected="0">
            <x v="1"/>
          </reference>
          <reference field="23" count="1" selected="0">
            <x v="2"/>
          </reference>
          <reference field="72" count="1">
            <x v="15"/>
          </reference>
        </references>
      </pivotArea>
    </format>
    <format dxfId="1651">
      <pivotArea dataOnly="0" labelOnly="1" outline="0" fieldPosition="0">
        <references count="6">
          <reference field="1" count="1" selected="0">
            <x v="4"/>
          </reference>
          <reference field="2" count="1" selected="0">
            <x v="3"/>
          </reference>
          <reference field="3" count="1" selected="0">
            <x v="7"/>
          </reference>
          <reference field="5" count="1" selected="0">
            <x v="3"/>
          </reference>
          <reference field="23" count="1" selected="0">
            <x v="2"/>
          </reference>
          <reference field="72" count="3">
            <x v="56"/>
            <x v="57"/>
            <x v="60"/>
          </reference>
        </references>
      </pivotArea>
    </format>
    <format dxfId="1650">
      <pivotArea dataOnly="0" labelOnly="1" outline="0" fieldPosition="0">
        <references count="6">
          <reference field="1" count="1" selected="0">
            <x v="4"/>
          </reference>
          <reference field="2" count="1" selected="0">
            <x v="3"/>
          </reference>
          <reference field="3" count="1" selected="0">
            <x v="7"/>
          </reference>
          <reference field="5" count="1" selected="0">
            <x v="4"/>
          </reference>
          <reference field="23" count="1" selected="0">
            <x v="2"/>
          </reference>
          <reference field="72" count="3">
            <x v="28"/>
            <x v="39"/>
            <x v="52"/>
          </reference>
        </references>
      </pivotArea>
    </format>
    <format dxfId="1649">
      <pivotArea dataOnly="0" labelOnly="1" outline="0" fieldPosition="0">
        <references count="6">
          <reference field="1" count="1" selected="0">
            <x v="4"/>
          </reference>
          <reference field="2" count="1" selected="0">
            <x v="3"/>
          </reference>
          <reference field="3" count="1" selected="0">
            <x v="12"/>
          </reference>
          <reference field="5" count="1" selected="0">
            <x v="3"/>
          </reference>
          <reference field="23" count="1" selected="0">
            <x v="2"/>
          </reference>
          <reference field="72" count="3">
            <x v="56"/>
            <x v="57"/>
            <x v="60"/>
          </reference>
        </references>
      </pivotArea>
    </format>
    <format dxfId="1648">
      <pivotArea dataOnly="0" labelOnly="1" outline="0" fieldPosition="0">
        <references count="6">
          <reference field="1" count="1" selected="0">
            <x v="5"/>
          </reference>
          <reference field="2" count="1" selected="0">
            <x v="8"/>
          </reference>
          <reference field="3" count="1" selected="0">
            <x v="5"/>
          </reference>
          <reference field="5" count="1" selected="0">
            <x v="6"/>
          </reference>
          <reference field="23" count="1" selected="0">
            <x v="2"/>
          </reference>
          <reference field="72" count="1">
            <x v="7"/>
          </reference>
        </references>
      </pivotArea>
    </format>
    <format dxfId="1647">
      <pivotArea dataOnly="0" labelOnly="1" outline="0" fieldPosition="0">
        <references count="6">
          <reference field="1" count="1" selected="0">
            <x v="6"/>
          </reference>
          <reference field="2" count="1" selected="0">
            <x v="5"/>
          </reference>
          <reference field="3" count="1" selected="0">
            <x v="7"/>
          </reference>
          <reference field="5" count="1" selected="0">
            <x v="7"/>
          </reference>
          <reference field="23" count="1" selected="0">
            <x v="2"/>
          </reference>
          <reference field="72" count="4">
            <x v="59"/>
            <x v="62"/>
            <x v="67"/>
            <x v="176"/>
          </reference>
        </references>
      </pivotArea>
    </format>
    <format dxfId="1646">
      <pivotArea dataOnly="0" labelOnly="1" outline="0" fieldPosition="0">
        <references count="6">
          <reference field="1" count="1" selected="0">
            <x v="7"/>
          </reference>
          <reference field="2" count="1" selected="0">
            <x v="4"/>
          </reference>
          <reference field="3" count="1" selected="0">
            <x v="0"/>
          </reference>
          <reference field="5" count="1" selected="0">
            <x v="5"/>
          </reference>
          <reference field="23" count="1" selected="0">
            <x v="0"/>
          </reference>
          <reference field="72" count="1">
            <x v="128"/>
          </reference>
        </references>
      </pivotArea>
    </format>
    <format dxfId="1645">
      <pivotArea dataOnly="0" labelOnly="1" outline="0" fieldPosition="0">
        <references count="6">
          <reference field="1" count="1" selected="0">
            <x v="7"/>
          </reference>
          <reference field="2" count="1" selected="0">
            <x v="5"/>
          </reference>
          <reference field="3" count="1" selected="0">
            <x v="0"/>
          </reference>
          <reference field="5" count="1" selected="0">
            <x v="7"/>
          </reference>
          <reference field="23" count="1" selected="0">
            <x v="2"/>
          </reference>
          <reference field="72" count="4">
            <x v="75"/>
            <x v="80"/>
            <x v="84"/>
            <x v="87"/>
          </reference>
        </references>
      </pivotArea>
    </format>
    <format dxfId="1644">
      <pivotArea dataOnly="0" labelOnly="1" outline="0" fieldPosition="0">
        <references count="6">
          <reference field="1" count="1" selected="0">
            <x v="7"/>
          </reference>
          <reference field="2" count="1" selected="0">
            <x v="4"/>
          </reference>
          <reference field="3" count="1" selected="0">
            <x v="7"/>
          </reference>
          <reference field="5" count="1" selected="0">
            <x v="5"/>
          </reference>
          <reference field="23" count="1" selected="0">
            <x v="0"/>
          </reference>
          <reference field="72" count="1">
            <x v="128"/>
          </reference>
        </references>
      </pivotArea>
    </format>
    <format dxfId="1643">
      <pivotArea dataOnly="0" labelOnly="1" outline="0" fieldPosition="0">
        <references count="6">
          <reference field="1" count="1" selected="0">
            <x v="7"/>
          </reference>
          <reference field="2" count="1" selected="0">
            <x v="5"/>
          </reference>
          <reference field="3" count="1" selected="0">
            <x v="7"/>
          </reference>
          <reference field="5" count="1" selected="0">
            <x v="0"/>
          </reference>
          <reference field="23" count="1" selected="0">
            <x v="2"/>
          </reference>
          <reference field="72" count="2">
            <x v="62"/>
            <x v="67"/>
          </reference>
        </references>
      </pivotArea>
    </format>
    <format dxfId="1642">
      <pivotArea dataOnly="0" labelOnly="1" outline="0" fieldPosition="0">
        <references count="6">
          <reference field="1" count="1" selected="0">
            <x v="7"/>
          </reference>
          <reference field="2" count="1" selected="0">
            <x v="5"/>
          </reference>
          <reference field="3" count="1" selected="0">
            <x v="7"/>
          </reference>
          <reference field="5" count="1" selected="0">
            <x v="7"/>
          </reference>
          <reference field="23" count="1" selected="0">
            <x v="2"/>
          </reference>
          <reference field="72" count="4">
            <x v="75"/>
            <x v="80"/>
            <x v="84"/>
            <x v="87"/>
          </reference>
        </references>
      </pivotArea>
    </format>
    <format dxfId="1641">
      <pivotArea dataOnly="0" labelOnly="1" outline="0" fieldPosition="0">
        <references count="6">
          <reference field="1" count="1" selected="0">
            <x v="7"/>
          </reference>
          <reference field="2" count="1" selected="0">
            <x v="4"/>
          </reference>
          <reference field="3" count="1" selected="0">
            <x v="14"/>
          </reference>
          <reference field="5" count="1" selected="0">
            <x v="5"/>
          </reference>
          <reference field="23" count="1" selected="0">
            <x v="0"/>
          </reference>
          <reference field="72" count="1">
            <x v="128"/>
          </reference>
        </references>
      </pivotArea>
    </format>
    <format dxfId="1640">
      <pivotArea dataOnly="0" labelOnly="1" outline="0" fieldPosition="0">
        <references count="6">
          <reference field="1" count="1" selected="0">
            <x v="7"/>
          </reference>
          <reference field="2" count="1" selected="0">
            <x v="5"/>
          </reference>
          <reference field="3" count="1" selected="0">
            <x v="14"/>
          </reference>
          <reference field="5" count="1" selected="0">
            <x v="7"/>
          </reference>
          <reference field="23" count="1" selected="0">
            <x v="2"/>
          </reference>
          <reference field="72" count="4">
            <x v="75"/>
            <x v="80"/>
            <x v="84"/>
            <x v="87"/>
          </reference>
        </references>
      </pivotArea>
    </format>
    <format dxfId="1639">
      <pivotArea dataOnly="0" labelOnly="1" outline="0" fieldPosition="0">
        <references count="6">
          <reference field="1" count="1" selected="0">
            <x v="7"/>
          </reference>
          <reference field="2" count="1" selected="0">
            <x v="4"/>
          </reference>
          <reference field="3" count="1" selected="0">
            <x v="17"/>
          </reference>
          <reference field="5" count="1" selected="0">
            <x v="5"/>
          </reference>
          <reference field="23" count="1" selected="0">
            <x v="0"/>
          </reference>
          <reference field="72" count="1">
            <x v="128"/>
          </reference>
        </references>
      </pivotArea>
    </format>
    <format dxfId="1638">
      <pivotArea dataOnly="0" labelOnly="1" outline="0" fieldPosition="0">
        <references count="6">
          <reference field="1" count="1" selected="0">
            <x v="8"/>
          </reference>
          <reference field="2" count="1" selected="0">
            <x v="3"/>
          </reference>
          <reference field="3" count="1" selected="0">
            <x v="7"/>
          </reference>
          <reference field="5" count="1" selected="0">
            <x v="3"/>
          </reference>
          <reference field="23" count="1" selected="0">
            <x v="2"/>
          </reference>
          <reference field="72" count="3">
            <x v="60"/>
            <x v="64"/>
            <x v="153"/>
          </reference>
        </references>
      </pivotArea>
    </format>
    <format dxfId="1637">
      <pivotArea dataOnly="0" labelOnly="1" outline="0" fieldPosition="0">
        <references count="6">
          <reference field="1" count="1" selected="0">
            <x v="9"/>
          </reference>
          <reference field="2" count="1" selected="0">
            <x v="5"/>
          </reference>
          <reference field="3" count="1" selected="0">
            <x v="7"/>
          </reference>
          <reference field="5" count="1" selected="0">
            <x v="1"/>
          </reference>
          <reference field="23" count="1" selected="0">
            <x v="1"/>
          </reference>
          <reference field="72" count="1">
            <x v="113"/>
          </reference>
        </references>
      </pivotArea>
    </format>
    <format dxfId="1636">
      <pivotArea dataOnly="0" labelOnly="1" outline="0" fieldPosition="0">
        <references count="6">
          <reference field="1" count="1" selected="0">
            <x v="9"/>
          </reference>
          <reference field="2" count="1" selected="0">
            <x v="5"/>
          </reference>
          <reference field="3" count="1" selected="0">
            <x v="7"/>
          </reference>
          <reference field="5" count="1" selected="0">
            <x v="1"/>
          </reference>
          <reference field="23" count="1" selected="0">
            <x v="2"/>
          </reference>
          <reference field="72" count="2">
            <x v="9"/>
            <x v="15"/>
          </reference>
        </references>
      </pivotArea>
    </format>
    <format dxfId="1635">
      <pivotArea dataOnly="0" labelOnly="1" outline="0" fieldPosition="0">
        <references count="6">
          <reference field="1" count="1" selected="0">
            <x v="9"/>
          </reference>
          <reference field="2" count="1" selected="0">
            <x v="5"/>
          </reference>
          <reference field="3" count="1" selected="0">
            <x v="7"/>
          </reference>
          <reference field="5" count="1" selected="0">
            <x v="2"/>
          </reference>
          <reference field="23" count="1" selected="0">
            <x v="2"/>
          </reference>
          <reference field="72" count="4">
            <x v="16"/>
            <x v="18"/>
            <x v="21"/>
            <x v="26"/>
          </reference>
        </references>
      </pivotArea>
    </format>
    <format dxfId="1634">
      <pivotArea dataOnly="0" labelOnly="1" outline="0" fieldPosition="0">
        <references count="6">
          <reference field="1" count="1" selected="0">
            <x v="9"/>
          </reference>
          <reference field="2" count="1" selected="0">
            <x v="5"/>
          </reference>
          <reference field="3" count="1" selected="0">
            <x v="7"/>
          </reference>
          <reference field="5" count="1" selected="0">
            <x v="3"/>
          </reference>
          <reference field="23" count="1" selected="0">
            <x v="2"/>
          </reference>
          <reference field="72" count="3">
            <x v="35"/>
            <x v="37"/>
            <x v="39"/>
          </reference>
        </references>
      </pivotArea>
    </format>
    <format dxfId="1633">
      <pivotArea dataOnly="0" labelOnly="1" outline="0" fieldPosition="0">
        <references count="6">
          <reference field="1" count="1" selected="0">
            <x v="9"/>
          </reference>
          <reference field="2" count="1" selected="0">
            <x v="5"/>
          </reference>
          <reference field="3" count="1" selected="0">
            <x v="7"/>
          </reference>
          <reference field="5" count="1" selected="0">
            <x v="6"/>
          </reference>
          <reference field="23" count="1" selected="0">
            <x v="1"/>
          </reference>
          <reference field="72" count="1">
            <x v="171"/>
          </reference>
        </references>
      </pivotArea>
    </format>
    <format dxfId="1632">
      <pivotArea dataOnly="0" labelOnly="1" outline="0" fieldPosition="0">
        <references count="6">
          <reference field="1" count="1" selected="0">
            <x v="9"/>
          </reference>
          <reference field="2" count="1" selected="0">
            <x v="5"/>
          </reference>
          <reference field="3" count="1" selected="0">
            <x v="7"/>
          </reference>
          <reference field="5" count="1" selected="0">
            <x v="6"/>
          </reference>
          <reference field="23" count="1" selected="0">
            <x v="2"/>
          </reference>
          <reference field="72" count="1">
            <x v="7"/>
          </reference>
        </references>
      </pivotArea>
    </format>
    <format dxfId="1631">
      <pivotArea dataOnly="0" labelOnly="1" outline="0" fieldPosition="0">
        <references count="6">
          <reference field="1" count="1" selected="0">
            <x v="9"/>
          </reference>
          <reference field="2" count="1" selected="0">
            <x v="6"/>
          </reference>
          <reference field="3" count="1" selected="0">
            <x v="7"/>
          </reference>
          <reference field="5" count="1" selected="0">
            <x v="0"/>
          </reference>
          <reference field="23" count="1" selected="0">
            <x v="2"/>
          </reference>
          <reference field="72" count="5">
            <x v="11"/>
            <x v="25"/>
            <x v="38"/>
            <x v="60"/>
            <x v="181"/>
          </reference>
        </references>
      </pivotArea>
    </format>
    <format dxfId="1630">
      <pivotArea dataOnly="0" labelOnly="1" outline="0" fieldPosition="0">
        <references count="6">
          <reference field="1" count="1" selected="0">
            <x v="10"/>
          </reference>
          <reference field="2" count="1" selected="0">
            <x v="10"/>
          </reference>
          <reference field="3" count="1" selected="0">
            <x v="4"/>
          </reference>
          <reference field="5" count="1" selected="0">
            <x v="5"/>
          </reference>
          <reference field="23" count="1" selected="0">
            <x v="0"/>
          </reference>
          <reference field="72" count="1">
            <x v="140"/>
          </reference>
        </references>
      </pivotArea>
    </format>
    <format dxfId="1629">
      <pivotArea dataOnly="0" labelOnly="1" outline="0" fieldPosition="0">
        <references count="6">
          <reference field="1" count="1" selected="0">
            <x v="11"/>
          </reference>
          <reference field="2" count="1" selected="0">
            <x v="10"/>
          </reference>
          <reference field="3" count="1" selected="0">
            <x v="15"/>
          </reference>
          <reference field="5" count="1" selected="0">
            <x v="5"/>
          </reference>
          <reference field="23" count="1" selected="0">
            <x v="0"/>
          </reference>
          <reference field="72" count="1">
            <x v="141"/>
          </reference>
        </references>
      </pivotArea>
    </format>
    <format dxfId="1628">
      <pivotArea dataOnly="0" labelOnly="1" outline="0" fieldPosition="0">
        <references count="6">
          <reference field="1" count="1" selected="0">
            <x v="12"/>
          </reference>
          <reference field="2" count="1" selected="0">
            <x v="5"/>
          </reference>
          <reference field="3" count="1" selected="0">
            <x v="0"/>
          </reference>
          <reference field="5" count="1" selected="0">
            <x v="1"/>
          </reference>
          <reference field="23" count="1" selected="0">
            <x v="1"/>
          </reference>
          <reference field="72" count="1">
            <x v="113"/>
          </reference>
        </references>
      </pivotArea>
    </format>
    <format dxfId="1627">
      <pivotArea dataOnly="0" labelOnly="1" outline="0" fieldPosition="0">
        <references count="6">
          <reference field="1" count="1" selected="0">
            <x v="12"/>
          </reference>
          <reference field="2" count="1" selected="0">
            <x v="5"/>
          </reference>
          <reference field="3" count="1" selected="0">
            <x v="0"/>
          </reference>
          <reference field="5" count="1" selected="0">
            <x v="1"/>
          </reference>
          <reference field="23" count="1" selected="0">
            <x v="2"/>
          </reference>
          <reference field="72" count="1">
            <x v="9"/>
          </reference>
        </references>
      </pivotArea>
    </format>
    <format dxfId="1626">
      <pivotArea dataOnly="0" labelOnly="1" outline="0" fieldPosition="0">
        <references count="6">
          <reference field="1" count="1" selected="0">
            <x v="12"/>
          </reference>
          <reference field="2" count="1" selected="0">
            <x v="5"/>
          </reference>
          <reference field="3" count="1" selected="0">
            <x v="7"/>
          </reference>
          <reference field="5" count="1" selected="0">
            <x v="1"/>
          </reference>
          <reference field="23" count="1" selected="0">
            <x v="1"/>
          </reference>
          <reference field="72" count="1">
            <x v="113"/>
          </reference>
        </references>
      </pivotArea>
    </format>
    <format dxfId="1625">
      <pivotArea dataOnly="0" labelOnly="1" outline="0" fieldPosition="0">
        <references count="6">
          <reference field="1" count="1" selected="0">
            <x v="12"/>
          </reference>
          <reference field="2" count="1" selected="0">
            <x v="5"/>
          </reference>
          <reference field="3" count="1" selected="0">
            <x v="7"/>
          </reference>
          <reference field="5" count="1" selected="0">
            <x v="1"/>
          </reference>
          <reference field="23" count="1" selected="0">
            <x v="2"/>
          </reference>
          <reference field="72" count="2">
            <x v="9"/>
            <x v="15"/>
          </reference>
        </references>
      </pivotArea>
    </format>
    <format dxfId="1624">
      <pivotArea dataOnly="0" labelOnly="1" outline="0" fieldPosition="0">
        <references count="6">
          <reference field="1" count="1" selected="0">
            <x v="12"/>
          </reference>
          <reference field="2" count="1" selected="0">
            <x v="5"/>
          </reference>
          <reference field="3" count="1" selected="0">
            <x v="7"/>
          </reference>
          <reference field="5" count="1" selected="0">
            <x v="2"/>
          </reference>
          <reference field="23" count="1" selected="0">
            <x v="2"/>
          </reference>
          <reference field="72" count="4">
            <x v="11"/>
            <x v="13"/>
            <x v="15"/>
            <x v="20"/>
          </reference>
        </references>
      </pivotArea>
    </format>
    <format dxfId="1623">
      <pivotArea dataOnly="0" labelOnly="1" outline="0" fieldPosition="0">
        <references count="6">
          <reference field="1" count="1" selected="0">
            <x v="12"/>
          </reference>
          <reference field="2" count="1" selected="0">
            <x v="5"/>
          </reference>
          <reference field="3" count="1" selected="0">
            <x v="7"/>
          </reference>
          <reference field="5" count="1" selected="0">
            <x v="3"/>
          </reference>
          <reference field="23" count="1" selected="0">
            <x v="2"/>
          </reference>
          <reference field="72" count="3">
            <x v="25"/>
            <x v="27"/>
            <x v="157"/>
          </reference>
        </references>
      </pivotArea>
    </format>
    <format dxfId="1622">
      <pivotArea dataOnly="0" labelOnly="1" outline="0" fieldPosition="0">
        <references count="6">
          <reference field="1" count="1" selected="0">
            <x v="12"/>
          </reference>
          <reference field="2" count="1" selected="0">
            <x v="5"/>
          </reference>
          <reference field="3" count="1" selected="0">
            <x v="7"/>
          </reference>
          <reference field="5" count="1" selected="0">
            <x v="6"/>
          </reference>
          <reference field="23" count="1" selected="0">
            <x v="1"/>
          </reference>
          <reference field="72" count="1">
            <x v="171"/>
          </reference>
        </references>
      </pivotArea>
    </format>
    <format dxfId="1621">
      <pivotArea dataOnly="0" labelOnly="1" outline="0" fieldPosition="0">
        <references count="6">
          <reference field="1" count="1" selected="0">
            <x v="12"/>
          </reference>
          <reference field="2" count="1" selected="0">
            <x v="6"/>
          </reference>
          <reference field="3" count="1" selected="0">
            <x v="7"/>
          </reference>
          <reference field="5" count="1" selected="0">
            <x v="0"/>
          </reference>
          <reference field="23" count="1" selected="0">
            <x v="2"/>
          </reference>
          <reference field="72" count="3">
            <x v="24"/>
            <x v="60"/>
            <x v="181"/>
          </reference>
        </references>
      </pivotArea>
    </format>
    <format dxfId="1620">
      <pivotArea dataOnly="0" labelOnly="1" outline="0" fieldPosition="0">
        <references count="6">
          <reference field="1" count="1" selected="0">
            <x v="12"/>
          </reference>
          <reference field="2" count="1" selected="0">
            <x v="5"/>
          </reference>
          <reference field="3" count="1" selected="0">
            <x v="14"/>
          </reference>
          <reference field="5" count="1" selected="0">
            <x v="1"/>
          </reference>
          <reference field="23" count="1" selected="0">
            <x v="1"/>
          </reference>
          <reference field="72" count="1">
            <x v="113"/>
          </reference>
        </references>
      </pivotArea>
    </format>
    <format dxfId="1619">
      <pivotArea dataOnly="0" labelOnly="1" outline="0" fieldPosition="0">
        <references count="6">
          <reference field="1" count="1" selected="0">
            <x v="12"/>
          </reference>
          <reference field="2" count="1" selected="0">
            <x v="5"/>
          </reference>
          <reference field="3" count="1" selected="0">
            <x v="14"/>
          </reference>
          <reference field="5" count="1" selected="0">
            <x v="1"/>
          </reference>
          <reference field="23" count="1" selected="0">
            <x v="2"/>
          </reference>
          <reference field="72" count="1">
            <x v="9"/>
          </reference>
        </references>
      </pivotArea>
    </format>
    <format dxfId="1618">
      <pivotArea dataOnly="0" labelOnly="1" outline="0" fieldPosition="0">
        <references count="6">
          <reference field="1" count="1" selected="0">
            <x v="13"/>
          </reference>
          <reference field="2" count="1" selected="0">
            <x v="10"/>
          </reference>
          <reference field="3" count="1" selected="0">
            <x v="4"/>
          </reference>
          <reference field="5" count="1" selected="0">
            <x v="0"/>
          </reference>
          <reference field="23" count="1" selected="0">
            <x v="2"/>
          </reference>
          <reference field="72" count="4">
            <x v="67"/>
            <x v="76"/>
            <x v="93"/>
            <x v="106"/>
          </reference>
        </references>
      </pivotArea>
    </format>
    <format dxfId="1617">
      <pivotArea dataOnly="0" labelOnly="1" outline="0" fieldPosition="0">
        <references count="6">
          <reference field="1" count="1" selected="0">
            <x v="13"/>
          </reference>
          <reference field="2" count="1" selected="0">
            <x v="10"/>
          </reference>
          <reference field="3" count="1" selected="0">
            <x v="4"/>
          </reference>
          <reference field="5" count="1" selected="0">
            <x v="5"/>
          </reference>
          <reference field="23" count="1" selected="0">
            <x v="0"/>
          </reference>
          <reference field="72" count="1">
            <x v="139"/>
          </reference>
        </references>
      </pivotArea>
    </format>
    <format dxfId="1616">
      <pivotArea dataOnly="0" labelOnly="1" outline="0" fieldPosition="0">
        <references count="6">
          <reference field="1" count="1" selected="0">
            <x v="14"/>
          </reference>
          <reference field="2" count="1" selected="0">
            <x v="10"/>
          </reference>
          <reference field="3" count="1" selected="0">
            <x v="15"/>
          </reference>
          <reference field="5" count="1" selected="0">
            <x v="5"/>
          </reference>
          <reference field="23" count="1" selected="0">
            <x v="0"/>
          </reference>
          <reference field="72" count="1">
            <x v="137"/>
          </reference>
        </references>
      </pivotArea>
    </format>
    <format dxfId="1615">
      <pivotArea dataOnly="0" labelOnly="1" outline="0" fieldPosition="0">
        <references count="6">
          <reference field="1" count="1" selected="0">
            <x v="15"/>
          </reference>
          <reference field="2" count="1" selected="0">
            <x v="5"/>
          </reference>
          <reference field="3" count="1" selected="0">
            <x v="5"/>
          </reference>
          <reference field="5" count="1" selected="0">
            <x v="2"/>
          </reference>
          <reference field="23" count="1" selected="0">
            <x v="2"/>
          </reference>
          <reference field="72" count="1">
            <x v="65"/>
          </reference>
        </references>
      </pivotArea>
    </format>
    <format dxfId="1614">
      <pivotArea dataOnly="0" labelOnly="1" outline="0" fieldPosition="0">
        <references count="6">
          <reference field="1" count="1" selected="0">
            <x v="15"/>
          </reference>
          <reference field="2" count="1" selected="0">
            <x v="5"/>
          </reference>
          <reference field="3" count="1" selected="0">
            <x v="5"/>
          </reference>
          <reference field="5" count="1" selected="0">
            <x v="3"/>
          </reference>
          <reference field="23" count="1" selected="0">
            <x v="2"/>
          </reference>
          <reference field="72" count="3">
            <x v="21"/>
            <x v="23"/>
            <x v="28"/>
          </reference>
        </references>
      </pivotArea>
    </format>
    <format dxfId="1613">
      <pivotArea dataOnly="0" labelOnly="1" outline="0" fieldPosition="0">
        <references count="6">
          <reference field="1" count="1" selected="0">
            <x v="15"/>
          </reference>
          <reference field="2" count="1" selected="0">
            <x v="5"/>
          </reference>
          <reference field="3" count="1" selected="0">
            <x v="5"/>
          </reference>
          <reference field="5" count="1" selected="0">
            <x v="4"/>
          </reference>
          <reference field="23" count="1" selected="0">
            <x v="2"/>
          </reference>
          <reference field="72" count="3">
            <x v="19"/>
            <x v="33"/>
            <x v="181"/>
          </reference>
        </references>
      </pivotArea>
    </format>
    <format dxfId="1612">
      <pivotArea dataOnly="0" labelOnly="1" outline="0" fieldPosition="0">
        <references count="6">
          <reference field="1" count="1" selected="0">
            <x v="16"/>
          </reference>
          <reference field="2" count="1" selected="0">
            <x v="5"/>
          </reference>
          <reference field="3" count="1" selected="0">
            <x v="7"/>
          </reference>
          <reference field="5" count="1" selected="0">
            <x v="2"/>
          </reference>
          <reference field="23" count="1" selected="0">
            <x v="2"/>
          </reference>
          <reference field="72" count="1">
            <x v="65"/>
          </reference>
        </references>
      </pivotArea>
    </format>
    <format dxfId="1611">
      <pivotArea dataOnly="0" labelOnly="1" outline="0" fieldPosition="0">
        <references count="6">
          <reference field="1" count="1" selected="0">
            <x v="16"/>
          </reference>
          <reference field="2" count="1" selected="0">
            <x v="5"/>
          </reference>
          <reference field="3" count="1" selected="0">
            <x v="7"/>
          </reference>
          <reference field="5" count="1" selected="0">
            <x v="3"/>
          </reference>
          <reference field="23" count="1" selected="0">
            <x v="2"/>
          </reference>
          <reference field="72" count="3">
            <x v="29"/>
            <x v="31"/>
            <x v="35"/>
          </reference>
        </references>
      </pivotArea>
    </format>
    <format dxfId="1610">
      <pivotArea dataOnly="0" labelOnly="1" outline="0" fieldPosition="0">
        <references count="6">
          <reference field="1" count="1" selected="0">
            <x v="16"/>
          </reference>
          <reference field="2" count="1" selected="0">
            <x v="5"/>
          </reference>
          <reference field="3" count="1" selected="0">
            <x v="7"/>
          </reference>
          <reference field="5" count="1" selected="0">
            <x v="4"/>
          </reference>
          <reference field="23" count="1" selected="0">
            <x v="2"/>
          </reference>
          <reference field="72" count="5">
            <x v="19"/>
            <x v="33"/>
            <x v="65"/>
            <x v="181"/>
            <x v="182"/>
          </reference>
        </references>
      </pivotArea>
    </format>
    <format dxfId="1609">
      <pivotArea dataOnly="0" labelOnly="1" outline="0" fieldPosition="0">
        <references count="6">
          <reference field="1" count="1" selected="0">
            <x v="17"/>
          </reference>
          <reference field="2" count="1" selected="0">
            <x v="4"/>
          </reference>
          <reference field="3" count="1" selected="0">
            <x v="0"/>
          </reference>
          <reference field="5" count="1" selected="0">
            <x v="5"/>
          </reference>
          <reference field="23" count="1" selected="0">
            <x v="0"/>
          </reference>
          <reference field="72" count="1">
            <x v="130"/>
          </reference>
        </references>
      </pivotArea>
    </format>
    <format dxfId="1608">
      <pivotArea dataOnly="0" labelOnly="1" outline="0" fieldPosition="0">
        <references count="6">
          <reference field="1" count="1" selected="0">
            <x v="17"/>
          </reference>
          <reference field="2" count="1" selected="0">
            <x v="5"/>
          </reference>
          <reference field="3" count="1" selected="0">
            <x v="7"/>
          </reference>
          <reference field="5" count="1" selected="0">
            <x v="6"/>
          </reference>
          <reference field="23" count="1" selected="0">
            <x v="1"/>
          </reference>
          <reference field="72" count="1">
            <x v="124"/>
          </reference>
        </references>
      </pivotArea>
    </format>
    <format dxfId="1607">
      <pivotArea dataOnly="0" labelOnly="1" outline="0" fieldPosition="0">
        <references count="6">
          <reference field="1" count="1" selected="0">
            <x v="17"/>
          </reference>
          <reference field="2" count="1" selected="0">
            <x v="5"/>
          </reference>
          <reference field="3" count="1" selected="0">
            <x v="7"/>
          </reference>
          <reference field="5" count="1" selected="0">
            <x v="6"/>
          </reference>
          <reference field="23" count="1" selected="0">
            <x v="2"/>
          </reference>
          <reference field="72" count="1">
            <x v="14"/>
          </reference>
        </references>
      </pivotArea>
    </format>
    <format dxfId="1606">
      <pivotArea dataOnly="0" labelOnly="1" outline="0" fieldPosition="0">
        <references count="6">
          <reference field="1" count="1" selected="0">
            <x v="17"/>
          </reference>
          <reference field="2" count="1" selected="0">
            <x v="5"/>
          </reference>
          <reference field="3" count="1" selected="0">
            <x v="7"/>
          </reference>
          <reference field="5" count="1" selected="0">
            <x v="7"/>
          </reference>
          <reference field="23" count="1" selected="0">
            <x v="2"/>
          </reference>
          <reference field="72" count="4">
            <x v="68"/>
            <x v="72"/>
            <x v="77"/>
            <x v="84"/>
          </reference>
        </references>
      </pivotArea>
    </format>
    <format dxfId="1605">
      <pivotArea dataOnly="0" labelOnly="1" outline="0" fieldPosition="0">
        <references count="6">
          <reference field="1" count="1" selected="0">
            <x v="18"/>
          </reference>
          <reference field="2" count="1" selected="0">
            <x v="3"/>
          </reference>
          <reference field="3" count="1" selected="0">
            <x v="7"/>
          </reference>
          <reference field="5" count="1" selected="0">
            <x v="7"/>
          </reference>
          <reference field="23" count="1" selected="0">
            <x v="2"/>
          </reference>
          <reference field="72" count="4">
            <x v="70"/>
            <x v="74"/>
            <x v="79"/>
            <x v="183"/>
          </reference>
        </references>
      </pivotArea>
    </format>
    <format dxfId="1604">
      <pivotArea dataOnly="0" labelOnly="1" outline="0" fieldPosition="0">
        <references count="6">
          <reference field="1" count="1" selected="0">
            <x v="18"/>
          </reference>
          <reference field="2" count="1" selected="0">
            <x v="6"/>
          </reference>
          <reference field="3" count="1" selected="0">
            <x v="7"/>
          </reference>
          <reference field="5" count="1" selected="0">
            <x v="7"/>
          </reference>
          <reference field="23" count="1" selected="0">
            <x v="2"/>
          </reference>
          <reference field="72" count="4">
            <x v="70"/>
            <x v="74"/>
            <x v="82"/>
            <x v="149"/>
          </reference>
        </references>
      </pivotArea>
    </format>
    <format dxfId="1603">
      <pivotArea dataOnly="0" labelOnly="1" outline="0" fieldPosition="0">
        <references count="6">
          <reference field="1" count="1" selected="0">
            <x v="19"/>
          </reference>
          <reference field="2" count="1" selected="0">
            <x v="3"/>
          </reference>
          <reference field="3" count="1" selected="0">
            <x v="1"/>
          </reference>
          <reference field="5" count="1" selected="0">
            <x v="1"/>
          </reference>
          <reference field="23" count="1" selected="0">
            <x v="1"/>
          </reference>
          <reference field="72" count="1">
            <x v="113"/>
          </reference>
        </references>
      </pivotArea>
    </format>
    <format dxfId="1602">
      <pivotArea dataOnly="0" labelOnly="1" outline="0" fieldPosition="0">
        <references count="6">
          <reference field="1" count="1" selected="0">
            <x v="19"/>
          </reference>
          <reference field="2" count="1" selected="0">
            <x v="3"/>
          </reference>
          <reference field="3" count="1" selected="0">
            <x v="1"/>
          </reference>
          <reference field="5" count="1" selected="0">
            <x v="1"/>
          </reference>
          <reference field="23" count="1" selected="0">
            <x v="2"/>
          </reference>
          <reference field="72" count="1">
            <x v="4"/>
          </reference>
        </references>
      </pivotArea>
    </format>
    <format dxfId="1601">
      <pivotArea dataOnly="0" labelOnly="1" outline="0" fieldPosition="0">
        <references count="6">
          <reference field="1" count="1" selected="0">
            <x v="19"/>
          </reference>
          <reference field="2" count="1" selected="0">
            <x v="10"/>
          </reference>
          <reference field="3" count="1" selected="0">
            <x v="1"/>
          </reference>
          <reference field="5" count="1" selected="0">
            <x v="4"/>
          </reference>
          <reference field="23" count="1" selected="0">
            <x v="2"/>
          </reference>
          <reference field="72" count="1">
            <x v="185"/>
          </reference>
        </references>
      </pivotArea>
    </format>
    <format dxfId="1600">
      <pivotArea dataOnly="0" labelOnly="1" outline="0" fieldPosition="0">
        <references count="6">
          <reference field="1" count="1" selected="0">
            <x v="19"/>
          </reference>
          <reference field="2" count="1" selected="0">
            <x v="10"/>
          </reference>
          <reference field="3" count="1" selected="0">
            <x v="1"/>
          </reference>
          <reference field="5" count="1" selected="0">
            <x v="7"/>
          </reference>
          <reference field="23" count="1" selected="0">
            <x v="2"/>
          </reference>
          <reference field="72" count="1">
            <x v="36"/>
          </reference>
        </references>
      </pivotArea>
    </format>
    <format dxfId="1599">
      <pivotArea dataOnly="0" labelOnly="1" outline="0" fieldPosition="0">
        <references count="6">
          <reference field="1" count="1" selected="0">
            <x v="19"/>
          </reference>
          <reference field="2" count="1" selected="0">
            <x v="6"/>
          </reference>
          <reference field="3" count="1" selected="0">
            <x v="2"/>
          </reference>
          <reference field="5" count="1" selected="0">
            <x v="7"/>
          </reference>
          <reference field="23" count="1" selected="0">
            <x v="2"/>
          </reference>
          <reference field="72" count="1">
            <x v="50"/>
          </reference>
        </references>
      </pivotArea>
    </format>
    <format dxfId="1598">
      <pivotArea dataOnly="0" labelOnly="1" outline="0" fieldPosition="0">
        <references count="6">
          <reference field="1" count="1" selected="0">
            <x v="19"/>
          </reference>
          <reference field="2" count="1" selected="0">
            <x v="6"/>
          </reference>
          <reference field="3" count="1" selected="0">
            <x v="15"/>
          </reference>
          <reference field="5" count="1" selected="0">
            <x v="5"/>
          </reference>
          <reference field="23" count="1" selected="0">
            <x v="0"/>
          </reference>
          <reference field="72" count="1">
            <x v="136"/>
          </reference>
        </references>
      </pivotArea>
    </format>
    <format dxfId="1597">
      <pivotArea dataOnly="0" labelOnly="1" outline="0" fieldPosition="0">
        <references count="6">
          <reference field="1" count="1" selected="0">
            <x v="20"/>
          </reference>
          <reference field="2" count="1" selected="0">
            <x v="10"/>
          </reference>
          <reference field="3" count="1" selected="0">
            <x v="1"/>
          </reference>
          <reference field="5" count="1" selected="0">
            <x v="7"/>
          </reference>
          <reference field="23" count="1" selected="0">
            <x v="2"/>
          </reference>
          <reference field="72" count="1">
            <x v="98"/>
          </reference>
        </references>
      </pivotArea>
    </format>
    <format dxfId="1596">
      <pivotArea dataOnly="0" labelOnly="1" outline="0" fieldPosition="0">
        <references count="6">
          <reference field="1" count="1" selected="0">
            <x v="21"/>
          </reference>
          <reference field="2" count="1" selected="0">
            <x v="5"/>
          </reference>
          <reference field="3" count="1" selected="0">
            <x v="0"/>
          </reference>
          <reference field="5" count="1" selected="0">
            <x v="2"/>
          </reference>
          <reference field="23" count="1" selected="0">
            <x v="2"/>
          </reference>
          <reference field="72" count="4">
            <x v="36"/>
            <x v="41"/>
            <x v="155"/>
            <x v="174"/>
          </reference>
        </references>
      </pivotArea>
    </format>
    <format dxfId="1595">
      <pivotArea dataOnly="0" labelOnly="1" outline="0" fieldPosition="0">
        <references count="6">
          <reference field="1" count="1" selected="0">
            <x v="21"/>
          </reference>
          <reference field="2" count="1" selected="0">
            <x v="5"/>
          </reference>
          <reference field="3" count="1" selected="0">
            <x v="0"/>
          </reference>
          <reference field="5" count="1" selected="0">
            <x v="5"/>
          </reference>
          <reference field="23" count="1" selected="0">
            <x v="0"/>
          </reference>
          <reference field="72" count="1">
            <x v="132"/>
          </reference>
        </references>
      </pivotArea>
    </format>
    <format dxfId="1594">
      <pivotArea dataOnly="0" labelOnly="1" outline="0" fieldPosition="0">
        <references count="6">
          <reference field="1" count="1" selected="0">
            <x v="21"/>
          </reference>
          <reference field="2" count="1" selected="0">
            <x v="6"/>
          </reference>
          <reference field="3" count="1" selected="0">
            <x v="0"/>
          </reference>
          <reference field="5" count="1" selected="0">
            <x v="7"/>
          </reference>
          <reference field="23" count="1" selected="0">
            <x v="2"/>
          </reference>
          <reference field="72" count="5">
            <x v="11"/>
            <x v="52"/>
            <x v="56"/>
            <x v="65"/>
            <x v="153"/>
          </reference>
        </references>
      </pivotArea>
    </format>
    <format dxfId="1593">
      <pivotArea dataOnly="0" labelOnly="1" outline="0" fieldPosition="0">
        <references count="6">
          <reference field="1" count="1" selected="0">
            <x v="21"/>
          </reference>
          <reference field="2" count="1" selected="0">
            <x v="5"/>
          </reference>
          <reference field="3" count="1" selected="0">
            <x v="7"/>
          </reference>
          <reference field="5" count="1" selected="0">
            <x v="2"/>
          </reference>
          <reference field="23" count="1" selected="0">
            <x v="2"/>
          </reference>
          <reference field="72" count="4">
            <x v="36"/>
            <x v="41"/>
            <x v="155"/>
            <x v="174"/>
          </reference>
        </references>
      </pivotArea>
    </format>
    <format dxfId="1592">
      <pivotArea dataOnly="0" labelOnly="1" outline="0" fieldPosition="0">
        <references count="6">
          <reference field="1" count="1" selected="0">
            <x v="21"/>
          </reference>
          <reference field="2" count="1" selected="0">
            <x v="5"/>
          </reference>
          <reference field="3" count="1" selected="0">
            <x v="7"/>
          </reference>
          <reference field="5" count="1" selected="0">
            <x v="5"/>
          </reference>
          <reference field="23" count="1" selected="0">
            <x v="0"/>
          </reference>
          <reference field="72" count="1">
            <x v="132"/>
          </reference>
        </references>
      </pivotArea>
    </format>
    <format dxfId="1591">
      <pivotArea dataOnly="0" labelOnly="1" outline="0" fieldPosition="0">
        <references count="6">
          <reference field="1" count="1" selected="0">
            <x v="21"/>
          </reference>
          <reference field="2" count="1" selected="0">
            <x v="6"/>
          </reference>
          <reference field="3" count="1" selected="0">
            <x v="7"/>
          </reference>
          <reference field="5" count="1" selected="0">
            <x v="7"/>
          </reference>
          <reference field="23" count="1" selected="0">
            <x v="2"/>
          </reference>
          <reference field="72" count="5">
            <x v="11"/>
            <x v="52"/>
            <x v="56"/>
            <x v="65"/>
            <x v="153"/>
          </reference>
        </references>
      </pivotArea>
    </format>
    <format dxfId="1590">
      <pivotArea dataOnly="0" labelOnly="1" outline="0" fieldPosition="0">
        <references count="6">
          <reference field="1" count="1" selected="0">
            <x v="21"/>
          </reference>
          <reference field="2" count="1" selected="0">
            <x v="5"/>
          </reference>
          <reference field="3" count="1" selected="0">
            <x v="12"/>
          </reference>
          <reference field="5" count="1" selected="0">
            <x v="2"/>
          </reference>
          <reference field="23" count="1" selected="0">
            <x v="2"/>
          </reference>
          <reference field="72" count="4">
            <x v="36"/>
            <x v="41"/>
            <x v="155"/>
            <x v="174"/>
          </reference>
        </references>
      </pivotArea>
    </format>
    <format dxfId="1589">
      <pivotArea dataOnly="0" labelOnly="1" outline="0" fieldPosition="0">
        <references count="6">
          <reference field="1" count="1" selected="0">
            <x v="21"/>
          </reference>
          <reference field="2" count="1" selected="0">
            <x v="5"/>
          </reference>
          <reference field="3" count="1" selected="0">
            <x v="12"/>
          </reference>
          <reference field="5" count="1" selected="0">
            <x v="5"/>
          </reference>
          <reference field="23" count="1" selected="0">
            <x v="0"/>
          </reference>
          <reference field="72" count="1">
            <x v="132"/>
          </reference>
        </references>
      </pivotArea>
    </format>
    <format dxfId="1588">
      <pivotArea dataOnly="0" labelOnly="1" outline="0" fieldPosition="0">
        <references count="6">
          <reference field="1" count="1" selected="0">
            <x v="21"/>
          </reference>
          <reference field="2" count="1" selected="0">
            <x v="6"/>
          </reference>
          <reference field="3" count="1" selected="0">
            <x v="12"/>
          </reference>
          <reference field="5" count="1" selected="0">
            <x v="7"/>
          </reference>
          <reference field="23" count="1" selected="0">
            <x v="2"/>
          </reference>
          <reference field="72" count="5">
            <x v="11"/>
            <x v="52"/>
            <x v="56"/>
            <x v="65"/>
            <x v="153"/>
          </reference>
        </references>
      </pivotArea>
    </format>
    <format dxfId="1587">
      <pivotArea dataOnly="0" labelOnly="1" outline="0" fieldPosition="0">
        <references count="6">
          <reference field="1" count="1" selected="0">
            <x v="21"/>
          </reference>
          <reference field="2" count="1" selected="0">
            <x v="5"/>
          </reference>
          <reference field="3" count="1" selected="0">
            <x v="19"/>
          </reference>
          <reference field="5" count="1" selected="0">
            <x v="5"/>
          </reference>
          <reference field="23" count="1" selected="0">
            <x v="0"/>
          </reference>
          <reference field="72" count="1">
            <x v="132"/>
          </reference>
        </references>
      </pivotArea>
    </format>
    <format dxfId="1586">
      <pivotArea dataOnly="0" labelOnly="1" outline="0" fieldPosition="0">
        <references count="6">
          <reference field="1" count="1" selected="0">
            <x v="22"/>
          </reference>
          <reference field="2" count="1" selected="0">
            <x v="8"/>
          </reference>
          <reference field="3" count="1" selected="0">
            <x v="7"/>
          </reference>
          <reference field="5" count="1" selected="0">
            <x v="7"/>
          </reference>
          <reference field="23" count="1" selected="0">
            <x v="2"/>
          </reference>
          <reference field="72" count="4">
            <x v="58"/>
            <x v="68"/>
            <x v="153"/>
            <x v="154"/>
          </reference>
        </references>
      </pivotArea>
    </format>
    <format dxfId="1585">
      <pivotArea dataOnly="0" labelOnly="1" outline="0" fieldPosition="0">
        <references count="6">
          <reference field="1" count="1" selected="0">
            <x v="23"/>
          </reference>
          <reference field="2" count="1" selected="0">
            <x v="6"/>
          </reference>
          <reference field="3" count="1" selected="0">
            <x v="7"/>
          </reference>
          <reference field="5" count="1" selected="0">
            <x v="7"/>
          </reference>
          <reference field="23" count="1" selected="0">
            <x v="2"/>
          </reference>
          <reference field="72" count="4">
            <x v="60"/>
            <x v="62"/>
            <x v="66"/>
            <x v="71"/>
          </reference>
        </references>
      </pivotArea>
    </format>
    <format dxfId="1584">
      <pivotArea dataOnly="0" labelOnly="1" outline="0" fieldPosition="0">
        <references count="6">
          <reference field="1" count="1" selected="0">
            <x v="23"/>
          </reference>
          <reference field="2" count="1" selected="0">
            <x v="6"/>
          </reference>
          <reference field="3" count="1" selected="0">
            <x v="9"/>
          </reference>
          <reference field="5" count="1" selected="0">
            <x v="7"/>
          </reference>
          <reference field="23" count="1" selected="0">
            <x v="2"/>
          </reference>
          <reference field="72" count="4">
            <x v="60"/>
            <x v="62"/>
            <x v="66"/>
            <x v="71"/>
          </reference>
        </references>
      </pivotArea>
    </format>
    <format dxfId="1583">
      <pivotArea dataOnly="0" labelOnly="1" outline="0" fieldPosition="0">
        <references count="6">
          <reference field="1" count="1" selected="0">
            <x v="24"/>
          </reference>
          <reference field="2" count="1" selected="0">
            <x v="12"/>
          </reference>
          <reference field="3" count="1" selected="0">
            <x v="15"/>
          </reference>
          <reference field="5" count="1" selected="0">
            <x v="7"/>
          </reference>
          <reference field="23" count="1" selected="0">
            <x v="2"/>
          </reference>
          <reference field="72" count="4">
            <x v="92"/>
            <x v="95"/>
            <x v="194"/>
            <x v="195"/>
          </reference>
        </references>
      </pivotArea>
    </format>
    <format dxfId="1582">
      <pivotArea dataOnly="0" labelOnly="1" outline="0" fieldPosition="0">
        <references count="6">
          <reference field="1" count="1" selected="0">
            <x v="25"/>
          </reference>
          <reference field="2" count="1" selected="0">
            <x v="10"/>
          </reference>
          <reference field="3" count="1" selected="0">
            <x v="4"/>
          </reference>
          <reference field="5" count="1" selected="0">
            <x v="5"/>
          </reference>
          <reference field="23" count="1" selected="0">
            <x v="0"/>
          </reference>
          <reference field="72" count="1">
            <x v="131"/>
          </reference>
        </references>
      </pivotArea>
    </format>
    <format dxfId="1581">
      <pivotArea dataOnly="0" labelOnly="1" outline="0" fieldPosition="0">
        <references count="6">
          <reference field="1" count="1" selected="0">
            <x v="26"/>
          </reference>
          <reference field="2" count="1" selected="0">
            <x v="10"/>
          </reference>
          <reference field="3" count="1" selected="0">
            <x v="4"/>
          </reference>
          <reference field="5" count="1" selected="0">
            <x v="5"/>
          </reference>
          <reference field="23" count="1" selected="0">
            <x v="0"/>
          </reference>
          <reference field="72" count="1">
            <x v="138"/>
          </reference>
        </references>
      </pivotArea>
    </format>
    <format dxfId="1580">
      <pivotArea dataOnly="0" labelOnly="1" outline="0" fieldPosition="0">
        <references count="6">
          <reference field="1" count="1" selected="0">
            <x v="27"/>
          </reference>
          <reference field="2" count="1" selected="0">
            <x v="10"/>
          </reference>
          <reference field="3" count="1" selected="0">
            <x v="8"/>
          </reference>
          <reference field="5" count="1" selected="0">
            <x v="4"/>
          </reference>
          <reference field="23" count="1" selected="0">
            <x v="2"/>
          </reference>
          <reference field="72" count="3">
            <x v="88"/>
            <x v="91"/>
            <x v="100"/>
          </reference>
        </references>
      </pivotArea>
    </format>
    <format dxfId="1579">
      <pivotArea dataOnly="0" labelOnly="1" outline="0" fieldPosition="0">
        <references count="6">
          <reference field="1" count="1" selected="0">
            <x v="28"/>
          </reference>
          <reference field="2" count="1" selected="0">
            <x v="5"/>
          </reference>
          <reference field="3" count="1" selected="0">
            <x v="0"/>
          </reference>
          <reference field="5" count="1" selected="0">
            <x v="2"/>
          </reference>
          <reference field="23" count="1" selected="0">
            <x v="2"/>
          </reference>
          <reference field="72" count="4">
            <x v="36"/>
            <x v="41"/>
            <x v="155"/>
            <x v="174"/>
          </reference>
        </references>
      </pivotArea>
    </format>
    <format dxfId="1578">
      <pivotArea dataOnly="0" labelOnly="1" outline="0" fieldPosition="0">
        <references count="6">
          <reference field="1" count="1" selected="0">
            <x v="28"/>
          </reference>
          <reference field="2" count="1" selected="0">
            <x v="7"/>
          </reference>
          <reference field="3" count="1" selected="0">
            <x v="7"/>
          </reference>
          <reference field="5" count="1" selected="0">
            <x v="7"/>
          </reference>
          <reference field="23" count="1" selected="0">
            <x v="2"/>
          </reference>
          <reference field="72" count="4">
            <x v="51"/>
            <x v="59"/>
            <x v="64"/>
            <x v="176"/>
          </reference>
        </references>
      </pivotArea>
    </format>
    <format dxfId="1577">
      <pivotArea dataOnly="0" labelOnly="1" outline="0" fieldPosition="0">
        <references count="6">
          <reference field="1" count="1" selected="0">
            <x v="28"/>
          </reference>
          <reference field="2" count="1" selected="0">
            <x v="7"/>
          </reference>
          <reference field="3" count="1" selected="0">
            <x v="11"/>
          </reference>
          <reference field="5" count="1" selected="0">
            <x v="7"/>
          </reference>
          <reference field="23" count="1" selected="0">
            <x v="2"/>
          </reference>
          <reference field="72" count="4">
            <x v="51"/>
            <x v="59"/>
            <x v="64"/>
            <x v="176"/>
          </reference>
        </references>
      </pivotArea>
    </format>
    <format dxfId="1576">
      <pivotArea dataOnly="0" labelOnly="1" outline="0" fieldPosition="0">
        <references count="6">
          <reference field="1" count="1" selected="0">
            <x v="29"/>
          </reference>
          <reference field="2" count="1" selected="0">
            <x v="2"/>
          </reference>
          <reference field="3" count="1" selected="0">
            <x v="10"/>
          </reference>
          <reference field="5" count="1" selected="0">
            <x v="5"/>
          </reference>
          <reference field="23" count="1" selected="0">
            <x v="0"/>
          </reference>
          <reference field="72" count="1">
            <x v="112"/>
          </reference>
        </references>
      </pivotArea>
    </format>
    <format dxfId="1575">
      <pivotArea dataOnly="0" labelOnly="1" outline="0" fieldPosition="0">
        <references count="6">
          <reference field="1" count="1" selected="0">
            <x v="29"/>
          </reference>
          <reference field="2" count="1" selected="0">
            <x v="2"/>
          </reference>
          <reference field="3" count="1" selected="0">
            <x v="18"/>
          </reference>
          <reference field="5" count="1" selected="0">
            <x v="0"/>
          </reference>
          <reference field="23" count="1" selected="0">
            <x v="2"/>
          </reference>
          <reference field="72" count="1">
            <x v="144"/>
          </reference>
        </references>
      </pivotArea>
    </format>
    <format dxfId="1574">
      <pivotArea dataOnly="0" labelOnly="1" outline="0" fieldPosition="0">
        <references count="6">
          <reference field="1" count="1" selected="0">
            <x v="29"/>
          </reference>
          <reference field="2" count="1" selected="0">
            <x v="2"/>
          </reference>
          <reference field="3" count="1" selected="0">
            <x v="18"/>
          </reference>
          <reference field="5" count="1" selected="0">
            <x v="7"/>
          </reference>
          <reference field="23" count="1" selected="0">
            <x v="2"/>
          </reference>
          <reference field="72" count="1">
            <x v="3"/>
          </reference>
        </references>
      </pivotArea>
    </format>
    <format dxfId="1573">
      <pivotArea dataOnly="0" labelOnly="1" outline="0" fieldPosition="0">
        <references count="6">
          <reference field="1" count="1" selected="0">
            <x v="29"/>
          </reference>
          <reference field="2" count="1" selected="0">
            <x v="2"/>
          </reference>
          <reference field="3" count="1" selected="0">
            <x v="18"/>
          </reference>
          <reference field="5" count="1" selected="0">
            <x v="8"/>
          </reference>
          <reference field="23" count="1" selected="0">
            <x v="0"/>
          </reference>
          <reference field="72" count="1">
            <x v="160"/>
          </reference>
        </references>
      </pivotArea>
    </format>
    <format dxfId="1572">
      <pivotArea dataOnly="0" labelOnly="1" outline="0" fieldPosition="0">
        <references count="6">
          <reference field="1" count="1" selected="0">
            <x v="29"/>
          </reference>
          <reference field="2" count="1" selected="0">
            <x v="2"/>
          </reference>
          <reference field="3" count="1" selected="0">
            <x v="18"/>
          </reference>
          <reference field="5" count="1" selected="0">
            <x v="12"/>
          </reference>
          <reference field="23" count="1" selected="0">
            <x v="1"/>
          </reference>
          <reference field="72" count="1">
            <x v="145"/>
          </reference>
        </references>
      </pivotArea>
    </format>
    <format dxfId="1571">
      <pivotArea dataOnly="0" labelOnly="1" outline="0" fieldPosition="0">
        <references count="6">
          <reference field="1" count="1" selected="0">
            <x v="29"/>
          </reference>
          <reference field="2" count="1" selected="0">
            <x v="16"/>
          </reference>
          <reference field="3" count="1" selected="0">
            <x v="18"/>
          </reference>
          <reference field="5" count="1" selected="0">
            <x v="0"/>
          </reference>
          <reference field="23" count="1" selected="0">
            <x v="2"/>
          </reference>
          <reference field="72" count="1">
            <x v="159"/>
          </reference>
        </references>
      </pivotArea>
    </format>
    <format dxfId="1570">
      <pivotArea dataOnly="0" labelOnly="1" outline="0" fieldPosition="0">
        <references count="6">
          <reference field="1" count="1" selected="0">
            <x v="29"/>
          </reference>
          <reference field="2" count="1" selected="0">
            <x v="16"/>
          </reference>
          <reference field="3" count="1" selected="0">
            <x v="18"/>
          </reference>
          <reference field="5" count="1" selected="0">
            <x v="12"/>
          </reference>
          <reference field="23" count="1" selected="0">
            <x v="1"/>
          </reference>
          <reference field="72" count="1">
            <x v="145"/>
          </reference>
        </references>
      </pivotArea>
    </format>
    <format dxfId="1569">
      <pivotArea dataOnly="0" labelOnly="1" outline="0" fieldPosition="0">
        <references count="6">
          <reference field="1" count="1" selected="0">
            <x v="30"/>
          </reference>
          <reference field="2" count="1" selected="0">
            <x v="0"/>
          </reference>
          <reference field="3" count="1" selected="0">
            <x v="8"/>
          </reference>
          <reference field="5" count="1" selected="0">
            <x v="8"/>
          </reference>
          <reference field="23" count="1" selected="0">
            <x v="0"/>
          </reference>
          <reference field="72" count="1">
            <x v="201"/>
          </reference>
        </references>
      </pivotArea>
    </format>
    <format dxfId="1568">
      <pivotArea dataOnly="0" labelOnly="1" outline="0" fieldPosition="0">
        <references count="6">
          <reference field="1" count="1" selected="0">
            <x v="30"/>
          </reference>
          <reference field="2" count="1" selected="0">
            <x v="0"/>
          </reference>
          <reference field="3" count="1" selected="0">
            <x v="8"/>
          </reference>
          <reference field="5" count="1" selected="0">
            <x v="10"/>
          </reference>
          <reference field="23" count="1" selected="0">
            <x v="0"/>
          </reference>
          <reference field="72" count="1">
            <x v="166"/>
          </reference>
        </references>
      </pivotArea>
    </format>
    <format dxfId="1567">
      <pivotArea dataOnly="0" labelOnly="1" outline="0" fieldPosition="0">
        <references count="6">
          <reference field="1" count="1" selected="0">
            <x v="30"/>
          </reference>
          <reference field="2" count="1" selected="0">
            <x v="0"/>
          </reference>
          <reference field="3" count="1" selected="0">
            <x v="8"/>
          </reference>
          <reference field="5" count="1" selected="0">
            <x v="11"/>
          </reference>
          <reference field="23" count="1" selected="0">
            <x v="3"/>
          </reference>
          <reference field="72" count="1">
            <x v="48"/>
          </reference>
        </references>
      </pivotArea>
    </format>
    <format dxfId="1566">
      <pivotArea dataOnly="0" labelOnly="1" outline="0" fieldPosition="0">
        <references count="6">
          <reference field="1" count="1" selected="0">
            <x v="30"/>
          </reference>
          <reference field="2" count="1" selected="0">
            <x v="14"/>
          </reference>
          <reference field="3" count="1" selected="0">
            <x v="8"/>
          </reference>
          <reference field="5" count="1" selected="0">
            <x v="11"/>
          </reference>
          <reference field="23" count="1" selected="0">
            <x v="3"/>
          </reference>
          <reference field="72" count="1">
            <x v="33"/>
          </reference>
        </references>
      </pivotArea>
    </format>
    <format dxfId="1565">
      <pivotArea dataOnly="0" labelOnly="1" outline="0" fieldPosition="0">
        <references count="6">
          <reference field="1" count="1" selected="0">
            <x v="30"/>
          </reference>
          <reference field="2" count="1" selected="0">
            <x v="14"/>
          </reference>
          <reference field="3" count="1" selected="0">
            <x v="22"/>
          </reference>
          <reference field="5" count="1" selected="0">
            <x v="10"/>
          </reference>
          <reference field="23" count="1" selected="0">
            <x v="0"/>
          </reference>
          <reference field="72" count="1">
            <x v="110"/>
          </reference>
        </references>
      </pivotArea>
    </format>
    <format dxfId="1564">
      <pivotArea dataOnly="0" labelOnly="1" outline="0" fieldPosition="0">
        <references count="6">
          <reference field="1" count="1" selected="0">
            <x v="31"/>
          </reference>
          <reference field="2" count="1" selected="0">
            <x v="0"/>
          </reference>
          <reference field="3" count="1" selected="0">
            <x v="8"/>
          </reference>
          <reference field="5" count="1" selected="0">
            <x v="8"/>
          </reference>
          <reference field="23" count="1" selected="0">
            <x v="0"/>
          </reference>
          <reference field="72" count="1">
            <x v="204"/>
          </reference>
        </references>
      </pivotArea>
    </format>
    <format dxfId="1563">
      <pivotArea dataOnly="0" labelOnly="1" outline="0" fieldPosition="0">
        <references count="6">
          <reference field="1" count="1" selected="0">
            <x v="32"/>
          </reference>
          <reference field="2" count="1" selected="0">
            <x v="0"/>
          </reference>
          <reference field="3" count="1" selected="0">
            <x v="8"/>
          </reference>
          <reference field="5" count="1" selected="0">
            <x v="8"/>
          </reference>
          <reference field="23" count="1" selected="0">
            <x v="0"/>
          </reference>
          <reference field="72" count="1">
            <x v="202"/>
          </reference>
        </references>
      </pivotArea>
    </format>
    <format dxfId="1562">
      <pivotArea dataOnly="0" labelOnly="1" outline="0" fieldPosition="0">
        <references count="6">
          <reference field="1" count="1" selected="0">
            <x v="32"/>
          </reference>
          <reference field="2" count="1" selected="0">
            <x v="0"/>
          </reference>
          <reference field="3" count="1" selected="0">
            <x v="8"/>
          </reference>
          <reference field="5" count="1" selected="0">
            <x v="11"/>
          </reference>
          <reference field="23" count="1" selected="0">
            <x v="3"/>
          </reference>
          <reference field="72" count="1">
            <x v="43"/>
          </reference>
        </references>
      </pivotArea>
    </format>
    <format dxfId="1561">
      <pivotArea dataOnly="0" labelOnly="1" outline="0" fieldPosition="0">
        <references count="6">
          <reference field="1" count="1" selected="0">
            <x v="32"/>
          </reference>
          <reference field="2" count="1" selected="0">
            <x v="0"/>
          </reference>
          <reference field="3" count="1" selected="0">
            <x v="8"/>
          </reference>
          <reference field="5" count="1" selected="0">
            <x v="12"/>
          </reference>
          <reference field="23" count="1" selected="0">
            <x v="2"/>
          </reference>
          <reference field="72" count="1">
            <x v="81"/>
          </reference>
        </references>
      </pivotArea>
    </format>
    <format dxfId="1560">
      <pivotArea dataOnly="0" labelOnly="1" outline="0" fieldPosition="0">
        <references count="6">
          <reference field="1" count="1" selected="0">
            <x v="32"/>
          </reference>
          <reference field="2" count="1" selected="0">
            <x v="1"/>
          </reference>
          <reference field="3" count="1" selected="0">
            <x v="8"/>
          </reference>
          <reference field="5" count="1" selected="0">
            <x v="13"/>
          </reference>
          <reference field="23" count="1" selected="0">
            <x v="2"/>
          </reference>
          <reference field="72" count="1">
            <x v="206"/>
          </reference>
        </references>
      </pivotArea>
    </format>
    <format dxfId="1559">
      <pivotArea dataOnly="0" labelOnly="1" outline="0" fieldPosition="0">
        <references count="6">
          <reference field="1" count="1" selected="0">
            <x v="32"/>
          </reference>
          <reference field="2" count="1" selected="0">
            <x v="14"/>
          </reference>
          <reference field="3" count="1" selected="0">
            <x v="8"/>
          </reference>
          <reference field="5" count="1" selected="0">
            <x v="11"/>
          </reference>
          <reference field="23" count="1" selected="0">
            <x v="3"/>
          </reference>
          <reference field="72" count="1">
            <x v="33"/>
          </reference>
        </references>
      </pivotArea>
    </format>
    <format dxfId="1558">
      <pivotArea dataOnly="0" labelOnly="1" outline="0" fieldPosition="0">
        <references count="6">
          <reference field="1" count="1" selected="0">
            <x v="32"/>
          </reference>
          <reference field="2" count="1" selected="0">
            <x v="0"/>
          </reference>
          <reference field="3" count="1" selected="0">
            <x v="23"/>
          </reference>
          <reference field="5" count="1" selected="0">
            <x v="8"/>
          </reference>
          <reference field="23" count="1" selected="0">
            <x v="0"/>
          </reference>
          <reference field="72" count="1">
            <x v="202"/>
          </reference>
        </references>
      </pivotArea>
    </format>
    <format dxfId="1557">
      <pivotArea dataOnly="0" labelOnly="1" outline="0" fieldPosition="0">
        <references count="6">
          <reference field="1" count="1" selected="0">
            <x v="33"/>
          </reference>
          <reference field="2" count="1" selected="0">
            <x v="1"/>
          </reference>
          <reference field="3" count="1" selected="0">
            <x v="8"/>
          </reference>
          <reference field="5" count="1" selected="0">
            <x v="8"/>
          </reference>
          <reference field="23" count="1" selected="0">
            <x v="0"/>
          </reference>
          <reference field="72" count="1">
            <x v="205"/>
          </reference>
        </references>
      </pivotArea>
    </format>
    <format dxfId="1556">
      <pivotArea dataOnly="0" labelOnly="1" outline="0" fieldPosition="0">
        <references count="6">
          <reference field="1" count="1" selected="0">
            <x v="34"/>
          </reference>
          <reference field="2" count="1" selected="0">
            <x v="0"/>
          </reference>
          <reference field="3" count="1" selected="0">
            <x v="8"/>
          </reference>
          <reference field="5" count="1" selected="0">
            <x v="8"/>
          </reference>
          <reference field="23" count="1" selected="0">
            <x v="0"/>
          </reference>
          <reference field="72" count="1">
            <x v="203"/>
          </reference>
        </references>
      </pivotArea>
    </format>
    <format dxfId="1555">
      <pivotArea dataOnly="0" labelOnly="1" outline="0" fieldPosition="0">
        <references count="6">
          <reference field="1" count="1" selected="0">
            <x v="35"/>
          </reference>
          <reference field="2" count="1" selected="0">
            <x v="13"/>
          </reference>
          <reference field="3" count="1" selected="0">
            <x v="15"/>
          </reference>
          <reference field="5" count="1" selected="0">
            <x v="9"/>
          </reference>
          <reference field="23" count="1" selected="0">
            <x v="4"/>
          </reference>
          <reference field="72" count="1">
            <x v="143"/>
          </reference>
        </references>
      </pivotArea>
    </format>
    <format dxfId="1554">
      <pivotArea dataOnly="0" labelOnly="1" outline="0" fieldPosition="0">
        <references count="6">
          <reference field="1" count="1" selected="0">
            <x v="36"/>
          </reference>
          <reference field="2" count="1" selected="0">
            <x v="0"/>
          </reference>
          <reference field="3" count="1" selected="0">
            <x v="8"/>
          </reference>
          <reference field="5" count="1" selected="0">
            <x v="10"/>
          </reference>
          <reference field="23" count="1" selected="0">
            <x v="0"/>
          </reference>
          <reference field="72" count="1">
            <x v="108"/>
          </reference>
        </references>
      </pivotArea>
    </format>
    <format dxfId="1553">
      <pivotArea dataOnly="0" labelOnly="1" outline="0" fieldPosition="0">
        <references count="6">
          <reference field="1" count="1" selected="0">
            <x v="36"/>
          </reference>
          <reference field="2" count="1" selected="0">
            <x v="15"/>
          </reference>
          <reference field="3" count="1" selected="0">
            <x v="15"/>
          </reference>
          <reference field="5" count="1" selected="0">
            <x v="10"/>
          </reference>
          <reference field="23" count="1" selected="0">
            <x v="0"/>
          </reference>
          <reference field="72" count="1">
            <x v="110"/>
          </reference>
        </references>
      </pivotArea>
    </format>
    <format dxfId="1552">
      <pivotArea dataOnly="0" labelOnly="1" outline="0" fieldPosition="0">
        <references count="6">
          <reference field="1" count="1" selected="0">
            <x v="36"/>
          </reference>
          <reference field="2" count="1" selected="0">
            <x v="0"/>
          </reference>
          <reference field="3" count="1" selected="0">
            <x v="16"/>
          </reference>
          <reference field="5" count="1" selected="0">
            <x v="10"/>
          </reference>
          <reference field="23" count="1" selected="0">
            <x v="0"/>
          </reference>
          <reference field="72" count="1">
            <x v="108"/>
          </reference>
        </references>
      </pivotArea>
    </format>
    <format dxfId="1551">
      <pivotArea dataOnly="0" labelOnly="1" outline="0" fieldPosition="0">
        <references count="6">
          <reference field="1" count="1" selected="0">
            <x v="37"/>
          </reference>
          <reference field="2" count="1" selected="0">
            <x v="10"/>
          </reference>
          <reference field="3" count="1" selected="0">
            <x v="2"/>
          </reference>
          <reference field="5" count="1" selected="0">
            <x v="0"/>
          </reference>
          <reference field="23" count="1" selected="0">
            <x v="2"/>
          </reference>
          <reference field="72" count="1">
            <x v="83"/>
          </reference>
        </references>
      </pivotArea>
    </format>
    <format dxfId="1550">
      <pivotArea dataOnly="0" labelOnly="1" outline="0" fieldPosition="0">
        <references count="6">
          <reference field="1" count="1" selected="0">
            <x v="37"/>
          </reference>
          <reference field="2" count="1" selected="0">
            <x v="10"/>
          </reference>
          <reference field="3" count="1" selected="0">
            <x v="2"/>
          </reference>
          <reference field="5" count="1" selected="0">
            <x v="7"/>
          </reference>
          <reference field="23" count="1" selected="0">
            <x v="2"/>
          </reference>
          <reference field="72" count="1">
            <x v="47"/>
          </reference>
        </references>
      </pivotArea>
    </format>
    <format dxfId="1549">
      <pivotArea dataOnly="0" labelOnly="1" outline="0" fieldPosition="0">
        <references count="6">
          <reference field="1" count="1" selected="0">
            <x v="38"/>
          </reference>
          <reference field="2" count="1" selected="0">
            <x v="5"/>
          </reference>
          <reference field="3" count="1" selected="0">
            <x v="8"/>
          </reference>
          <reference field="5" count="1" selected="0">
            <x v="4"/>
          </reference>
          <reference field="23" count="1" selected="0">
            <x v="2"/>
          </reference>
          <reference field="72" count="8">
            <x v="82"/>
            <x v="94"/>
            <x v="100"/>
            <x v="102"/>
            <x v="103"/>
            <x v="105"/>
            <x v="183"/>
            <x v="184"/>
          </reference>
        </references>
      </pivotArea>
    </format>
    <format dxfId="1548">
      <pivotArea dataOnly="0" labelOnly="1" outline="0" fieldPosition="0">
        <references count="6">
          <reference field="1" count="1" selected="0">
            <x v="38"/>
          </reference>
          <reference field="2" count="1" selected="0">
            <x v="5"/>
          </reference>
          <reference field="3" count="1" selected="0">
            <x v="8"/>
          </reference>
          <reference field="5" count="1" selected="0">
            <x v="7"/>
          </reference>
          <reference field="23" count="1" selected="0">
            <x v="2"/>
          </reference>
          <reference field="72" count="1">
            <x v="90"/>
          </reference>
        </references>
      </pivotArea>
    </format>
    <format dxfId="1547">
      <pivotArea dataOnly="0" labelOnly="1" outline="0" fieldPosition="0">
        <references count="6">
          <reference field="1" count="1" selected="0">
            <x v="38"/>
          </reference>
          <reference field="2" count="1" selected="0">
            <x v="6"/>
          </reference>
          <reference field="3" count="1" selected="0">
            <x v="8"/>
          </reference>
          <reference field="5" count="1" selected="0">
            <x v="12"/>
          </reference>
          <reference field="23" count="1" selected="0">
            <x v="2"/>
          </reference>
          <reference field="72" count="1">
            <x v="136"/>
          </reference>
        </references>
      </pivotArea>
    </format>
    <format dxfId="1546">
      <pivotArea dataOnly="0" labelOnly="1" outline="0" fieldPosition="0">
        <references count="6">
          <reference field="1" count="1" selected="0">
            <x v="38"/>
          </reference>
          <reference field="2" count="1" selected="0">
            <x v="5"/>
          </reference>
          <reference field="3" count="1" selected="0">
            <x v="22"/>
          </reference>
          <reference field="5" count="1" selected="0">
            <x v="4"/>
          </reference>
          <reference field="23" count="1" selected="0">
            <x v="2"/>
          </reference>
          <reference field="72" count="2">
            <x v="82"/>
            <x v="183"/>
          </reference>
        </references>
      </pivotArea>
    </format>
    <format dxfId="1545">
      <pivotArea dataOnly="0" labelOnly="1" outline="0" fieldPosition="0">
        <references count="6">
          <reference field="1" count="1" selected="0">
            <x v="38"/>
          </reference>
          <reference field="2" count="1" selected="0">
            <x v="6"/>
          </reference>
          <reference field="3" count="1" selected="0">
            <x v="22"/>
          </reference>
          <reference field="5" count="1" selected="0">
            <x v="12"/>
          </reference>
          <reference field="23" count="1" selected="0">
            <x v="1"/>
          </reference>
          <reference field="72" count="1">
            <x v="136"/>
          </reference>
        </references>
      </pivotArea>
    </format>
    <format dxfId="1544">
      <pivotArea dataOnly="0" labelOnly="1" outline="0" fieldPosition="0">
        <references count="6">
          <reference field="1" count="1" selected="0">
            <x v="39"/>
          </reference>
          <reference field="2" count="1" selected="0">
            <x v="6"/>
          </reference>
          <reference field="3" count="1" selected="0">
            <x v="7"/>
          </reference>
          <reference field="5" count="1" selected="0">
            <x v="7"/>
          </reference>
          <reference field="23" count="1" selected="0">
            <x v="2"/>
          </reference>
          <reference field="72" count="1">
            <x v="163"/>
          </reference>
        </references>
      </pivotArea>
    </format>
    <format dxfId="1543">
      <pivotArea dataOnly="0" labelOnly="1" outline="0" fieldPosition="0">
        <references count="6">
          <reference field="1" count="1" selected="0">
            <x v="41"/>
          </reference>
          <reference field="2" count="1" selected="0">
            <x v="0"/>
          </reference>
          <reference field="3" count="1" selected="0">
            <x v="0"/>
          </reference>
          <reference field="5" count="1" selected="0">
            <x v="8"/>
          </reference>
          <reference field="23" count="1" selected="0">
            <x v="0"/>
          </reference>
          <reference field="72" count="1">
            <x v="107"/>
          </reference>
        </references>
      </pivotArea>
    </format>
    <format dxfId="1542">
      <pivotArea dataOnly="0" labelOnly="1" outline="0" fieldPosition="0">
        <references count="6">
          <reference field="1" count="1" selected="0">
            <x v="43"/>
          </reference>
          <reference field="2" count="1" selected="0">
            <x v="6"/>
          </reference>
          <reference field="3" count="1" selected="0">
            <x v="5"/>
          </reference>
          <reference field="5" count="1" selected="0">
            <x v="6"/>
          </reference>
          <reference field="23" count="1" selected="0">
            <x v="2"/>
          </reference>
          <reference field="72" count="1">
            <x v="170"/>
          </reference>
        </references>
      </pivotArea>
    </format>
    <format dxfId="1541">
      <pivotArea dataOnly="0" labelOnly="1" outline="0" fieldPosition="0">
        <references count="6">
          <reference field="1" count="1" selected="0">
            <x v="44"/>
          </reference>
          <reference field="2" count="1" selected="0">
            <x v="6"/>
          </reference>
          <reference field="3" count="1" selected="0">
            <x v="7"/>
          </reference>
          <reference field="5" count="1" selected="0">
            <x v="6"/>
          </reference>
          <reference field="23" count="1" selected="0">
            <x v="2"/>
          </reference>
          <reference field="72" count="1">
            <x v="2"/>
          </reference>
        </references>
      </pivotArea>
    </format>
    <format dxfId="1540">
      <pivotArea dataOnly="0" labelOnly="1" outline="0" fieldPosition="0">
        <references count="6">
          <reference field="1" count="1" selected="0">
            <x v="46"/>
          </reference>
          <reference field="2" count="1" selected="0">
            <x v="6"/>
          </reference>
          <reference field="3" count="1" selected="0">
            <x v="7"/>
          </reference>
          <reference field="5" count="1" selected="0">
            <x v="1"/>
          </reference>
          <reference field="23" count="1" selected="0">
            <x v="1"/>
          </reference>
          <reference field="72" count="1">
            <x v="188"/>
          </reference>
        </references>
      </pivotArea>
    </format>
    <format dxfId="1539">
      <pivotArea dataOnly="0" labelOnly="1" outline="0" fieldPosition="0">
        <references count="6">
          <reference field="1" count="1" selected="0">
            <x v="46"/>
          </reference>
          <reference field="2" count="1" selected="0">
            <x v="6"/>
          </reference>
          <reference field="3" count="1" selected="0">
            <x v="7"/>
          </reference>
          <reference field="5" count="1" selected="0">
            <x v="1"/>
          </reference>
          <reference field="23" count="1" selected="0">
            <x v="2"/>
          </reference>
          <reference field="72" count="1">
            <x v="1"/>
          </reference>
        </references>
      </pivotArea>
    </format>
    <format dxfId="1538">
      <pivotArea dataOnly="0" labelOnly="1" outline="0" fieldPosition="0">
        <references count="6">
          <reference field="1" count="1" selected="0">
            <x v="47"/>
          </reference>
          <reference field="2" count="1" selected="0">
            <x v="10"/>
          </reference>
          <reference field="3" count="1" selected="0">
            <x v="4"/>
          </reference>
          <reference field="5" count="1" selected="0">
            <x v="5"/>
          </reference>
          <reference field="23" count="1" selected="0">
            <x v="0"/>
          </reference>
          <reference field="72" count="1">
            <x v="142"/>
          </reference>
        </references>
      </pivotArea>
    </format>
    <format dxfId="1537">
      <pivotArea dataOnly="0" labelOnly="1" outline="0" fieldPosition="0">
        <references count="6">
          <reference field="1" count="1" selected="0">
            <x v="48"/>
          </reference>
          <reference field="2" count="1" selected="0">
            <x v="11"/>
          </reference>
          <reference field="3" count="1" selected="0">
            <x v="4"/>
          </reference>
          <reference field="5" count="1" selected="0">
            <x v="5"/>
          </reference>
          <reference field="23" count="1" selected="0">
            <x v="0"/>
          </reference>
          <reference field="72" count="1">
            <x v="135"/>
          </reference>
        </references>
      </pivotArea>
    </format>
    <format dxfId="1536">
      <pivotArea dataOnly="0" labelOnly="1" outline="0" fieldPosition="0">
        <references count="6">
          <reference field="1" count="1" selected="0">
            <x v="49"/>
          </reference>
          <reference field="2" count="1" selected="0">
            <x v="5"/>
          </reference>
          <reference field="3" count="1" selected="0">
            <x v="7"/>
          </reference>
          <reference field="5" count="1" selected="0">
            <x v="7"/>
          </reference>
          <reference field="23" count="1" selected="0">
            <x v="2"/>
          </reference>
          <reference field="72" count="4">
            <x v="59"/>
            <x v="62"/>
            <x v="66"/>
            <x v="71"/>
          </reference>
        </references>
      </pivotArea>
    </format>
    <format dxfId="1535">
      <pivotArea dataOnly="0" labelOnly="1" outline="0" fieldPosition="0">
        <references count="6">
          <reference field="1" count="1" selected="0">
            <x v="50"/>
          </reference>
          <reference field="2" count="1" selected="0">
            <x v="3"/>
          </reference>
          <reference field="3" count="1" selected="0">
            <x v="7"/>
          </reference>
          <reference field="5" count="1" selected="0">
            <x v="6"/>
          </reference>
          <reference field="23" count="1" selected="0">
            <x v="1"/>
          </reference>
          <reference field="72" count="1">
            <x v="187"/>
          </reference>
        </references>
      </pivotArea>
    </format>
    <format dxfId="1534">
      <pivotArea field="81" type="button" dataOnly="0" labelOnly="1" outline="0" axis="axisRow" fieldPosition="8"/>
    </format>
    <format dxfId="1533">
      <pivotArea field="82" type="button" dataOnly="0" labelOnly="1" outline="0" axis="axisRow" fieldPosition="9"/>
    </format>
    <format dxfId="1532">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3883"/>
          </reference>
        </references>
      </pivotArea>
    </format>
    <format dxfId="1531">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3885"/>
          </reference>
        </references>
      </pivotArea>
    </format>
    <format dxfId="1530">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3886"/>
          </reference>
        </references>
      </pivotArea>
    </format>
    <format dxfId="1529">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3882"/>
          </reference>
        </references>
      </pivotArea>
    </format>
    <format dxfId="1528">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3887"/>
          </reference>
        </references>
      </pivotArea>
    </format>
    <format dxfId="1527">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3888"/>
          </reference>
        </references>
      </pivotArea>
    </format>
    <format dxfId="1526">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3889"/>
          </reference>
        </references>
      </pivotArea>
    </format>
    <format dxfId="1525">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3884"/>
          </reference>
        </references>
      </pivotArea>
    </format>
    <format dxfId="1524">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924"/>
          </reference>
        </references>
      </pivotArea>
    </format>
    <format dxfId="1523">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925"/>
          </reference>
        </references>
      </pivotArea>
    </format>
    <format dxfId="1522">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926"/>
          </reference>
        </references>
      </pivotArea>
    </format>
    <format dxfId="1521">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964"/>
          </reference>
        </references>
      </pivotArea>
    </format>
    <format dxfId="1520">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965"/>
          </reference>
        </references>
      </pivotArea>
    </format>
    <format dxfId="151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917"/>
          </reference>
        </references>
      </pivotArea>
    </format>
    <format dxfId="151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990"/>
          </reference>
        </references>
      </pivotArea>
    </format>
    <format dxfId="151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939"/>
          </reference>
        </references>
      </pivotArea>
    </format>
    <format dxfId="151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989"/>
          </reference>
        </references>
      </pivotArea>
    </format>
    <format dxfId="1515">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964"/>
          </reference>
        </references>
      </pivotArea>
    </format>
    <format dxfId="1514">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966"/>
          </reference>
        </references>
      </pivotArea>
    </format>
    <format dxfId="1513">
      <pivotArea dataOnly="0" labelOnly="1" outline="0" fieldPosition="0">
        <references count="9">
          <reference field="1" count="1" selected="0">
            <x v="0"/>
          </reference>
          <reference field="2" count="1" selected="0">
            <x v="10"/>
          </reference>
          <reference field="3" count="1" selected="0">
            <x v="3"/>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151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924"/>
          </reference>
        </references>
      </pivotArea>
    </format>
    <format dxfId="151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925"/>
          </reference>
        </references>
      </pivotArea>
    </format>
    <format dxfId="151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926"/>
          </reference>
        </references>
      </pivotArea>
    </format>
    <format dxfId="150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3923"/>
          </reference>
        </references>
      </pivotArea>
    </format>
    <format dxfId="1508">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964"/>
          </reference>
        </references>
      </pivotArea>
    </format>
    <format dxfId="1507">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966"/>
          </reference>
        </references>
      </pivotArea>
    </format>
    <format dxfId="150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924"/>
          </reference>
        </references>
      </pivotArea>
    </format>
    <format dxfId="150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925"/>
          </reference>
        </references>
      </pivotArea>
    </format>
    <format dxfId="150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926"/>
          </reference>
        </references>
      </pivotArea>
    </format>
    <format dxfId="150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3923"/>
          </reference>
        </references>
      </pivotArea>
    </format>
    <format dxfId="1502">
      <pivotArea dataOnly="0" labelOnly="1" outline="0" fieldPosition="0">
        <references count="9">
          <reference field="1" count="1" selected="0">
            <x v="0"/>
          </reference>
          <reference field="2" count="1" selected="0">
            <x v="10"/>
          </reference>
          <reference field="3" count="1" selected="0">
            <x v="5"/>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1501">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964"/>
          </reference>
        </references>
      </pivotArea>
    </format>
    <format dxfId="1500">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966"/>
          </reference>
        </references>
      </pivotArea>
    </format>
    <format dxfId="1499">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3872"/>
          </reference>
        </references>
      </pivotArea>
    </format>
    <format dxfId="1498">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865"/>
          </reference>
        </references>
      </pivotArea>
    </format>
    <format dxfId="149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3919"/>
          </reference>
        </references>
      </pivotArea>
    </format>
    <format dxfId="149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3922"/>
          </reference>
        </references>
      </pivotArea>
    </format>
    <format dxfId="149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3920"/>
          </reference>
        </references>
      </pivotArea>
    </format>
    <format dxfId="149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3921"/>
          </reference>
        </references>
      </pivotArea>
    </format>
    <format dxfId="1493">
      <pivotArea dataOnly="0" labelOnly="1" outline="0" fieldPosition="0">
        <references count="9">
          <reference field="1" count="1" selected="0">
            <x v="0"/>
          </reference>
          <reference field="2" count="1" selected="0">
            <x v="6"/>
          </reference>
          <reference field="3" count="1" selected="0">
            <x v="7"/>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1492">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964"/>
          </reference>
        </references>
      </pivotArea>
    </format>
    <format dxfId="1491">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965"/>
          </reference>
        </references>
      </pivotArea>
    </format>
    <format dxfId="149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917"/>
          </reference>
        </references>
      </pivotArea>
    </format>
    <format dxfId="148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990"/>
          </reference>
        </references>
      </pivotArea>
    </format>
    <format dxfId="148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939"/>
          </reference>
        </references>
      </pivotArea>
    </format>
    <format dxfId="148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989"/>
          </reference>
        </references>
      </pivotArea>
    </format>
    <format dxfId="1486">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3866"/>
          </reference>
        </references>
      </pivotArea>
    </format>
    <format dxfId="1485">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3872"/>
          </reference>
        </references>
      </pivotArea>
    </format>
    <format dxfId="148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3883"/>
          </reference>
        </references>
      </pivotArea>
    </format>
    <format dxfId="148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3885"/>
          </reference>
        </references>
      </pivotArea>
    </format>
    <format dxfId="148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3886"/>
          </reference>
        </references>
      </pivotArea>
    </format>
    <format dxfId="148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3882"/>
          </reference>
        </references>
      </pivotArea>
    </format>
    <format dxfId="148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3887"/>
          </reference>
        </references>
      </pivotArea>
    </format>
    <format dxfId="147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3888"/>
          </reference>
        </references>
      </pivotArea>
    </format>
    <format dxfId="147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3889"/>
          </reference>
        </references>
      </pivotArea>
    </format>
    <format dxfId="147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3884"/>
          </reference>
        </references>
      </pivotArea>
    </format>
    <format dxfId="147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924"/>
          </reference>
        </references>
      </pivotArea>
    </format>
    <format dxfId="147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925"/>
          </reference>
        </references>
      </pivotArea>
    </format>
    <format dxfId="147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926"/>
          </reference>
        </references>
      </pivotArea>
    </format>
    <format dxfId="147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3923"/>
          </reference>
        </references>
      </pivotArea>
    </format>
    <format dxfId="1472">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3866"/>
          </reference>
        </references>
      </pivotArea>
    </format>
    <format dxfId="1471">
      <pivotArea dataOnly="0" labelOnly="1" outline="0" fieldPosition="0">
        <references count="9">
          <reference field="1" count="1" selected="0">
            <x v="0"/>
          </reference>
          <reference field="2" count="1" selected="0">
            <x v="6"/>
          </reference>
          <reference field="3" count="1" selected="0">
            <x v="12"/>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1470">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964"/>
          </reference>
        </references>
      </pivotArea>
    </format>
    <format dxfId="1469">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965"/>
          </reference>
        </references>
      </pivotArea>
    </format>
    <format dxfId="1468">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3922"/>
          </reference>
        </references>
      </pivotArea>
    </format>
    <format dxfId="1467">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3920"/>
          </reference>
        </references>
      </pivotArea>
    </format>
    <format dxfId="1466">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3921"/>
          </reference>
        </references>
      </pivotArea>
    </format>
    <format dxfId="1465">
      <pivotArea dataOnly="0" labelOnly="1" outline="0" fieldPosition="0">
        <references count="9">
          <reference field="1" count="1" selected="0">
            <x v="0"/>
          </reference>
          <reference field="2" count="1" selected="0">
            <x v="6"/>
          </reference>
          <reference field="3" count="1" selected="0">
            <x v="14"/>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1464">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964"/>
          </reference>
        </references>
      </pivotArea>
    </format>
    <format dxfId="1463">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965"/>
          </reference>
        </references>
      </pivotArea>
    </format>
    <format dxfId="146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917"/>
          </reference>
        </references>
      </pivotArea>
    </format>
    <format dxfId="146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990"/>
          </reference>
        </references>
      </pivotArea>
    </format>
    <format dxfId="146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939"/>
          </reference>
        </references>
      </pivotArea>
    </format>
    <format dxfId="145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989"/>
          </reference>
        </references>
      </pivotArea>
    </format>
    <format dxfId="1458">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964"/>
          </reference>
        </references>
      </pivotArea>
    </format>
    <format dxfId="1457">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966"/>
          </reference>
        </references>
      </pivotArea>
    </format>
    <format dxfId="1456">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924"/>
          </reference>
        </references>
      </pivotArea>
    </format>
    <format dxfId="1455">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3930"/>
          </reference>
        </references>
      </pivotArea>
    </format>
    <format dxfId="1454">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3931"/>
          </reference>
        </references>
      </pivotArea>
    </format>
    <format dxfId="1453">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3932"/>
          </reference>
        </references>
      </pivotArea>
    </format>
    <format dxfId="1452">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3868"/>
          </reference>
        </references>
      </pivotArea>
    </format>
    <format dxfId="1451">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3869"/>
          </reference>
        </references>
      </pivotArea>
    </format>
    <format dxfId="1450">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3927"/>
          </reference>
        </references>
      </pivotArea>
    </format>
    <format dxfId="1449">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3928"/>
          </reference>
        </references>
      </pivotArea>
    </format>
    <format dxfId="1448">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3929"/>
          </reference>
        </references>
      </pivotArea>
    </format>
    <format dxfId="1447">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967"/>
          </reference>
        </references>
      </pivotArea>
    </format>
    <format dxfId="1446">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3968"/>
          </reference>
        </references>
      </pivotArea>
    </format>
    <format dxfId="1445">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3878"/>
          </reference>
        </references>
      </pivotArea>
    </format>
    <format dxfId="1444">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3927"/>
          </reference>
        </references>
      </pivotArea>
    </format>
    <format dxfId="1443">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3928"/>
          </reference>
        </references>
      </pivotArea>
    </format>
    <format dxfId="1442">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3929"/>
          </reference>
        </references>
      </pivotArea>
    </format>
    <format dxfId="1441">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967"/>
          </reference>
        </references>
      </pivotArea>
    </format>
    <format dxfId="1440">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3936"/>
          </reference>
        </references>
      </pivotArea>
    </format>
    <format dxfId="1439">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3937"/>
          </reference>
        </references>
      </pivotArea>
    </format>
    <format dxfId="1438">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3938"/>
          </reference>
        </references>
      </pivotArea>
    </format>
    <format dxfId="1437">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3864"/>
          </reference>
        </references>
      </pivotArea>
    </format>
    <format dxfId="1436">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865"/>
          </reference>
        </references>
      </pivotArea>
    </format>
    <format dxfId="143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3882"/>
          </reference>
        </references>
      </pivotArea>
    </format>
    <format dxfId="143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3888"/>
          </reference>
        </references>
      </pivotArea>
    </format>
    <format dxfId="143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3884"/>
          </reference>
        </references>
      </pivotArea>
    </format>
    <format dxfId="143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3906"/>
          </reference>
        </references>
      </pivotArea>
    </format>
    <format dxfId="1431">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3933"/>
          </reference>
        </references>
      </pivotArea>
    </format>
    <format dxfId="1430">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3934"/>
          </reference>
        </references>
      </pivotArea>
    </format>
    <format dxfId="1429">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3935"/>
          </reference>
        </references>
      </pivotArea>
    </format>
    <format dxfId="1428">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3978"/>
          </reference>
        </references>
      </pivotArea>
    </format>
    <format dxfId="1427">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3871"/>
          </reference>
        </references>
      </pivotArea>
    </format>
    <format dxfId="1426">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3915"/>
          </reference>
        </references>
      </pivotArea>
    </format>
    <format dxfId="1425">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3914"/>
          </reference>
        </references>
      </pivotArea>
    </format>
    <format dxfId="1424">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3916"/>
          </reference>
        </references>
      </pivotArea>
    </format>
    <format dxfId="1423">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3876"/>
          </reference>
        </references>
      </pivotArea>
    </format>
    <format dxfId="1422">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3871"/>
          </reference>
        </references>
      </pivotArea>
    </format>
    <format dxfId="142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3909"/>
          </reference>
        </references>
      </pivotArea>
    </format>
    <format dxfId="142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3910"/>
          </reference>
        </references>
      </pivotArea>
    </format>
    <format dxfId="141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3907"/>
          </reference>
        </references>
      </pivotArea>
    </format>
    <format dxfId="141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3908"/>
          </reference>
        </references>
      </pivotArea>
    </format>
    <format dxfId="1417">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3912"/>
          </reference>
        </references>
      </pivotArea>
    </format>
    <format dxfId="1416">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3913"/>
          </reference>
        </references>
      </pivotArea>
    </format>
    <format dxfId="1415">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3852"/>
          </reference>
        </references>
      </pivotArea>
    </format>
    <format dxfId="1414">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3865"/>
          </reference>
        </references>
      </pivotArea>
    </format>
    <format dxfId="1413">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3912"/>
          </reference>
        </references>
      </pivotArea>
    </format>
    <format dxfId="1412">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3913"/>
          </reference>
        </references>
      </pivotArea>
    </format>
    <format dxfId="1411">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3852"/>
          </reference>
        </references>
      </pivotArea>
    </format>
    <format dxfId="1410">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3870"/>
          </reference>
        </references>
      </pivotArea>
    </format>
    <format dxfId="1409">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865"/>
          </reference>
        </references>
      </pivotArea>
    </format>
    <format dxfId="1408">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3917"/>
          </reference>
        </references>
      </pivotArea>
    </format>
    <format dxfId="1407">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3918"/>
          </reference>
        </references>
      </pivotArea>
    </format>
    <format dxfId="1406">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3862"/>
          </reference>
        </references>
      </pivotArea>
    </format>
    <format dxfId="1405">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3943"/>
          </reference>
        </references>
      </pivotArea>
    </format>
    <format dxfId="1404">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3948"/>
          </reference>
        </references>
      </pivotArea>
    </format>
    <format dxfId="1403">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3952"/>
          </reference>
        </references>
      </pivotArea>
    </format>
    <format dxfId="1402">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3917"/>
          </reference>
        </references>
      </pivotArea>
    </format>
    <format dxfId="1401">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3918"/>
          </reference>
        </references>
      </pivotArea>
    </format>
    <format dxfId="1400">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3862"/>
          </reference>
        </references>
      </pivotArea>
    </format>
    <format dxfId="1399">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869"/>
          </reference>
        </references>
      </pivotArea>
    </format>
    <format dxfId="1398">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x v="3987"/>
          </reference>
        </references>
      </pivotArea>
    </format>
    <format dxfId="139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x v="3849"/>
          </reference>
        </references>
      </pivotArea>
    </format>
    <format dxfId="139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x v="3848"/>
          </reference>
        </references>
      </pivotArea>
    </format>
    <format dxfId="139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x v="3986"/>
          </reference>
        </references>
      </pivotArea>
    </format>
    <format dxfId="1394">
      <pivotArea dataOnly="0" labelOnly="1" outline="0" fieldPosition="0">
        <references count="9">
          <reference field="1" count="1" selected="0">
            <x v="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39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3979"/>
          </reference>
        </references>
      </pivotArea>
    </format>
    <format dxfId="139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3980"/>
          </reference>
        </references>
      </pivotArea>
    </format>
    <format dxfId="139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3981"/>
          </reference>
        </references>
      </pivotArea>
    </format>
    <format dxfId="139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3982"/>
          </reference>
        </references>
      </pivotArea>
    </format>
    <format dxfId="1389">
      <pivotArea dataOnly="0" labelOnly="1" outline="0" fieldPosition="0">
        <references count="9">
          <reference field="1" count="1" selected="0">
            <x v="7"/>
          </reference>
          <reference field="2" count="1" selected="0">
            <x v="4"/>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388">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3849"/>
          </reference>
        </references>
      </pivotArea>
    </format>
    <format dxfId="1387">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3848"/>
          </reference>
        </references>
      </pivotArea>
    </format>
    <format dxfId="138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3979"/>
          </reference>
        </references>
      </pivotArea>
    </format>
    <format dxfId="138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3980"/>
          </reference>
        </references>
      </pivotArea>
    </format>
    <format dxfId="138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3981"/>
          </reference>
        </references>
      </pivotArea>
    </format>
    <format dxfId="138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3982"/>
          </reference>
        </references>
      </pivotArea>
    </format>
    <format dxfId="1382">
      <pivotArea dataOnly="0" labelOnly="1" outline="0" fieldPosition="0">
        <references count="9">
          <reference field="1" count="1" selected="0">
            <x v="7"/>
          </reference>
          <reference field="2" count="1" selected="0">
            <x v="4"/>
          </reference>
          <reference field="3" count="1" selected="0">
            <x v="1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38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3979"/>
          </reference>
        </references>
      </pivotArea>
    </format>
    <format dxfId="138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3980"/>
          </reference>
        </references>
      </pivotArea>
    </format>
    <format dxfId="137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3981"/>
          </reference>
        </references>
      </pivotArea>
    </format>
    <format dxfId="137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3982"/>
          </reference>
        </references>
      </pivotArea>
    </format>
    <format dxfId="1377">
      <pivotArea dataOnly="0" labelOnly="1" outline="0" fieldPosition="0">
        <references count="9">
          <reference field="1" count="1" selected="0">
            <x v="7"/>
          </reference>
          <reference field="2" count="1" selected="0">
            <x v="4"/>
          </reference>
          <reference field="3" count="1" selected="0">
            <x v="1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376">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3862"/>
          </reference>
        </references>
      </pivotArea>
    </format>
    <format dxfId="1375">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3940"/>
          </reference>
        </references>
      </pivotArea>
    </format>
    <format dxfId="1374">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3939"/>
          </reference>
        </references>
      </pivotArea>
    </format>
    <format dxfId="137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866"/>
          </reference>
        </references>
      </pivotArea>
    </format>
    <format dxfId="137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3867"/>
          </reference>
        </references>
      </pivotArea>
    </format>
    <format dxfId="1371">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865"/>
          </reference>
        </references>
      </pivotArea>
    </format>
    <format dxfId="137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3903"/>
          </reference>
        </references>
      </pivotArea>
    </format>
    <format dxfId="136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3893"/>
          </reference>
        </references>
      </pivotArea>
    </format>
    <format dxfId="136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3904"/>
          </reference>
        </references>
      </pivotArea>
    </format>
    <format dxfId="136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3905"/>
          </reference>
        </references>
      </pivotArea>
    </format>
    <format dxfId="1366">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3928"/>
          </reference>
        </references>
      </pivotArea>
    </format>
    <format dxfId="1365">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3947"/>
          </reference>
        </references>
      </pivotArea>
    </format>
    <format dxfId="1364">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3948"/>
          </reference>
        </references>
      </pivotArea>
    </format>
    <format dxfId="1363">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3977"/>
          </reference>
        </references>
      </pivotArea>
    </format>
    <format dxfId="1362">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869"/>
          </reference>
        </references>
      </pivotArea>
    </format>
    <format dxfId="1361">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x v="3858"/>
          </reference>
        </references>
      </pivotArea>
    </format>
    <format dxfId="1360">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x v="3860"/>
          </reference>
        </references>
      </pivotArea>
    </format>
    <format dxfId="1359">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x v="3861"/>
          </reference>
        </references>
      </pivotArea>
    </format>
    <format dxfId="1358">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3862"/>
          </reference>
        </references>
      </pivotArea>
    </format>
    <format dxfId="1357">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x v="3859"/>
          </reference>
        </references>
      </pivotArea>
    </format>
    <format dxfId="1356">
      <pivotArea dataOnly="0" labelOnly="1" outline="0" fieldPosition="0">
        <references count="9">
          <reference field="1" count="1" selected="0">
            <x v="10"/>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x v="10"/>
          </reference>
        </references>
      </pivotArea>
    </format>
    <format dxfId="1355">
      <pivotArea dataOnly="0" labelOnly="1" outline="0" fieldPosition="0">
        <references count="9">
          <reference field="1" count="1" selected="0">
            <x v="11"/>
          </reference>
          <reference field="2" count="1" selected="0">
            <x v="10"/>
          </reference>
          <reference field="3" count="1" selected="0">
            <x v="15"/>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x v="11"/>
          </reference>
        </references>
      </pivotArea>
    </format>
    <format dxfId="1354">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866"/>
          </reference>
        </references>
      </pivotArea>
    </format>
    <format dxfId="1353">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3867"/>
          </reference>
        </references>
      </pivotArea>
    </format>
    <format dxfId="1352">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866"/>
          </reference>
        </references>
      </pivotArea>
    </format>
    <format dxfId="1351">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3867"/>
          </reference>
        </references>
      </pivotArea>
    </format>
    <format dxfId="135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865"/>
          </reference>
        </references>
      </pivotArea>
    </format>
    <format dxfId="1349">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3901"/>
          </reference>
        </references>
      </pivotArea>
    </format>
    <format dxfId="134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3899"/>
          </reference>
        </references>
      </pivotArea>
    </format>
    <format dxfId="134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3902"/>
          </reference>
        </references>
      </pivotArea>
    </format>
    <format dxfId="134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3894"/>
          </reference>
        </references>
      </pivotArea>
    </format>
    <format dxfId="1345">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3860"/>
          </reference>
        </references>
      </pivotArea>
    </format>
    <format dxfId="134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3926"/>
          </reference>
        </references>
      </pivotArea>
    </format>
    <format dxfId="134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3946"/>
          </reference>
        </references>
      </pivotArea>
    </format>
    <format dxfId="1342">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3977"/>
          </reference>
        </references>
      </pivotArea>
    </format>
    <format dxfId="1341">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x v="3863"/>
          </reference>
        </references>
      </pivotArea>
    </format>
    <format dxfId="1340">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3862"/>
          </reference>
        </references>
      </pivotArea>
    </format>
    <format dxfId="1339">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x v="3859"/>
          </reference>
        </references>
      </pivotArea>
    </format>
    <format dxfId="1338">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866"/>
          </reference>
        </references>
      </pivotArea>
    </format>
    <format dxfId="1337">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3867"/>
          </reference>
        </references>
      </pivotArea>
    </format>
    <format dxfId="133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3848"/>
          </reference>
        </references>
      </pivotArea>
    </format>
    <format dxfId="133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3852"/>
          </reference>
        </references>
      </pivotArea>
    </format>
    <format dxfId="133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3850"/>
          </reference>
        </references>
      </pivotArea>
    </format>
    <format dxfId="133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3851"/>
          </reference>
        </references>
      </pivotArea>
    </format>
    <format dxfId="1332">
      <pivotArea dataOnly="0" labelOnly="1" outline="0" fieldPosition="0">
        <references count="9">
          <reference field="1" count="1" selected="0">
            <x v="13"/>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x v="8"/>
          </reference>
        </references>
      </pivotArea>
    </format>
    <format dxfId="1331">
      <pivotArea dataOnly="0" labelOnly="1" outline="0" fieldPosition="0">
        <references count="9">
          <reference field="1" count="1" selected="0">
            <x v="14"/>
          </reference>
          <reference field="2" count="1" selected="0">
            <x v="10"/>
          </reference>
          <reference field="3" count="1" selected="0">
            <x v="15"/>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x v="9"/>
          </reference>
        </references>
      </pivotArea>
    </format>
    <format dxfId="1330">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3911"/>
          </reference>
        </references>
      </pivotArea>
    </format>
    <format dxfId="1329">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3941"/>
          </reference>
        </references>
      </pivotArea>
    </format>
    <format dxfId="132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3942"/>
          </reference>
        </references>
      </pivotArea>
    </format>
    <format dxfId="132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3943"/>
          </reference>
        </references>
      </pivotArea>
    </format>
    <format dxfId="1326">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3949"/>
          </reference>
        </references>
      </pivotArea>
    </format>
    <format dxfId="1325">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3927"/>
          </reference>
        </references>
      </pivotArea>
    </format>
    <format dxfId="132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3859"/>
          </reference>
        </references>
      </pivotArea>
    </format>
    <format dxfId="1323">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3911"/>
          </reference>
        </references>
      </pivotArea>
    </format>
    <format dxfId="1322">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3944"/>
          </reference>
        </references>
      </pivotArea>
    </format>
    <format dxfId="1321">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3945"/>
          </reference>
        </references>
      </pivotArea>
    </format>
    <format dxfId="132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3928"/>
          </reference>
        </references>
      </pivotArea>
    </format>
    <format dxfId="131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3949"/>
          </reference>
        </references>
      </pivotArea>
    </format>
    <format dxfId="131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3927"/>
          </reference>
        </references>
      </pivotArea>
    </format>
    <format dxfId="131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3950"/>
          </reference>
        </references>
      </pivotArea>
    </format>
    <format dxfId="131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3859"/>
          </reference>
        </references>
      </pivotArea>
    </format>
    <format dxfId="131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3951"/>
          </reference>
        </references>
      </pivotArea>
    </format>
    <format dxfId="1314">
      <pivotArea dataOnly="0" labelOnly="1" outline="0" fieldPosition="0">
        <references count="9">
          <reference field="1" count="1" selected="0">
            <x v="1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1313">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3975"/>
          </reference>
        </references>
      </pivotArea>
    </format>
    <format dxfId="131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3976"/>
          </reference>
        </references>
      </pivotArea>
    </format>
    <format dxfId="1311">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3990"/>
          </reference>
        </references>
      </pivotArea>
    </format>
    <format dxfId="131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3991"/>
          </reference>
        </references>
      </pivotArea>
    </format>
    <format dxfId="130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3992"/>
          </reference>
        </references>
      </pivotArea>
    </format>
    <format dxfId="130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3981"/>
          </reference>
        </references>
      </pivotArea>
    </format>
    <format dxfId="130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x v="3912"/>
          </reference>
        </references>
      </pivotArea>
    </format>
    <format dxfId="130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x v="3994"/>
          </reference>
        </references>
      </pivotArea>
    </format>
    <format dxfId="130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x v="3995"/>
          </reference>
        </references>
      </pivotArea>
    </format>
    <format dxfId="130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x v="3953"/>
          </reference>
        </references>
      </pivotArea>
    </format>
    <format dxfId="130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3912"/>
          </reference>
        </references>
      </pivotArea>
    </format>
    <format dxfId="130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3994"/>
          </reference>
        </references>
      </pivotArea>
    </format>
    <format dxfId="130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3954"/>
          </reference>
        </references>
      </pivotArea>
    </format>
    <format dxfId="130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3993"/>
          </reference>
        </references>
      </pivotArea>
    </format>
    <format dxfId="1299">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3866"/>
          </reference>
        </references>
      </pivotArea>
    </format>
    <format dxfId="1298">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3873"/>
          </reference>
        </references>
      </pivotArea>
    </format>
    <format dxfId="1297">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3963"/>
          </reference>
        </references>
      </pivotArea>
    </format>
    <format dxfId="1296">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3933"/>
          </reference>
        </references>
      </pivotArea>
    </format>
    <format dxfId="1295">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3931"/>
          </reference>
        </references>
      </pivotArea>
    </format>
    <format dxfId="1294">
      <pivotArea dataOnly="0" labelOnly="1" outline="0" fieldPosition="0">
        <references count="9">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6"/>
          </reference>
          <reference field="81" count="1">
            <x v="1030"/>
          </reference>
        </references>
      </pivotArea>
    </format>
    <format dxfId="1293">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3997"/>
          </reference>
        </references>
      </pivotArea>
    </format>
    <format dxfId="129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890"/>
          </reference>
        </references>
      </pivotArea>
    </format>
    <format dxfId="129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885"/>
          </reference>
        </references>
      </pivotArea>
    </format>
    <format dxfId="129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891"/>
          </reference>
        </references>
      </pivotArea>
    </format>
    <format dxfId="128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892"/>
          </reference>
        </references>
      </pivotArea>
    </format>
    <format dxfId="1288">
      <pivotArea dataOnly="0" labelOnly="1" outline="0" fieldPosition="0">
        <references count="9">
          <reference field="1" count="1" selected="0">
            <x v="21"/>
          </reference>
          <reference field="2" count="1" selected="0">
            <x v="5"/>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28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858"/>
          </reference>
        </references>
      </pivotArea>
    </format>
    <format dxfId="128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3952"/>
          </reference>
        </references>
      </pivotArea>
    </format>
    <format dxfId="128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3917"/>
          </reference>
        </references>
      </pivotArea>
    </format>
    <format dxfId="128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3950"/>
          </reference>
        </references>
      </pivotArea>
    </format>
    <format dxfId="128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3939"/>
          </reference>
        </references>
      </pivotArea>
    </format>
    <format dxfId="128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890"/>
          </reference>
        </references>
      </pivotArea>
    </format>
    <format dxfId="128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885"/>
          </reference>
        </references>
      </pivotArea>
    </format>
    <format dxfId="128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891"/>
          </reference>
        </references>
      </pivotArea>
    </format>
    <format dxfId="1279">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892"/>
          </reference>
        </references>
      </pivotArea>
    </format>
    <format dxfId="1278">
      <pivotArea dataOnly="0" labelOnly="1" outline="0" fieldPosition="0">
        <references count="9">
          <reference field="1" count="1" selected="0">
            <x v="21"/>
          </reference>
          <reference field="2" count="1" selected="0">
            <x v="5"/>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27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858"/>
          </reference>
        </references>
      </pivotArea>
    </format>
    <format dxfId="127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3952"/>
          </reference>
        </references>
      </pivotArea>
    </format>
    <format dxfId="127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3917"/>
          </reference>
        </references>
      </pivotArea>
    </format>
    <format dxfId="127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3950"/>
          </reference>
        </references>
      </pivotArea>
    </format>
    <format dxfId="127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3939"/>
          </reference>
        </references>
      </pivotArea>
    </format>
    <format dxfId="127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890"/>
          </reference>
        </references>
      </pivotArea>
    </format>
    <format dxfId="127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885"/>
          </reference>
        </references>
      </pivotArea>
    </format>
    <format dxfId="127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891"/>
          </reference>
        </references>
      </pivotArea>
    </format>
    <format dxfId="126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892"/>
          </reference>
        </references>
      </pivotArea>
    </format>
    <format dxfId="1268">
      <pivotArea dataOnly="0" labelOnly="1" outline="0" fieldPosition="0">
        <references count="9">
          <reference field="1" count="1" selected="0">
            <x v="21"/>
          </reference>
          <reference field="2" count="1" selected="0">
            <x v="5"/>
          </reference>
          <reference field="3" count="1" selected="0">
            <x v="12"/>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26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858"/>
          </reference>
        </references>
      </pivotArea>
    </format>
    <format dxfId="126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3952"/>
          </reference>
        </references>
      </pivotArea>
    </format>
    <format dxfId="126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3917"/>
          </reference>
        </references>
      </pivotArea>
    </format>
    <format dxfId="126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3950"/>
          </reference>
        </references>
      </pivotArea>
    </format>
    <format dxfId="126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3939"/>
          </reference>
        </references>
      </pivotArea>
    </format>
    <format dxfId="1262">
      <pivotArea dataOnly="0" labelOnly="1" outline="0" fieldPosition="0">
        <references count="9">
          <reference field="1" count="1" selected="0">
            <x v="21"/>
          </reference>
          <reference field="2" count="1" selected="0">
            <x v="5"/>
          </reference>
          <reference field="3" count="1" selected="0">
            <x v="19"/>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26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x v="3996"/>
          </reference>
        </references>
      </pivotArea>
    </format>
    <format dxfId="126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990"/>
          </reference>
        </references>
      </pivotArea>
    </format>
    <format dxfId="125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939"/>
          </reference>
        </references>
      </pivotArea>
    </format>
    <format dxfId="125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989"/>
          </reference>
        </references>
      </pivotArea>
    </format>
    <format dxfId="1257">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862"/>
          </reference>
        </references>
      </pivotArea>
    </format>
    <format dxfId="125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849"/>
          </reference>
        </references>
      </pivotArea>
    </format>
    <format dxfId="125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988"/>
          </reference>
        </references>
      </pivotArea>
    </format>
    <format dxfId="125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913"/>
          </reference>
        </references>
      </pivotArea>
    </format>
    <format dxfId="1253">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862"/>
          </reference>
        </references>
      </pivotArea>
    </format>
    <format dxfId="125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849"/>
          </reference>
        </references>
      </pivotArea>
    </format>
    <format dxfId="125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988"/>
          </reference>
        </references>
      </pivotArea>
    </format>
    <format dxfId="125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913"/>
          </reference>
        </references>
      </pivotArea>
    </format>
    <format dxfId="1249">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x v="3857"/>
          </reference>
        </references>
      </pivotArea>
    </format>
    <format dxfId="124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x v="3984"/>
          </reference>
        </references>
      </pivotArea>
    </format>
    <format dxfId="124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x v="3983"/>
          </reference>
        </references>
      </pivotArea>
    </format>
    <format dxfId="124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x v="3985"/>
          </reference>
        </references>
      </pivotArea>
    </format>
    <format dxfId="1245">
      <pivotArea dataOnly="0" labelOnly="1" outline="0" fieldPosition="0">
        <references count="9">
          <reference field="1" count="1" selected="0">
            <x v="25"/>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x v="7"/>
          </reference>
        </references>
      </pivotArea>
    </format>
    <format dxfId="1244">
      <pivotArea dataOnly="0" labelOnly="1" outline="0" fieldPosition="0">
        <references count="9">
          <reference field="1" count="1" selected="0">
            <x v="26"/>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x v="6"/>
          </reference>
        </references>
      </pivotArea>
    </format>
    <format dxfId="1243">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3961"/>
          </reference>
        </references>
      </pivotArea>
    </format>
    <format dxfId="1242">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3962"/>
          </reference>
        </references>
      </pivotArea>
    </format>
    <format dxfId="1241">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3960"/>
          </reference>
        </references>
      </pivotArea>
    </format>
    <format dxfId="124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890"/>
          </reference>
        </references>
      </pivotArea>
    </format>
    <format dxfId="123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885"/>
          </reference>
        </references>
      </pivotArea>
    </format>
    <format dxfId="123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891"/>
          </reference>
        </references>
      </pivotArea>
    </format>
    <format dxfId="123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892"/>
          </reference>
        </references>
      </pivotArea>
    </format>
    <format dxfId="123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3936"/>
          </reference>
        </references>
      </pivotArea>
    </format>
    <format dxfId="123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3987"/>
          </reference>
        </references>
      </pivotArea>
    </format>
    <format dxfId="123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3940"/>
          </reference>
        </references>
      </pivotArea>
    </format>
    <format dxfId="123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3986"/>
          </reference>
        </references>
      </pivotArea>
    </format>
    <format dxfId="123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3936"/>
          </reference>
        </references>
      </pivotArea>
    </format>
    <format dxfId="123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3987"/>
          </reference>
        </references>
      </pivotArea>
    </format>
    <format dxfId="123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3940"/>
          </reference>
        </references>
      </pivotArea>
    </format>
    <format dxfId="122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3986"/>
          </reference>
        </references>
      </pivotArea>
    </format>
    <format dxfId="1228">
      <pivotArea dataOnly="0" labelOnly="1" outline="0" fieldPosition="0">
        <references count="9">
          <reference field="1" count="1" selected="0">
            <x v="29"/>
          </reference>
          <reference field="2" count="1" selected="0">
            <x v="2"/>
          </reference>
          <reference field="3" count="1" selected="0">
            <x v="10"/>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1227">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3854"/>
          </reference>
        </references>
      </pivotArea>
    </format>
    <format dxfId="1226">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3998"/>
          </reference>
        </references>
      </pivotArea>
    </format>
    <format dxfId="1225">
      <pivotArea dataOnly="0" labelOnly="1" outline="0" fieldPosition="0">
        <references count="9">
          <reference field="1" count="1" selected="0">
            <x v="29"/>
          </reference>
          <reference field="2" count="1" selected="0">
            <x v="2"/>
          </reference>
          <reference field="3" count="1" selected="0">
            <x v="18"/>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1224">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3881"/>
          </reference>
        </references>
      </pivotArea>
    </format>
    <format dxfId="1223">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3855"/>
          </reference>
        </references>
      </pivotArea>
    </format>
    <format dxfId="1222">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3881"/>
          </reference>
        </references>
      </pivotArea>
    </format>
    <format dxfId="1221">
      <pivotArea dataOnly="0" labelOnly="1" outline="0" fieldPosition="0">
        <references count="9">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1"/>
          </reference>
          <reference field="81" count="1">
            <x v="3028"/>
          </reference>
        </references>
      </pivotArea>
    </format>
    <format dxfId="1220">
      <pivotArea dataOnly="0" labelOnly="1" outline="0" fieldPosition="0">
        <references count="9">
          <reference field="1" count="1" selected="0">
            <x v="30"/>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x v="24"/>
          </reference>
        </references>
      </pivotArea>
    </format>
    <format dxfId="1219">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4000"/>
          </reference>
        </references>
      </pivotArea>
    </format>
    <format dxfId="1218">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002"/>
          </reference>
        </references>
      </pivotArea>
    </format>
    <format dxfId="1217">
      <pivotArea dataOnly="0" labelOnly="1" outline="0" fieldPosition="0">
        <references count="9">
          <reference field="1" count="1" selected="0">
            <x v="30"/>
          </reference>
          <reference field="2" count="1" selected="0">
            <x v="14"/>
          </reference>
          <reference field="3" count="1" selected="0">
            <x v="22"/>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1216">
      <pivotArea dataOnly="0" labelOnly="1" outline="0" fieldPosition="0">
        <references count="9">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4"/>
          </reference>
          <reference field="81" count="1">
            <x v="3031"/>
          </reference>
        </references>
      </pivotArea>
    </format>
    <format dxfId="1215">
      <pivotArea dataOnly="0" labelOnly="1" outline="0" fieldPosition="0">
        <references count="9">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x v="3029"/>
          </reference>
        </references>
      </pivotArea>
    </format>
    <format dxfId="1214">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4001"/>
          </reference>
        </references>
      </pivotArea>
    </format>
    <format dxfId="1213">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3877"/>
          </reference>
        </references>
      </pivotArea>
    </format>
    <format dxfId="1212">
      <pivotArea dataOnly="0" labelOnly="1" outline="0" fieldPosition="0">
        <references count="9">
          <reference field="1" count="1" selected="0">
            <x v="32"/>
          </reference>
          <reference field="2" count="1" selected="0">
            <x v="1"/>
          </reference>
          <reference field="3" count="1" selected="0">
            <x v="8"/>
          </reference>
          <reference field="5" count="1" selected="0">
            <x v="13"/>
          </reference>
          <reference field="13" count="1" selected="0">
            <x v="2"/>
          </reference>
          <reference field="22" count="1" selected="0">
            <x v="17"/>
          </reference>
          <reference field="23" count="1" selected="0">
            <x v="2"/>
          </reference>
          <reference field="72" count="1" selected="0">
            <x v="206"/>
          </reference>
          <reference field="81" count="1">
            <x v="4003"/>
          </reference>
        </references>
      </pivotArea>
    </format>
    <format dxfId="1211">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002"/>
          </reference>
        </references>
      </pivotArea>
    </format>
    <format dxfId="1210">
      <pivotArea dataOnly="0" labelOnly="1" outline="0" fieldPosition="0">
        <references count="9">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x v="3029"/>
          </reference>
        </references>
      </pivotArea>
    </format>
    <format dxfId="1209">
      <pivotArea dataOnly="0" labelOnly="1" outline="0" fieldPosition="0">
        <references count="9">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5"/>
          </reference>
          <reference field="81" count="1">
            <x v="3032"/>
          </reference>
        </references>
      </pivotArea>
    </format>
    <format dxfId="1208">
      <pivotArea dataOnly="0" labelOnly="1" outline="0" fieldPosition="0">
        <references count="9">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3"/>
          </reference>
          <reference field="81" count="1">
            <x v="3030"/>
          </reference>
        </references>
      </pivotArea>
    </format>
    <format dxfId="1207">
      <pivotArea dataOnly="0" labelOnly="1" outline="0" fieldPosition="0">
        <references count="9">
          <reference field="1" count="1" selected="0">
            <x v="35"/>
          </reference>
          <reference field="2" count="1" selected="0">
            <x v="13"/>
          </reference>
          <reference field="3" count="1" selected="0">
            <x v="15"/>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1206">
      <pivotArea dataOnly="0" labelOnly="1" outline="0" fieldPosition="0">
        <references count="9">
          <reference field="1" count="1" selected="0">
            <x v="36"/>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1205">
      <pivotArea dataOnly="0" labelOnly="1" outline="0" fieldPosition="0">
        <references count="9">
          <reference field="1" count="1" selected="0">
            <x v="36"/>
          </reference>
          <reference field="2" count="1" selected="0">
            <x v="15"/>
          </reference>
          <reference field="3"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1204">
      <pivotArea dataOnly="0" labelOnly="1" outline="0" fieldPosition="0">
        <references count="9">
          <reference field="1" count="1" selected="0">
            <x v="36"/>
          </reference>
          <reference field="2" count="1" selected="0">
            <x v="0"/>
          </reference>
          <reference field="3" count="1" selected="0">
            <x v="16"/>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1203">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3853"/>
          </reference>
        </references>
      </pivotArea>
    </format>
    <format dxfId="1202">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3930"/>
          </reference>
        </references>
      </pivotArea>
    </format>
    <format dxfId="120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3954"/>
          </reference>
        </references>
      </pivotArea>
    </format>
    <format dxfId="120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3955"/>
          </reference>
        </references>
      </pivotArea>
    </format>
    <format dxfId="119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3960"/>
          </reference>
        </references>
      </pivotArea>
    </format>
    <format dxfId="119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3958"/>
          </reference>
        </references>
      </pivotArea>
    </format>
    <format dxfId="119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3957"/>
          </reference>
        </references>
      </pivotArea>
    </format>
    <format dxfId="119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3956"/>
          </reference>
        </references>
      </pivotArea>
    </format>
    <format dxfId="119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3953"/>
          </reference>
        </references>
      </pivotArea>
    </format>
    <format dxfId="119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3959"/>
          </reference>
        </references>
      </pivotArea>
    </format>
    <format dxfId="1193">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3999"/>
          </reference>
        </references>
      </pivotArea>
    </format>
    <format dxfId="1192">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3880"/>
          </reference>
        </references>
      </pivotArea>
    </format>
    <format dxfId="1191">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3879"/>
          </reference>
        </references>
      </pivotArea>
    </format>
    <format dxfId="1190">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3954"/>
          </reference>
        </references>
      </pivotArea>
    </format>
    <format dxfId="1189">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3953"/>
          </reference>
        </references>
      </pivotArea>
    </format>
    <format dxfId="1188">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3879"/>
          </reference>
        </references>
      </pivotArea>
    </format>
    <format dxfId="1187">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3914"/>
          </reference>
        </references>
      </pivotArea>
    </format>
    <format dxfId="1186">
      <pivotArea dataOnly="0" labelOnly="1" outline="0" fieldPosition="0">
        <references count="9">
          <reference field="1" count="1" selected="0">
            <x v="41"/>
          </reference>
          <reference field="2" count="1" selected="0">
            <x v="0"/>
          </reference>
          <reference field="3"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1185">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3972"/>
          </reference>
        </references>
      </pivotArea>
    </format>
    <format dxfId="1184">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3974"/>
          </reference>
        </references>
      </pivotArea>
    </format>
    <format dxfId="1183">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3875"/>
          </reference>
        </references>
      </pivotArea>
    </format>
    <format dxfId="1182">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3874"/>
          </reference>
        </references>
      </pivotArea>
    </format>
    <format dxfId="1181">
      <pivotArea dataOnly="0" labelOnly="1" outline="0" fieldPosition="0">
        <references count="9">
          <reference field="1" count="1" selected="0">
            <x v="47"/>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1180">
      <pivotArea dataOnly="0" labelOnly="1" outline="0" fieldPosition="0">
        <references count="9">
          <reference field="1" count="1" selected="0">
            <x v="48"/>
          </reference>
          <reference field="2" count="1" selected="0">
            <x v="11"/>
          </reference>
          <reference field="3" count="1" selected="0">
            <x v="4"/>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1179">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3987"/>
          </reference>
        </references>
      </pivotArea>
    </format>
    <format dxfId="1178">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849"/>
          </reference>
        </references>
      </pivotArea>
    </format>
    <format dxfId="1177">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988"/>
          </reference>
        </references>
      </pivotArea>
    </format>
    <format dxfId="1176">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913"/>
          </reference>
        </references>
      </pivotArea>
    </format>
    <format dxfId="1175">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967"/>
          </reference>
        </references>
      </pivotArea>
    </format>
    <format dxfId="1174">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3883"/>
          </reference>
          <reference field="82" count="1">
            <x v="2395"/>
          </reference>
        </references>
      </pivotArea>
    </format>
    <format dxfId="1173">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3885"/>
          </reference>
          <reference field="82" count="1">
            <x v="2397"/>
          </reference>
        </references>
      </pivotArea>
    </format>
    <format dxfId="1172">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3886"/>
          </reference>
          <reference field="82" count="1">
            <x v="2398"/>
          </reference>
        </references>
      </pivotArea>
    </format>
    <format dxfId="1171">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3882"/>
          </reference>
          <reference field="82" count="1">
            <x v="2394"/>
          </reference>
        </references>
      </pivotArea>
    </format>
    <format dxfId="1170">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3887"/>
          </reference>
          <reference field="82" count="1">
            <x v="2399"/>
          </reference>
        </references>
      </pivotArea>
    </format>
    <format dxfId="1169">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3888"/>
          </reference>
          <reference field="82" count="1">
            <x v="2400"/>
          </reference>
        </references>
      </pivotArea>
    </format>
    <format dxfId="1168">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3889"/>
          </reference>
          <reference field="82" count="1">
            <x v="2401"/>
          </reference>
        </references>
      </pivotArea>
    </format>
    <format dxfId="1167">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3884"/>
          </reference>
          <reference field="82" count="1">
            <x v="2396"/>
          </reference>
        </references>
      </pivotArea>
    </format>
    <format dxfId="1166">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x v="2455"/>
          </reference>
        </references>
      </pivotArea>
    </format>
    <format dxfId="1165">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925"/>
          </reference>
          <reference field="82" count="1">
            <x v="2456"/>
          </reference>
        </references>
      </pivotArea>
    </format>
    <format dxfId="1164">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926"/>
          </reference>
          <reference field="82" count="1">
            <x v="2457"/>
          </reference>
        </references>
      </pivotArea>
    </format>
    <format dxfId="1163">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x v="2503"/>
          </reference>
        </references>
      </pivotArea>
    </format>
    <format dxfId="1162">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965"/>
          </reference>
          <reference field="82" count="1">
            <x v="2504"/>
          </reference>
        </references>
      </pivotArea>
    </format>
    <format dxfId="1161">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917"/>
          </reference>
          <reference field="82" count="1">
            <x v="2530"/>
          </reference>
        </references>
      </pivotArea>
    </format>
    <format dxfId="1160">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990"/>
          </reference>
          <reference field="82" count="1">
            <x v="2541"/>
          </reference>
        </references>
      </pivotArea>
    </format>
    <format dxfId="1159">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939"/>
          </reference>
          <reference field="82" count="1">
            <x v="2531"/>
          </reference>
        </references>
      </pivotArea>
    </format>
    <format dxfId="1158">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989"/>
          </reference>
          <reference field="82" count="1">
            <x v="2540"/>
          </reference>
        </references>
      </pivotArea>
    </format>
    <format dxfId="1157">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x v="2505"/>
          </reference>
        </references>
      </pivotArea>
    </format>
    <format dxfId="1156">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966"/>
          </reference>
          <reference field="82" count="1">
            <x v="2506"/>
          </reference>
        </references>
      </pivotArea>
    </format>
    <format dxfId="1155">
      <pivotArea dataOnly="0" labelOnly="1" outline="0" fieldPosition="0">
        <references count="10">
          <reference field="1" count="1" selected="0">
            <x v="0"/>
          </reference>
          <reference field="2" count="1" selected="0">
            <x v="10"/>
          </reference>
          <reference field="3" count="1" selected="0">
            <x v="3"/>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1154">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x v="2452"/>
          </reference>
        </references>
      </pivotArea>
    </format>
    <format dxfId="1153">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925"/>
          </reference>
          <reference field="82" count="1">
            <x v="2453"/>
          </reference>
        </references>
      </pivotArea>
    </format>
    <format dxfId="1152">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926"/>
          </reference>
          <reference field="82" count="1">
            <x v="2454"/>
          </reference>
        </references>
      </pivotArea>
    </format>
    <format dxfId="1151">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3923"/>
          </reference>
          <reference field="82" count="1">
            <x v="2451"/>
          </reference>
        </references>
      </pivotArea>
    </format>
    <format dxfId="1150">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x v="2505"/>
          </reference>
        </references>
      </pivotArea>
    </format>
    <format dxfId="1149">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966"/>
          </reference>
          <reference field="82" count="1">
            <x v="2506"/>
          </reference>
        </references>
      </pivotArea>
    </format>
    <format dxfId="1148">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x v="2452"/>
          </reference>
        </references>
      </pivotArea>
    </format>
    <format dxfId="1147">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925"/>
          </reference>
          <reference field="82" count="1">
            <x v="2453"/>
          </reference>
        </references>
      </pivotArea>
    </format>
    <format dxfId="1146">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926"/>
          </reference>
          <reference field="82" count="1">
            <x v="2454"/>
          </reference>
        </references>
      </pivotArea>
    </format>
    <format dxfId="1145">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3923"/>
          </reference>
          <reference field="82" count="1">
            <x v="2451"/>
          </reference>
        </references>
      </pivotArea>
    </format>
    <format dxfId="1144">
      <pivotArea dataOnly="0" labelOnly="1" outline="0" fieldPosition="0">
        <references count="10">
          <reference field="1" count="1" selected="0">
            <x v="0"/>
          </reference>
          <reference field="2" count="1" selected="0">
            <x v="10"/>
          </reference>
          <reference field="3" count="1" selected="0">
            <x v="5"/>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1143">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x v="2505"/>
          </reference>
        </references>
      </pivotArea>
    </format>
    <format dxfId="1142">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966"/>
          </reference>
          <reference field="82" count="1">
            <x v="2506"/>
          </reference>
        </references>
      </pivotArea>
    </format>
    <format dxfId="1141">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3872"/>
          </reference>
          <reference field="82" count="1">
            <x v="2377"/>
          </reference>
        </references>
      </pivotArea>
    </format>
    <format dxfId="1140">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x v="2379"/>
          </reference>
        </references>
      </pivotArea>
    </format>
    <format dxfId="1139">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3919"/>
          </reference>
          <reference field="82" count="1">
            <x v="2447"/>
          </reference>
        </references>
      </pivotArea>
    </format>
    <format dxfId="1138">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3922"/>
          </reference>
          <reference field="82" count="1">
            <x v="2450"/>
          </reference>
        </references>
      </pivotArea>
    </format>
    <format dxfId="1137">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3920"/>
          </reference>
          <reference field="82" count="1">
            <x v="2448"/>
          </reference>
        </references>
      </pivotArea>
    </format>
    <format dxfId="113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3921"/>
          </reference>
          <reference field="82" count="1">
            <x v="2449"/>
          </reference>
        </references>
      </pivotArea>
    </format>
    <format dxfId="1135">
      <pivotArea dataOnly="0" labelOnly="1" outline="0" fieldPosition="0">
        <references count="10">
          <reference field="1" count="1" selected="0">
            <x v="0"/>
          </reference>
          <reference field="2" count="1" selected="0">
            <x v="6"/>
          </reference>
          <reference field="3" count="1" selected="0">
            <x v="7"/>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1134">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x v="2503"/>
          </reference>
        </references>
      </pivotArea>
    </format>
    <format dxfId="1133">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965"/>
          </reference>
          <reference field="82" count="1">
            <x v="2504"/>
          </reference>
        </references>
      </pivotArea>
    </format>
    <format dxfId="1132">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917"/>
          </reference>
          <reference field="82" count="1">
            <x v="2530"/>
          </reference>
        </references>
      </pivotArea>
    </format>
    <format dxfId="1131">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990"/>
          </reference>
          <reference field="82" count="1">
            <x v="2541"/>
          </reference>
        </references>
      </pivotArea>
    </format>
    <format dxfId="1130">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939"/>
          </reference>
          <reference field="82" count="1">
            <x v="2531"/>
          </reference>
        </references>
      </pivotArea>
    </format>
    <format dxfId="1129">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989"/>
          </reference>
          <reference field="82" count="1">
            <x v="2540"/>
          </reference>
        </references>
      </pivotArea>
    </format>
    <format dxfId="1128">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3866"/>
          </reference>
          <reference field="82" count="1">
            <x v="2387"/>
          </reference>
        </references>
      </pivotArea>
    </format>
    <format dxfId="1127">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3872"/>
          </reference>
          <reference field="82" count="1">
            <x v="2378"/>
          </reference>
        </references>
      </pivotArea>
    </format>
    <format dxfId="112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3883"/>
          </reference>
          <reference field="82" count="1">
            <x v="2431"/>
          </reference>
        </references>
      </pivotArea>
    </format>
    <format dxfId="112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3885"/>
          </reference>
          <reference field="82" count="1">
            <x v="2433"/>
          </reference>
        </references>
      </pivotArea>
    </format>
    <format dxfId="112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3886"/>
          </reference>
          <reference field="82" count="1">
            <x v="2434"/>
          </reference>
        </references>
      </pivotArea>
    </format>
    <format dxfId="112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3882"/>
          </reference>
          <reference field="82" count="1">
            <x v="2430"/>
          </reference>
        </references>
      </pivotArea>
    </format>
    <format dxfId="112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3887"/>
          </reference>
          <reference field="82" count="1">
            <x v="2435"/>
          </reference>
        </references>
      </pivotArea>
    </format>
    <format dxfId="112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3888"/>
          </reference>
          <reference field="82" count="1">
            <x v="2436"/>
          </reference>
        </references>
      </pivotArea>
    </format>
    <format dxfId="112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3889"/>
          </reference>
          <reference field="82" count="1">
            <x v="2437"/>
          </reference>
        </references>
      </pivotArea>
    </format>
    <format dxfId="111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3884"/>
          </reference>
          <reference field="82" count="1">
            <x v="2432"/>
          </reference>
        </references>
      </pivotArea>
    </format>
    <format dxfId="1118">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x v="2452"/>
          </reference>
        </references>
      </pivotArea>
    </format>
    <format dxfId="111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925"/>
          </reference>
          <reference field="82" count="1">
            <x v="2453"/>
          </reference>
        </references>
      </pivotArea>
    </format>
    <format dxfId="111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926"/>
          </reference>
          <reference field="82" count="1">
            <x v="2454"/>
          </reference>
        </references>
      </pivotArea>
    </format>
    <format dxfId="1115">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3923"/>
          </reference>
          <reference field="82" count="1">
            <x v="2451"/>
          </reference>
        </references>
      </pivotArea>
    </format>
    <format dxfId="1114">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3866"/>
          </reference>
          <reference field="82" count="1">
            <x v="2386"/>
          </reference>
        </references>
      </pivotArea>
    </format>
    <format dxfId="1113">
      <pivotArea dataOnly="0" labelOnly="1" outline="0" fieldPosition="0">
        <references count="10">
          <reference field="1" count="1" selected="0">
            <x v="0"/>
          </reference>
          <reference field="2" count="1" selected="0">
            <x v="6"/>
          </reference>
          <reference field="3" count="1" selected="0">
            <x v="12"/>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1112">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x v="2503"/>
          </reference>
        </references>
      </pivotArea>
    </format>
    <format dxfId="1111">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965"/>
          </reference>
          <reference field="82" count="1">
            <x v="2504"/>
          </reference>
        </references>
      </pivotArea>
    </format>
    <format dxfId="1110">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3922"/>
          </reference>
          <reference field="82" count="1">
            <x v="2450"/>
          </reference>
        </references>
      </pivotArea>
    </format>
    <format dxfId="1109">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3920"/>
          </reference>
          <reference field="82" count="1">
            <x v="2448"/>
          </reference>
        </references>
      </pivotArea>
    </format>
    <format dxfId="1108">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3921"/>
          </reference>
          <reference field="82" count="1">
            <x v="2449"/>
          </reference>
        </references>
      </pivotArea>
    </format>
    <format dxfId="1107">
      <pivotArea dataOnly="0" labelOnly="1" outline="0" fieldPosition="0">
        <references count="10">
          <reference field="1" count="1" selected="0">
            <x v="0"/>
          </reference>
          <reference field="2" count="1" selected="0">
            <x v="6"/>
          </reference>
          <reference field="3" count="1" selected="0">
            <x v="14"/>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1106">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x v="2503"/>
          </reference>
        </references>
      </pivotArea>
    </format>
    <format dxfId="1105">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965"/>
          </reference>
          <reference field="82" count="1">
            <x v="2504"/>
          </reference>
        </references>
      </pivotArea>
    </format>
    <format dxfId="1104">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917"/>
          </reference>
          <reference field="82" count="1">
            <x v="2530"/>
          </reference>
        </references>
      </pivotArea>
    </format>
    <format dxfId="1103">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990"/>
          </reference>
          <reference field="82" count="1">
            <x v="2541"/>
          </reference>
        </references>
      </pivotArea>
    </format>
    <format dxfId="1102">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939"/>
          </reference>
          <reference field="82" count="1">
            <x v="2531"/>
          </reference>
        </references>
      </pivotArea>
    </format>
    <format dxfId="1101">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989"/>
          </reference>
          <reference field="82" count="1">
            <x v="2540"/>
          </reference>
        </references>
      </pivotArea>
    </format>
    <format dxfId="1100">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x v="2505"/>
          </reference>
        </references>
      </pivotArea>
    </format>
    <format dxfId="1099">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966"/>
          </reference>
          <reference field="82" count="1">
            <x v="2506"/>
          </reference>
        </references>
      </pivotArea>
    </format>
    <format dxfId="1098">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x v="2452"/>
          </reference>
        </references>
      </pivotArea>
    </format>
    <format dxfId="1097">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3930"/>
          </reference>
          <reference field="82" count="1">
            <x v="2461"/>
          </reference>
        </references>
      </pivotArea>
    </format>
    <format dxfId="1096">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3931"/>
          </reference>
          <reference field="82" count="1">
            <x v="2462"/>
          </reference>
        </references>
      </pivotArea>
    </format>
    <format dxfId="1095">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3932"/>
          </reference>
          <reference field="82" count="1">
            <x v="2463"/>
          </reference>
        </references>
      </pivotArea>
    </format>
    <format dxfId="1094">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3868"/>
          </reference>
          <reference field="82" count="1">
            <x v="2373"/>
          </reference>
        </references>
      </pivotArea>
    </format>
    <format dxfId="1093">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3869"/>
          </reference>
          <reference field="82" count="1">
            <x v="2374"/>
          </reference>
        </references>
      </pivotArea>
    </format>
    <format dxfId="1092">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3927"/>
          </reference>
          <reference field="82" count="1">
            <x v="2458"/>
          </reference>
        </references>
      </pivotArea>
    </format>
    <format dxfId="1091">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3928"/>
          </reference>
          <reference field="82" count="1">
            <x v="2459"/>
          </reference>
        </references>
      </pivotArea>
    </format>
    <format dxfId="1090">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3929"/>
          </reference>
          <reference field="82" count="1">
            <x v="2460"/>
          </reference>
        </references>
      </pivotArea>
    </format>
    <format dxfId="1089">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967"/>
          </reference>
          <reference field="82" count="1">
            <x v="2507"/>
          </reference>
        </references>
      </pivotArea>
    </format>
    <format dxfId="1088">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3968"/>
          </reference>
          <reference field="82" count="1">
            <x v="2508"/>
          </reference>
        </references>
      </pivotArea>
    </format>
    <format dxfId="1087">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3878"/>
          </reference>
          <reference field="82" count="1">
            <x v="2388"/>
          </reference>
        </references>
      </pivotArea>
    </format>
    <format dxfId="1086">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3927"/>
          </reference>
          <reference field="82" count="1">
            <x v="2458"/>
          </reference>
        </references>
      </pivotArea>
    </format>
    <format dxfId="1085">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3928"/>
          </reference>
          <reference field="82" count="1">
            <x v="2459"/>
          </reference>
        </references>
      </pivotArea>
    </format>
    <format dxfId="1084">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3929"/>
          </reference>
          <reference field="82" count="1">
            <x v="2460"/>
          </reference>
        </references>
      </pivotArea>
    </format>
    <format dxfId="1083">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967"/>
          </reference>
          <reference field="82" count="1">
            <x v="2507"/>
          </reference>
        </references>
      </pivotArea>
    </format>
    <format dxfId="1082">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3936"/>
          </reference>
          <reference field="82" count="1">
            <x v="2467"/>
          </reference>
        </references>
      </pivotArea>
    </format>
    <format dxfId="1081">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3937"/>
          </reference>
          <reference field="82" count="1">
            <x v="2468"/>
          </reference>
        </references>
      </pivotArea>
    </format>
    <format dxfId="1080">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3938"/>
          </reference>
          <reference field="82" count="1">
            <x v="2469"/>
          </reference>
        </references>
      </pivotArea>
    </format>
    <format dxfId="1079">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3864"/>
          </reference>
          <reference field="82" count="1">
            <x v="2368"/>
          </reference>
        </references>
      </pivotArea>
    </format>
    <format dxfId="1078">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x v="2369"/>
          </reference>
        </references>
      </pivotArea>
    </format>
    <format dxfId="107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3882"/>
          </reference>
          <reference field="82" count="1">
            <x v="2423"/>
          </reference>
        </references>
      </pivotArea>
    </format>
    <format dxfId="1076">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3888"/>
          </reference>
          <reference field="82" count="1">
            <x v="2424"/>
          </reference>
        </references>
      </pivotArea>
    </format>
    <format dxfId="1075">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3884"/>
          </reference>
          <reference field="82" count="1">
            <x v="2421"/>
          </reference>
        </references>
      </pivotArea>
    </format>
    <format dxfId="1074">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3906"/>
          </reference>
          <reference field="82" count="1">
            <x v="2422"/>
          </reference>
        </references>
      </pivotArea>
    </format>
    <format dxfId="1073">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3933"/>
          </reference>
          <reference field="82" count="1">
            <x v="2464"/>
          </reference>
        </references>
      </pivotArea>
    </format>
    <format dxfId="1072">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3934"/>
          </reference>
          <reference field="82" count="1">
            <x v="2465"/>
          </reference>
        </references>
      </pivotArea>
    </format>
    <format dxfId="1071">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3935"/>
          </reference>
          <reference field="82" count="1">
            <x v="2466"/>
          </reference>
        </references>
      </pivotArea>
    </format>
    <format dxfId="1070">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3978"/>
          </reference>
          <reference field="82" count="1">
            <x v="2520"/>
          </reference>
        </references>
      </pivotArea>
    </format>
    <format dxfId="1069">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3871"/>
          </reference>
          <reference field="82" count="1">
            <x v="2376"/>
          </reference>
        </references>
      </pivotArea>
    </format>
    <format dxfId="1068">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3915"/>
          </reference>
          <reference field="82" count="1">
            <x v="2442"/>
          </reference>
        </references>
      </pivotArea>
    </format>
    <format dxfId="1067">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3914"/>
          </reference>
          <reference field="82" count="1">
            <x v="2441"/>
          </reference>
        </references>
      </pivotArea>
    </format>
    <format dxfId="1066">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3916"/>
          </reference>
          <reference field="82" count="1">
            <x v="2443"/>
          </reference>
        </references>
      </pivotArea>
    </format>
    <format dxfId="1065">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3876"/>
          </reference>
          <reference field="82" count="1">
            <x v="2384"/>
          </reference>
        </references>
      </pivotArea>
    </format>
    <format dxfId="1064">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3871"/>
          </reference>
          <reference field="82" count="1">
            <x v="2376"/>
          </reference>
        </references>
      </pivotArea>
    </format>
    <format dxfId="1063">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3909"/>
          </reference>
          <reference field="82" count="1">
            <x v="2427"/>
          </reference>
        </references>
      </pivotArea>
    </format>
    <format dxfId="1062">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3910"/>
          </reference>
          <reference field="82" count="1">
            <x v="2428"/>
          </reference>
        </references>
      </pivotArea>
    </format>
    <format dxfId="1061">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3907"/>
          </reference>
          <reference field="82" count="1">
            <x v="2425"/>
          </reference>
        </references>
      </pivotArea>
    </format>
    <format dxfId="1060">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3908"/>
          </reference>
          <reference field="82" count="1">
            <x v="2426"/>
          </reference>
        </references>
      </pivotArea>
    </format>
    <format dxfId="1059">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3912"/>
          </reference>
          <reference field="82" count="1">
            <x v="2438"/>
          </reference>
        </references>
      </pivotArea>
    </format>
    <format dxfId="1058">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3913"/>
          </reference>
          <reference field="82" count="1">
            <x v="2439"/>
          </reference>
        </references>
      </pivotArea>
    </format>
    <format dxfId="1057">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3852"/>
          </reference>
          <reference field="82" count="1">
            <x v="2440"/>
          </reference>
        </references>
      </pivotArea>
    </format>
    <format dxfId="1056">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x v="2369"/>
          </reference>
        </references>
      </pivotArea>
    </format>
    <format dxfId="1055">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3912"/>
          </reference>
          <reference field="82" count="1">
            <x v="2438"/>
          </reference>
        </references>
      </pivotArea>
    </format>
    <format dxfId="1054">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3913"/>
          </reference>
          <reference field="82" count="1">
            <x v="2439"/>
          </reference>
        </references>
      </pivotArea>
    </format>
    <format dxfId="1053">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3852"/>
          </reference>
          <reference field="82" count="1">
            <x v="2440"/>
          </reference>
        </references>
      </pivotArea>
    </format>
    <format dxfId="1052">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3870"/>
          </reference>
          <reference field="82" count="1">
            <x v="2375"/>
          </reference>
        </references>
      </pivotArea>
    </format>
    <format dxfId="1051">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x v="2369"/>
          </reference>
        </references>
      </pivotArea>
    </format>
    <format dxfId="1050">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3917"/>
          </reference>
          <reference field="82" count="1">
            <x v="2444"/>
          </reference>
        </references>
      </pivotArea>
    </format>
    <format dxfId="1049">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3918"/>
          </reference>
          <reference field="82" count="1">
            <x v="2445"/>
          </reference>
        </references>
      </pivotArea>
    </format>
    <format dxfId="1048">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3862"/>
          </reference>
          <reference field="82" count="1">
            <x v="2446"/>
          </reference>
        </references>
      </pivotArea>
    </format>
    <format dxfId="1047">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3943"/>
          </reference>
          <reference field="82" count="1">
            <x v="2489"/>
          </reference>
        </references>
      </pivotArea>
    </format>
    <format dxfId="1046">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3948"/>
          </reference>
          <reference field="82" count="1">
            <x v="2488"/>
          </reference>
        </references>
      </pivotArea>
    </format>
    <format dxfId="1045">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3952"/>
          </reference>
          <reference field="82" count="1">
            <x v="2490"/>
          </reference>
        </references>
      </pivotArea>
    </format>
    <format dxfId="1044">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3917"/>
          </reference>
          <reference field="82" count="1">
            <x v="2444"/>
          </reference>
        </references>
      </pivotArea>
    </format>
    <format dxfId="1043">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3918"/>
          </reference>
          <reference field="82" count="1">
            <x v="2445"/>
          </reference>
        </references>
      </pivotArea>
    </format>
    <format dxfId="1042">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3862"/>
          </reference>
          <reference field="82" count="1">
            <x v="2446"/>
          </reference>
        </references>
      </pivotArea>
    </format>
    <format dxfId="1041">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3869"/>
          </reference>
          <reference field="82" count="1">
            <x v="2511"/>
          </reference>
        </references>
      </pivotArea>
    </format>
    <format dxfId="1040">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selected="0">
            <x v="3987"/>
          </reference>
          <reference field="82" count="1">
            <x v="2542"/>
          </reference>
        </references>
      </pivotArea>
    </format>
    <format dxfId="1039">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selected="0">
            <x v="3849"/>
          </reference>
          <reference field="82" count="1">
            <x v="2352"/>
          </reference>
        </references>
      </pivotArea>
    </format>
    <format dxfId="1038">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selected="0">
            <x v="3848"/>
          </reference>
          <reference field="82" count="1">
            <x v="2351"/>
          </reference>
        </references>
      </pivotArea>
    </format>
    <format dxfId="1037">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selected="0">
            <x v="3986"/>
          </reference>
          <reference field="82" count="1">
            <x v="2564"/>
          </reference>
        </references>
      </pivotArea>
    </format>
    <format dxfId="1036">
      <pivotArea dataOnly="0" labelOnly="1" outline="0" fieldPosition="0">
        <references count="10">
          <reference field="1" count="1" selected="0">
            <x v="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1035">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3979"/>
          </reference>
          <reference field="82" count="1">
            <x v="2521"/>
          </reference>
        </references>
      </pivotArea>
    </format>
    <format dxfId="1034">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3980"/>
          </reference>
          <reference field="82" count="1">
            <x v="2522"/>
          </reference>
        </references>
      </pivotArea>
    </format>
    <format dxfId="1033">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3981"/>
          </reference>
          <reference field="82" count="1">
            <x v="2523"/>
          </reference>
        </references>
      </pivotArea>
    </format>
    <format dxfId="1032">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3982"/>
          </reference>
          <reference field="82" count="1">
            <x v="2524"/>
          </reference>
        </references>
      </pivotArea>
    </format>
    <format dxfId="1031">
      <pivotArea dataOnly="0" labelOnly="1" outline="0" fieldPosition="0">
        <references count="10">
          <reference field="1" count="1" selected="0">
            <x v="7"/>
          </reference>
          <reference field="2" count="1" selected="0">
            <x v="4"/>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1030">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3849"/>
          </reference>
          <reference field="82" count="1">
            <x v="2352"/>
          </reference>
        </references>
      </pivotArea>
    </format>
    <format dxfId="1029">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3848"/>
          </reference>
          <reference field="82" count="1">
            <x v="2351"/>
          </reference>
        </references>
      </pivotArea>
    </format>
    <format dxfId="1028">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3979"/>
          </reference>
          <reference field="82" count="1">
            <x v="2521"/>
          </reference>
        </references>
      </pivotArea>
    </format>
    <format dxfId="1027">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3980"/>
          </reference>
          <reference field="82" count="1">
            <x v="2522"/>
          </reference>
        </references>
      </pivotArea>
    </format>
    <format dxfId="1026">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3981"/>
          </reference>
          <reference field="82" count="1">
            <x v="2523"/>
          </reference>
        </references>
      </pivotArea>
    </format>
    <format dxfId="1025">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3982"/>
          </reference>
          <reference field="82" count="1">
            <x v="2524"/>
          </reference>
        </references>
      </pivotArea>
    </format>
    <format dxfId="1024">
      <pivotArea dataOnly="0" labelOnly="1" outline="0" fieldPosition="0">
        <references count="10">
          <reference field="1" count="1" selected="0">
            <x v="7"/>
          </reference>
          <reference field="2" count="1" selected="0">
            <x v="4"/>
          </reference>
          <reference field="3" count="1" selected="0">
            <x v="1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1023">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3979"/>
          </reference>
          <reference field="82" count="1">
            <x v="2521"/>
          </reference>
        </references>
      </pivotArea>
    </format>
    <format dxfId="1022">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3980"/>
          </reference>
          <reference field="82" count="1">
            <x v="2522"/>
          </reference>
        </references>
      </pivotArea>
    </format>
    <format dxfId="1021">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3981"/>
          </reference>
          <reference field="82" count="1">
            <x v="2523"/>
          </reference>
        </references>
      </pivotArea>
    </format>
    <format dxfId="1020">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3982"/>
          </reference>
          <reference field="82" count="1">
            <x v="2524"/>
          </reference>
        </references>
      </pivotArea>
    </format>
    <format dxfId="1019">
      <pivotArea dataOnly="0" labelOnly="1" outline="0" fieldPosition="0">
        <references count="10">
          <reference field="1" count="1" selected="0">
            <x v="7"/>
          </reference>
          <reference field="2" count="1" selected="0">
            <x v="4"/>
          </reference>
          <reference field="3" count="1" selected="0">
            <x v="1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1018">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3862"/>
          </reference>
          <reference field="82" count="1">
            <x v="2446"/>
          </reference>
        </references>
      </pivotArea>
    </format>
    <format dxfId="1017">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3940"/>
          </reference>
          <reference field="82" count="1">
            <x v="2471"/>
          </reference>
        </references>
      </pivotArea>
    </format>
    <format dxfId="1016">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3939"/>
          </reference>
          <reference field="82" count="1">
            <x v="2470"/>
          </reference>
        </references>
      </pivotArea>
    </format>
    <format dxfId="1015">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866"/>
          </reference>
          <reference field="82" count="1">
            <x v="2370"/>
          </reference>
        </references>
      </pivotArea>
    </format>
    <format dxfId="1014">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3867"/>
          </reference>
          <reference field="82" count="1">
            <x v="2371"/>
          </reference>
        </references>
      </pivotArea>
    </format>
    <format dxfId="1013">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x v="2372"/>
          </reference>
        </references>
      </pivotArea>
    </format>
    <format dxfId="1012">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3903"/>
          </reference>
          <reference field="82" count="1">
            <x v="2417"/>
          </reference>
        </references>
      </pivotArea>
    </format>
    <format dxfId="1011">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3893"/>
          </reference>
          <reference field="82" count="1">
            <x v="2418"/>
          </reference>
        </references>
      </pivotArea>
    </format>
    <format dxfId="1010">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3904"/>
          </reference>
          <reference field="82" count="1">
            <x v="2419"/>
          </reference>
        </references>
      </pivotArea>
    </format>
    <format dxfId="1009">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3905"/>
          </reference>
          <reference field="82" count="1">
            <x v="2420"/>
          </reference>
        </references>
      </pivotArea>
    </format>
    <format dxfId="1008">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3928"/>
          </reference>
          <reference field="82" count="1">
            <x v="2477"/>
          </reference>
        </references>
      </pivotArea>
    </format>
    <format dxfId="1007">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3947"/>
          </reference>
          <reference field="82" count="1">
            <x v="2481"/>
          </reference>
        </references>
      </pivotArea>
    </format>
    <format dxfId="1006">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3948"/>
          </reference>
          <reference field="82" count="1">
            <x v="2482"/>
          </reference>
        </references>
      </pivotArea>
    </format>
    <format dxfId="1005">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3977"/>
          </reference>
          <reference field="82" count="1">
            <x v="2518"/>
          </reference>
        </references>
      </pivotArea>
    </format>
    <format dxfId="1004">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3869"/>
          </reference>
          <reference field="82" count="1">
            <x v="2519"/>
          </reference>
        </references>
      </pivotArea>
    </format>
    <format dxfId="1003">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selected="0">
            <x v="3858"/>
          </reference>
          <reference field="82" count="1">
            <x v="2362"/>
          </reference>
        </references>
      </pivotArea>
    </format>
    <format dxfId="1002">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selected="0">
            <x v="3860"/>
          </reference>
          <reference field="82" count="1">
            <x v="2364"/>
          </reference>
        </references>
      </pivotArea>
    </format>
    <format dxfId="1001">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selected="0">
            <x v="3861"/>
          </reference>
          <reference field="82" count="1">
            <x v="2365"/>
          </reference>
        </references>
      </pivotArea>
    </format>
    <format dxfId="1000">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3862"/>
          </reference>
          <reference field="82" count="1">
            <x v="2366"/>
          </reference>
        </references>
      </pivotArea>
    </format>
    <format dxfId="999">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selected="0">
            <x v="3859"/>
          </reference>
          <reference field="82" count="1">
            <x v="2363"/>
          </reference>
        </references>
      </pivotArea>
    </format>
    <format dxfId="998">
      <pivotArea dataOnly="0" labelOnly="1" outline="0" fieldPosition="0">
        <references count="10">
          <reference field="1" count="1" selected="0">
            <x v="10"/>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x v="10"/>
          </reference>
        </references>
      </pivotArea>
    </format>
    <format dxfId="997">
      <pivotArea dataOnly="0" labelOnly="1" outline="0" fieldPosition="0">
        <references count="10">
          <reference field="1" count="1" selected="0">
            <x v="11"/>
          </reference>
          <reference field="2" count="1" selected="0">
            <x v="10"/>
          </reference>
          <reference field="3" count="1" selected="0">
            <x v="15"/>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x v="11"/>
          </reference>
        </references>
      </pivotArea>
    </format>
    <format dxfId="996">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866"/>
          </reference>
          <reference field="82" count="1">
            <x v="2370"/>
          </reference>
        </references>
      </pivotArea>
    </format>
    <format dxfId="995">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3867"/>
          </reference>
          <reference field="82" count="1">
            <x v="2371"/>
          </reference>
        </references>
      </pivotArea>
    </format>
    <format dxfId="994">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866"/>
          </reference>
          <reference field="82" count="1">
            <x v="2370"/>
          </reference>
        </references>
      </pivotArea>
    </format>
    <format dxfId="993">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3867"/>
          </reference>
          <reference field="82" count="1">
            <x v="2371"/>
          </reference>
        </references>
      </pivotArea>
    </format>
    <format dxfId="992">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x v="2372"/>
          </reference>
        </references>
      </pivotArea>
    </format>
    <format dxfId="991">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3901"/>
          </reference>
          <reference field="82" count="1">
            <x v="2413"/>
          </reference>
        </references>
      </pivotArea>
    </format>
    <format dxfId="990">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3899"/>
          </reference>
          <reference field="82" count="1">
            <x v="2414"/>
          </reference>
        </references>
      </pivotArea>
    </format>
    <format dxfId="989">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3902"/>
          </reference>
          <reference field="82" count="1">
            <x v="2415"/>
          </reference>
        </references>
      </pivotArea>
    </format>
    <format dxfId="988">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3894"/>
          </reference>
          <reference field="82" count="1">
            <x v="2416"/>
          </reference>
        </references>
      </pivotArea>
    </format>
    <format dxfId="987">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3860"/>
          </reference>
          <reference field="82" count="1">
            <x v="2478"/>
          </reference>
        </references>
      </pivotArea>
    </format>
    <format dxfId="986">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3926"/>
          </reference>
          <reference field="82" count="1">
            <x v="2479"/>
          </reference>
        </references>
      </pivotArea>
    </format>
    <format dxfId="985">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3946"/>
          </reference>
          <reference field="82" count="1">
            <x v="2480"/>
          </reference>
        </references>
      </pivotArea>
    </format>
    <format dxfId="984">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3977"/>
          </reference>
          <reference field="82" count="1">
            <x v="2518"/>
          </reference>
        </references>
      </pivotArea>
    </format>
    <format dxfId="983">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selected="0">
            <x v="3863"/>
          </reference>
          <reference field="82" count="1">
            <x v="2367"/>
          </reference>
        </references>
      </pivotArea>
    </format>
    <format dxfId="982">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3862"/>
          </reference>
          <reference field="82" count="1">
            <x v="2366"/>
          </reference>
        </references>
      </pivotArea>
    </format>
    <format dxfId="981">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selected="0">
            <x v="3859"/>
          </reference>
          <reference field="82" count="1">
            <x v="2363"/>
          </reference>
        </references>
      </pivotArea>
    </format>
    <format dxfId="980">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866"/>
          </reference>
          <reference field="82" count="1">
            <x v="2370"/>
          </reference>
        </references>
      </pivotArea>
    </format>
    <format dxfId="979">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3867"/>
          </reference>
          <reference field="82" count="1">
            <x v="2371"/>
          </reference>
        </references>
      </pivotArea>
    </format>
    <format dxfId="978">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3848"/>
          </reference>
          <reference field="82" count="1">
            <x v="2356"/>
          </reference>
        </references>
      </pivotArea>
    </format>
    <format dxfId="977">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3852"/>
          </reference>
          <reference field="82" count="1">
            <x v="2355"/>
          </reference>
        </references>
      </pivotArea>
    </format>
    <format dxfId="976">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3850"/>
          </reference>
          <reference field="82" count="1">
            <x v="2353"/>
          </reference>
        </references>
      </pivotArea>
    </format>
    <format dxfId="975">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3851"/>
          </reference>
          <reference field="82" count="1">
            <x v="2354"/>
          </reference>
        </references>
      </pivotArea>
    </format>
    <format dxfId="974">
      <pivotArea dataOnly="0" labelOnly="1" outline="0" fieldPosition="0">
        <references count="10">
          <reference field="1" count="1" selected="0">
            <x v="13"/>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x v="8"/>
          </reference>
        </references>
      </pivotArea>
    </format>
    <format dxfId="973">
      <pivotArea dataOnly="0" labelOnly="1" outline="0" fieldPosition="0">
        <references count="10">
          <reference field="1" count="1" selected="0">
            <x v="14"/>
          </reference>
          <reference field="2" count="1" selected="0">
            <x v="10"/>
          </reference>
          <reference field="3" count="1" selected="0">
            <x v="15"/>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x v="9"/>
          </reference>
        </references>
      </pivotArea>
    </format>
    <format dxfId="972">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3911"/>
          </reference>
          <reference field="82" count="1">
            <x v="2429"/>
          </reference>
        </references>
      </pivotArea>
    </format>
    <format dxfId="971">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3941"/>
          </reference>
          <reference field="82" count="1">
            <x v="2472"/>
          </reference>
        </references>
      </pivotArea>
    </format>
    <format dxfId="970">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3942"/>
          </reference>
          <reference field="82" count="1">
            <x v="2473"/>
          </reference>
        </references>
      </pivotArea>
    </format>
    <format dxfId="969">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3943"/>
          </reference>
          <reference field="82" count="1">
            <x v="2474"/>
          </reference>
        </references>
      </pivotArea>
    </format>
    <format dxfId="968">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3949"/>
          </reference>
          <reference field="82" count="1">
            <x v="2484"/>
          </reference>
        </references>
      </pivotArea>
    </format>
    <format dxfId="967">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3927"/>
          </reference>
          <reference field="82" count="1">
            <x v="2485"/>
          </reference>
        </references>
      </pivotArea>
    </format>
    <format dxfId="966">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3859"/>
          </reference>
          <reference field="82" count="1">
            <x v="2483"/>
          </reference>
        </references>
      </pivotArea>
    </format>
    <format dxfId="965">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3911"/>
          </reference>
          <reference field="82" count="1">
            <x v="2429"/>
          </reference>
        </references>
      </pivotArea>
    </format>
    <format dxfId="964">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3944"/>
          </reference>
          <reference field="82" count="1">
            <x v="2475"/>
          </reference>
        </references>
      </pivotArea>
    </format>
    <format dxfId="963">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3945"/>
          </reference>
          <reference field="82" count="1">
            <x v="2476"/>
          </reference>
        </references>
      </pivotArea>
    </format>
    <format dxfId="962">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3928"/>
          </reference>
          <reference field="82" count="1">
            <x v="2477"/>
          </reference>
        </references>
      </pivotArea>
    </format>
    <format dxfId="961">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3949"/>
          </reference>
          <reference field="82" count="1">
            <x v="2484"/>
          </reference>
        </references>
      </pivotArea>
    </format>
    <format dxfId="960">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3927"/>
          </reference>
          <reference field="82" count="1">
            <x v="2485"/>
          </reference>
        </references>
      </pivotArea>
    </format>
    <format dxfId="95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3950"/>
          </reference>
          <reference field="82" count="1">
            <x v="2486"/>
          </reference>
        </references>
      </pivotArea>
    </format>
    <format dxfId="95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3859"/>
          </reference>
          <reference field="82" count="1">
            <x v="2483"/>
          </reference>
        </references>
      </pivotArea>
    </format>
    <format dxfId="957">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3951"/>
          </reference>
          <reference field="82" count="1">
            <x v="2487"/>
          </reference>
        </references>
      </pivotArea>
    </format>
    <format dxfId="956">
      <pivotArea dataOnly="0" labelOnly="1" outline="0" fieldPosition="0">
        <references count="10">
          <reference field="1" count="1" selected="0">
            <x v="1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955">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3975"/>
          </reference>
          <reference field="82" count="1">
            <x v="2516"/>
          </reference>
        </references>
      </pivotArea>
    </format>
    <format dxfId="954">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3976"/>
          </reference>
          <reference field="82" count="1">
            <x v="2517"/>
          </reference>
        </references>
      </pivotArea>
    </format>
    <format dxfId="953">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selected="0">
            <x v="3990"/>
          </reference>
          <reference field="82" count="1">
            <x v="2545"/>
          </reference>
        </references>
      </pivotArea>
    </format>
    <format dxfId="952">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selected="0">
            <x v="3991"/>
          </reference>
          <reference field="82" count="1">
            <x v="2546"/>
          </reference>
        </references>
      </pivotArea>
    </format>
    <format dxfId="951">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selected="0">
            <x v="3992"/>
          </reference>
          <reference field="82" count="1">
            <x v="2547"/>
          </reference>
        </references>
      </pivotArea>
    </format>
    <format dxfId="950">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selected="0">
            <x v="3981"/>
          </reference>
          <reference field="82" count="1">
            <x v="2523"/>
          </reference>
        </references>
      </pivotArea>
    </format>
    <format dxfId="949">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selected="0">
            <x v="3912"/>
          </reference>
          <reference field="82" count="1">
            <x v="2438"/>
          </reference>
        </references>
      </pivotArea>
    </format>
    <format dxfId="948">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selected="0">
            <x v="3994"/>
          </reference>
          <reference field="82" count="1">
            <x v="2552"/>
          </reference>
        </references>
      </pivotArea>
    </format>
    <format dxfId="947">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selected="0">
            <x v="3995"/>
          </reference>
          <reference field="82" count="1">
            <x v="2553"/>
          </reference>
        </references>
      </pivotArea>
    </format>
    <format dxfId="946">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selected="0">
            <x v="3953"/>
          </reference>
          <reference field="82" count="1">
            <x v="2554"/>
          </reference>
        </references>
      </pivotArea>
    </format>
    <format dxfId="945">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3912"/>
          </reference>
          <reference field="82" count="1">
            <x v="2549"/>
          </reference>
        </references>
      </pivotArea>
    </format>
    <format dxfId="944">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3994"/>
          </reference>
          <reference field="82" count="1">
            <x v="2550"/>
          </reference>
        </references>
      </pivotArea>
    </format>
    <format dxfId="943">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3954"/>
          </reference>
          <reference field="82" count="1">
            <x v="2551"/>
          </reference>
        </references>
      </pivotArea>
    </format>
    <format dxfId="942">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3993"/>
          </reference>
          <reference field="82" count="1">
            <x v="2548"/>
          </reference>
        </references>
      </pivotArea>
    </format>
    <format dxfId="941">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3866"/>
          </reference>
          <reference field="82" count="1">
            <x v="2380"/>
          </reference>
        </references>
      </pivotArea>
    </format>
    <format dxfId="940">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3873"/>
          </reference>
          <reference field="82" count="1">
            <x v="2381"/>
          </reference>
        </references>
      </pivotArea>
    </format>
    <format dxfId="939">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3963"/>
          </reference>
          <reference field="82" count="1">
            <x v="2502"/>
          </reference>
        </references>
      </pivotArea>
    </format>
    <format dxfId="938">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3933"/>
          </reference>
          <reference field="82" count="1">
            <x v="2560"/>
          </reference>
        </references>
      </pivotArea>
    </format>
    <format dxfId="937">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3931"/>
          </reference>
          <reference field="82" count="1">
            <x v="2561"/>
          </reference>
        </references>
      </pivotArea>
    </format>
    <format dxfId="936">
      <pivotArea dataOnly="0" labelOnly="1" outline="0" fieldPosition="0">
        <references count="10">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6"/>
          </reference>
          <reference field="81" count="1" selected="0">
            <x v="1030"/>
          </reference>
          <reference field="82" count="1">
            <x v="26"/>
          </reference>
        </references>
      </pivotArea>
    </format>
    <format dxfId="935">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3997"/>
          </reference>
          <reference field="82" count="1">
            <x v="2563"/>
          </reference>
        </references>
      </pivotArea>
    </format>
    <format dxfId="934">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890"/>
          </reference>
          <reference field="82" count="1">
            <x v="2402"/>
          </reference>
        </references>
      </pivotArea>
    </format>
    <format dxfId="933">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885"/>
          </reference>
          <reference field="82" count="1">
            <x v="2397"/>
          </reference>
        </references>
      </pivotArea>
    </format>
    <format dxfId="932">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891"/>
          </reference>
          <reference field="82" count="1">
            <x v="2403"/>
          </reference>
        </references>
      </pivotArea>
    </format>
    <format dxfId="931">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892"/>
          </reference>
          <reference field="82" count="1">
            <x v="2404"/>
          </reference>
        </references>
      </pivotArea>
    </format>
    <format dxfId="930">
      <pivotArea dataOnly="0" labelOnly="1" outline="0" fieldPosition="0">
        <references count="10">
          <reference field="1" count="1" selected="0">
            <x v="21"/>
          </reference>
          <reference field="2" count="1" selected="0">
            <x v="5"/>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929">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858"/>
          </reference>
          <reference field="82" count="1">
            <x v="2362"/>
          </reference>
        </references>
      </pivotArea>
    </format>
    <format dxfId="928">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3952"/>
          </reference>
          <reference field="82" count="1">
            <x v="2529"/>
          </reference>
        </references>
      </pivotArea>
    </format>
    <format dxfId="92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3917"/>
          </reference>
          <reference field="82" count="1">
            <x v="2530"/>
          </reference>
        </references>
      </pivotArea>
    </format>
    <format dxfId="926">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3950"/>
          </reference>
          <reference field="82" count="1">
            <x v="2532"/>
          </reference>
        </references>
      </pivotArea>
    </format>
    <format dxfId="925">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3939"/>
          </reference>
          <reference field="82" count="1">
            <x v="2531"/>
          </reference>
        </references>
      </pivotArea>
    </format>
    <format dxfId="924">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890"/>
          </reference>
          <reference field="82" count="1">
            <x v="2402"/>
          </reference>
        </references>
      </pivotArea>
    </format>
    <format dxfId="923">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885"/>
          </reference>
          <reference field="82" count="1">
            <x v="2397"/>
          </reference>
        </references>
      </pivotArea>
    </format>
    <format dxfId="922">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891"/>
          </reference>
          <reference field="82" count="1">
            <x v="2403"/>
          </reference>
        </references>
      </pivotArea>
    </format>
    <format dxfId="921">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892"/>
          </reference>
          <reference field="82" count="1">
            <x v="2404"/>
          </reference>
        </references>
      </pivotArea>
    </format>
    <format dxfId="920">
      <pivotArea dataOnly="0" labelOnly="1" outline="0" fieldPosition="0">
        <references count="10">
          <reference field="1" count="1" selected="0">
            <x v="21"/>
          </reference>
          <reference field="2" count="1" selected="0">
            <x v="5"/>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919">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858"/>
          </reference>
          <reference field="82" count="1">
            <x v="2362"/>
          </reference>
        </references>
      </pivotArea>
    </format>
    <format dxfId="918">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3952"/>
          </reference>
          <reference field="82" count="1">
            <x v="2529"/>
          </reference>
        </references>
      </pivotArea>
    </format>
    <format dxfId="917">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3917"/>
          </reference>
          <reference field="82" count="1">
            <x v="2530"/>
          </reference>
        </references>
      </pivotArea>
    </format>
    <format dxfId="916">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3950"/>
          </reference>
          <reference field="82" count="1">
            <x v="2532"/>
          </reference>
        </references>
      </pivotArea>
    </format>
    <format dxfId="915">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3939"/>
          </reference>
          <reference field="82" count="1">
            <x v="2531"/>
          </reference>
        </references>
      </pivotArea>
    </format>
    <format dxfId="914">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890"/>
          </reference>
          <reference field="82" count="1">
            <x v="2402"/>
          </reference>
        </references>
      </pivotArea>
    </format>
    <format dxfId="913">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885"/>
          </reference>
          <reference field="82" count="1">
            <x v="2397"/>
          </reference>
        </references>
      </pivotArea>
    </format>
    <format dxfId="912">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891"/>
          </reference>
          <reference field="82" count="1">
            <x v="2403"/>
          </reference>
        </references>
      </pivotArea>
    </format>
    <format dxfId="911">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892"/>
          </reference>
          <reference field="82" count="1">
            <x v="2404"/>
          </reference>
        </references>
      </pivotArea>
    </format>
    <format dxfId="910">
      <pivotArea dataOnly="0" labelOnly="1" outline="0" fieldPosition="0">
        <references count="10">
          <reference field="1" count="1" selected="0">
            <x v="21"/>
          </reference>
          <reference field="2" count="1" selected="0">
            <x v="5"/>
          </reference>
          <reference field="3" count="1" selected="0">
            <x v="12"/>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909">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858"/>
          </reference>
          <reference field="82" count="1">
            <x v="2362"/>
          </reference>
        </references>
      </pivotArea>
    </format>
    <format dxfId="908">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3952"/>
          </reference>
          <reference field="82" count="1">
            <x v="2529"/>
          </reference>
        </references>
      </pivotArea>
    </format>
    <format dxfId="907">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3917"/>
          </reference>
          <reference field="82" count="1">
            <x v="2530"/>
          </reference>
        </references>
      </pivotArea>
    </format>
    <format dxfId="906">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3950"/>
          </reference>
          <reference field="82" count="1">
            <x v="2532"/>
          </reference>
        </references>
      </pivotArea>
    </format>
    <format dxfId="905">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3939"/>
          </reference>
          <reference field="82" count="1">
            <x v="2531"/>
          </reference>
        </references>
      </pivotArea>
    </format>
    <format dxfId="904">
      <pivotArea dataOnly="0" labelOnly="1" outline="0" fieldPosition="0">
        <references count="10">
          <reference field="1" count="1" selected="0">
            <x v="21"/>
          </reference>
          <reference field="2" count="1" selected="0">
            <x v="5"/>
          </reference>
          <reference field="3" count="1" selected="0">
            <x v="19"/>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903">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selected="0">
            <x v="3996"/>
          </reference>
          <reference field="82" count="1">
            <x v="2556"/>
          </reference>
        </references>
      </pivotArea>
    </format>
    <format dxfId="902">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990"/>
          </reference>
          <reference field="82" count="1">
            <x v="2559"/>
          </reference>
        </references>
      </pivotArea>
    </format>
    <format dxfId="901">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939"/>
          </reference>
          <reference field="82" count="1">
            <x v="2557"/>
          </reference>
        </references>
      </pivotArea>
    </format>
    <format dxfId="900">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989"/>
          </reference>
          <reference field="82" count="1">
            <x v="2558"/>
          </reference>
        </references>
      </pivotArea>
    </format>
    <format dxfId="899">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3862"/>
          </reference>
          <reference field="82" count="1">
            <x v="2366"/>
          </reference>
        </references>
      </pivotArea>
    </format>
    <format dxfId="898">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849"/>
          </reference>
          <reference field="82" count="1">
            <x v="2537"/>
          </reference>
        </references>
      </pivotArea>
    </format>
    <format dxfId="897">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988"/>
          </reference>
          <reference field="82" count="1">
            <x v="2538"/>
          </reference>
        </references>
      </pivotArea>
    </format>
    <format dxfId="896">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913"/>
          </reference>
          <reference field="82" count="1">
            <x v="2539"/>
          </reference>
        </references>
      </pivotArea>
    </format>
    <format dxfId="895">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3862"/>
          </reference>
          <reference field="82" count="1">
            <x v="2366"/>
          </reference>
        </references>
      </pivotArea>
    </format>
    <format dxfId="894">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849"/>
          </reference>
          <reference field="82" count="1">
            <x v="2537"/>
          </reference>
        </references>
      </pivotArea>
    </format>
    <format dxfId="893">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988"/>
          </reference>
          <reference field="82" count="1">
            <x v="2538"/>
          </reference>
        </references>
      </pivotArea>
    </format>
    <format dxfId="892">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913"/>
          </reference>
          <reference field="82" count="1">
            <x v="2539"/>
          </reference>
        </references>
      </pivotArea>
    </format>
    <format dxfId="891">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selected="0">
            <x v="3857"/>
          </reference>
          <reference field="82" count="1">
            <x v="2526"/>
          </reference>
        </references>
      </pivotArea>
    </format>
    <format dxfId="890">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selected="0">
            <x v="3984"/>
          </reference>
          <reference field="82" count="1">
            <x v="2527"/>
          </reference>
        </references>
      </pivotArea>
    </format>
    <format dxfId="889">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selected="0">
            <x v="3983"/>
          </reference>
          <reference field="82" count="1">
            <x v="2525"/>
          </reference>
        </references>
      </pivotArea>
    </format>
    <format dxfId="888">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selected="0">
            <x v="3985"/>
          </reference>
          <reference field="82" count="1">
            <x v="2528"/>
          </reference>
        </references>
      </pivotArea>
    </format>
    <format dxfId="887">
      <pivotArea dataOnly="0" labelOnly="1" outline="0" fieldPosition="0">
        <references count="10">
          <reference field="1" count="1" selected="0">
            <x v="25"/>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x v="7"/>
          </reference>
        </references>
      </pivotArea>
    </format>
    <format dxfId="886">
      <pivotArea dataOnly="0" labelOnly="1" outline="0" fieldPosition="0">
        <references count="10">
          <reference field="1" count="1" selected="0">
            <x v="26"/>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x v="6"/>
          </reference>
        </references>
      </pivotArea>
    </format>
    <format dxfId="885">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3961"/>
          </reference>
          <reference field="82" count="1">
            <x v="2500"/>
          </reference>
        </references>
      </pivotArea>
    </format>
    <format dxfId="884">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3962"/>
          </reference>
          <reference field="82" count="1">
            <x v="2501"/>
          </reference>
        </references>
      </pivotArea>
    </format>
    <format dxfId="883">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3960"/>
          </reference>
          <reference field="82" count="1">
            <x v="2499"/>
          </reference>
        </references>
      </pivotArea>
    </format>
    <format dxfId="882">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890"/>
          </reference>
          <reference field="82" count="1">
            <x v="2402"/>
          </reference>
        </references>
      </pivotArea>
    </format>
    <format dxfId="881">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885"/>
          </reference>
          <reference field="82" count="1">
            <x v="2397"/>
          </reference>
        </references>
      </pivotArea>
    </format>
    <format dxfId="880">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891"/>
          </reference>
          <reference field="82" count="1">
            <x v="2403"/>
          </reference>
        </references>
      </pivotArea>
    </format>
    <format dxfId="879">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892"/>
          </reference>
          <reference field="82" count="1">
            <x v="2404"/>
          </reference>
        </references>
      </pivotArea>
    </format>
    <format dxfId="878">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3936"/>
          </reference>
          <reference field="82" count="1">
            <x v="2533"/>
          </reference>
        </references>
      </pivotArea>
    </format>
    <format dxfId="877">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3987"/>
          </reference>
          <reference field="82" count="1">
            <x v="2535"/>
          </reference>
        </references>
      </pivotArea>
    </format>
    <format dxfId="876">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3940"/>
          </reference>
          <reference field="82" count="1">
            <x v="2536"/>
          </reference>
        </references>
      </pivotArea>
    </format>
    <format dxfId="875">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3986"/>
          </reference>
          <reference field="82" count="1">
            <x v="2534"/>
          </reference>
        </references>
      </pivotArea>
    </format>
    <format dxfId="874">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3936"/>
          </reference>
          <reference field="82" count="1">
            <x v="2533"/>
          </reference>
        </references>
      </pivotArea>
    </format>
    <format dxfId="873">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3987"/>
          </reference>
          <reference field="82" count="1">
            <x v="2535"/>
          </reference>
        </references>
      </pivotArea>
    </format>
    <format dxfId="872">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3940"/>
          </reference>
          <reference field="82" count="1">
            <x v="2536"/>
          </reference>
        </references>
      </pivotArea>
    </format>
    <format dxfId="871">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3986"/>
          </reference>
          <reference field="82" count="1">
            <x v="2534"/>
          </reference>
        </references>
      </pivotArea>
    </format>
    <format dxfId="870">
      <pivotArea dataOnly="0" labelOnly="1" outline="0" fieldPosition="0">
        <references count="10">
          <reference field="1" count="1" selected="0">
            <x v="29"/>
          </reference>
          <reference field="2" count="1" selected="0">
            <x v="2"/>
          </reference>
          <reference field="3" count="1" selected="0">
            <x v="10"/>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869">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3854"/>
          </reference>
          <reference field="82" count="1">
            <x v="2358"/>
          </reference>
        </references>
      </pivotArea>
    </format>
    <format dxfId="868">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3998"/>
          </reference>
          <reference field="82" count="1">
            <x v="2565"/>
          </reference>
        </references>
      </pivotArea>
    </format>
    <format dxfId="867">
      <pivotArea dataOnly="0" labelOnly="1" outline="0" fieldPosition="0">
        <references count="10">
          <reference field="1" count="1" selected="0">
            <x v="29"/>
          </reference>
          <reference field="2" count="1" selected="0">
            <x v="2"/>
          </reference>
          <reference field="3" count="1" selected="0">
            <x v="18"/>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866">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3881"/>
          </reference>
          <reference field="82" count="1">
            <x v="2392"/>
          </reference>
        </references>
      </pivotArea>
    </format>
    <format dxfId="865">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3855"/>
          </reference>
          <reference field="82" count="1">
            <x v="2359"/>
          </reference>
        </references>
      </pivotArea>
    </format>
    <format dxfId="864">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3881"/>
          </reference>
          <reference field="82" count="1">
            <x v="2393"/>
          </reference>
        </references>
      </pivotArea>
    </format>
    <format dxfId="863">
      <pivotArea dataOnly="0" labelOnly="1" outline="0" fieldPosition="0">
        <references count="10">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1"/>
          </reference>
          <reference field="81" count="1" selected="0">
            <x v="3028"/>
          </reference>
          <reference field="82" count="1">
            <x v="1453"/>
          </reference>
        </references>
      </pivotArea>
    </format>
    <format dxfId="862">
      <pivotArea dataOnly="0" labelOnly="1" outline="0" fieldPosition="0">
        <references count="10">
          <reference field="1" count="1" selected="0">
            <x v="30"/>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x v="25"/>
          </reference>
        </references>
      </pivotArea>
    </format>
    <format dxfId="861">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4000"/>
          </reference>
          <reference field="82" count="1">
            <x v="2567"/>
          </reference>
        </references>
      </pivotArea>
    </format>
    <format dxfId="860">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4002"/>
          </reference>
          <reference field="82" count="1">
            <x v="2569"/>
          </reference>
        </references>
      </pivotArea>
    </format>
    <format dxfId="859">
      <pivotArea dataOnly="0" labelOnly="1" outline="0" fieldPosition="0">
        <references count="10">
          <reference field="1" count="1" selected="0">
            <x v="30"/>
          </reference>
          <reference field="2" count="1" selected="0">
            <x v="14"/>
          </reference>
          <reference field="3" count="1" selected="0">
            <x v="22"/>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1"/>
          </reference>
        </references>
      </pivotArea>
    </format>
    <format dxfId="858">
      <pivotArea dataOnly="0" labelOnly="1" outline="0" fieldPosition="0">
        <references count="10">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4"/>
          </reference>
          <reference field="81" count="1" selected="0">
            <x v="3031"/>
          </reference>
          <reference field="82" count="1">
            <x v="1456"/>
          </reference>
        </references>
      </pivotArea>
    </format>
    <format dxfId="857">
      <pivotArea dataOnly="0" labelOnly="1" outline="0" fieldPosition="0">
        <references count="10">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selected="0">
            <x v="3029"/>
          </reference>
          <reference field="82" count="1">
            <x v="1454"/>
          </reference>
        </references>
      </pivotArea>
    </format>
    <format dxfId="856">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4001"/>
          </reference>
          <reference field="82" count="1">
            <x v="2568"/>
          </reference>
        </references>
      </pivotArea>
    </format>
    <format dxfId="855">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3877"/>
          </reference>
          <reference field="82" count="1">
            <x v="2385"/>
          </reference>
        </references>
      </pivotArea>
    </format>
    <format dxfId="854">
      <pivotArea dataOnly="0" labelOnly="1" outline="0" fieldPosition="0">
        <references count="10">
          <reference field="1" count="1" selected="0">
            <x v="32"/>
          </reference>
          <reference field="2" count="1" selected="0">
            <x v="1"/>
          </reference>
          <reference field="3" count="1" selected="0">
            <x v="8"/>
          </reference>
          <reference field="5" count="1" selected="0">
            <x v="13"/>
          </reference>
          <reference field="13" count="1" selected="0">
            <x v="2"/>
          </reference>
          <reference field="22" count="1" selected="0">
            <x v="17"/>
          </reference>
          <reference field="23" count="1" selected="0">
            <x v="2"/>
          </reference>
          <reference field="72" count="1" selected="0">
            <x v="206"/>
          </reference>
          <reference field="81" count="1" selected="0">
            <x v="4003"/>
          </reference>
          <reference field="82" count="1">
            <x v="2570"/>
          </reference>
        </references>
      </pivotArea>
    </format>
    <format dxfId="853">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4002"/>
          </reference>
          <reference field="82" count="1">
            <x v="2569"/>
          </reference>
        </references>
      </pivotArea>
    </format>
    <format dxfId="852">
      <pivotArea dataOnly="0" labelOnly="1" outline="0" fieldPosition="0">
        <references count="10">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selected="0">
            <x v="3029"/>
          </reference>
          <reference field="82" count="1">
            <x v="1454"/>
          </reference>
        </references>
      </pivotArea>
    </format>
    <format dxfId="851">
      <pivotArea dataOnly="0" labelOnly="1" outline="0" fieldPosition="0">
        <references count="10">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5"/>
          </reference>
          <reference field="81" count="1" selected="0">
            <x v="3032"/>
          </reference>
          <reference field="82" count="1">
            <x v="1457"/>
          </reference>
        </references>
      </pivotArea>
    </format>
    <format dxfId="850">
      <pivotArea dataOnly="0" labelOnly="1" outline="0" fieldPosition="0">
        <references count="10">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3"/>
          </reference>
          <reference field="81" count="1" selected="0">
            <x v="3030"/>
          </reference>
          <reference field="82" count="1">
            <x v="1455"/>
          </reference>
        </references>
      </pivotArea>
    </format>
    <format dxfId="849">
      <pivotArea dataOnly="0" labelOnly="1" outline="0" fieldPosition="0">
        <references count="10">
          <reference field="1" count="1" selected="0">
            <x v="35"/>
          </reference>
          <reference field="2" count="1" selected="0">
            <x v="13"/>
          </reference>
          <reference field="3" count="1" selected="0">
            <x v="15"/>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848">
      <pivotArea dataOnly="0" labelOnly="1" outline="0" fieldPosition="0">
        <references count="10">
          <reference field="1" count="1" selected="0">
            <x v="36"/>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847">
      <pivotArea dataOnly="0" labelOnly="1" outline="0" fieldPosition="0">
        <references count="10">
          <reference field="1" count="1" selected="0">
            <x v="36"/>
          </reference>
          <reference field="2" count="1" selected="0">
            <x v="15"/>
          </reference>
          <reference field="3"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2"/>
          </reference>
        </references>
      </pivotArea>
    </format>
    <format dxfId="846">
      <pivotArea dataOnly="0" labelOnly="1" outline="0" fieldPosition="0">
        <references count="10">
          <reference field="1" count="1" selected="0">
            <x v="36"/>
          </reference>
          <reference field="2" count="1" selected="0">
            <x v="0"/>
          </reference>
          <reference field="3" count="1" selected="0">
            <x v="16"/>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845">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3853"/>
          </reference>
          <reference field="82" count="1">
            <x v="2357"/>
          </reference>
        </references>
      </pivotArea>
    </format>
    <format dxfId="844">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3930"/>
          </reference>
          <reference field="82" count="1">
            <x v="2562"/>
          </reference>
        </references>
      </pivotArea>
    </format>
    <format dxfId="84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3954"/>
          </reference>
          <reference field="82" count="1">
            <x v="2492"/>
          </reference>
        </references>
      </pivotArea>
    </format>
    <format dxfId="84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3955"/>
          </reference>
          <reference field="82" count="1">
            <x v="2493"/>
          </reference>
        </references>
      </pivotArea>
    </format>
    <format dxfId="84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3960"/>
          </reference>
          <reference field="82" count="1">
            <x v="2498"/>
          </reference>
        </references>
      </pivotArea>
    </format>
    <format dxfId="84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3958"/>
          </reference>
          <reference field="82" count="1">
            <x v="2496"/>
          </reference>
        </references>
      </pivotArea>
    </format>
    <format dxfId="83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3957"/>
          </reference>
          <reference field="82" count="1">
            <x v="2495"/>
          </reference>
        </references>
      </pivotArea>
    </format>
    <format dxfId="83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3956"/>
          </reference>
          <reference field="82" count="1">
            <x v="2494"/>
          </reference>
        </references>
      </pivotArea>
    </format>
    <format dxfId="83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3953"/>
          </reference>
          <reference field="82" count="1">
            <x v="2491"/>
          </reference>
        </references>
      </pivotArea>
    </format>
    <format dxfId="83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3959"/>
          </reference>
          <reference field="82" count="1">
            <x v="2497"/>
          </reference>
        </references>
      </pivotArea>
    </format>
    <format dxfId="835">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3999"/>
          </reference>
          <reference field="82" count="1">
            <x v="2566"/>
          </reference>
        </references>
      </pivotArea>
    </format>
    <format dxfId="834">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3880"/>
          </reference>
          <reference field="82" count="1">
            <x v="2391"/>
          </reference>
        </references>
      </pivotArea>
    </format>
    <format dxfId="833">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3879"/>
          </reference>
          <reference field="82" count="1">
            <x v="2389"/>
          </reference>
        </references>
      </pivotArea>
    </format>
    <format dxfId="832">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3954"/>
          </reference>
          <reference field="82" count="1">
            <x v="2492"/>
          </reference>
        </references>
      </pivotArea>
    </format>
    <format dxfId="831">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3953"/>
          </reference>
          <reference field="82" count="1">
            <x v="2491"/>
          </reference>
        </references>
      </pivotArea>
    </format>
    <format dxfId="830">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3879"/>
          </reference>
          <reference field="82" count="1">
            <x v="2390"/>
          </reference>
        </references>
      </pivotArea>
    </format>
    <format dxfId="829">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3914"/>
          </reference>
          <reference field="82" count="1">
            <x v="2555"/>
          </reference>
        </references>
      </pivotArea>
    </format>
    <format dxfId="828">
      <pivotArea dataOnly="0" labelOnly="1" outline="0" fieldPosition="0">
        <references count="10">
          <reference field="1" count="1" selected="0">
            <x v="41"/>
          </reference>
          <reference field="2" count="1" selected="0">
            <x v="0"/>
          </reference>
          <reference field="3"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827">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3972"/>
          </reference>
          <reference field="82" count="1">
            <x v="2513"/>
          </reference>
        </references>
      </pivotArea>
    </format>
    <format dxfId="826">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3974"/>
          </reference>
          <reference field="82" count="1">
            <x v="2515"/>
          </reference>
        </references>
      </pivotArea>
    </format>
    <format dxfId="825">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3875"/>
          </reference>
          <reference field="82" count="1">
            <x v="2383"/>
          </reference>
        </references>
      </pivotArea>
    </format>
    <format dxfId="824">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3874"/>
          </reference>
          <reference field="82" count="1">
            <x v="2382"/>
          </reference>
        </references>
      </pivotArea>
    </format>
    <format dxfId="823">
      <pivotArea dataOnly="0" labelOnly="1" outline="0" fieldPosition="0">
        <references count="10">
          <reference field="1" count="1" selected="0">
            <x v="47"/>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822">
      <pivotArea dataOnly="0" labelOnly="1" outline="0" fieldPosition="0">
        <references count="10">
          <reference field="1" count="1" selected="0">
            <x v="48"/>
          </reference>
          <reference field="2" count="1" selected="0">
            <x v="11"/>
          </reference>
          <reference field="3" count="1" selected="0">
            <x v="4"/>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821">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3987"/>
          </reference>
          <reference field="82" count="1">
            <x v="2542"/>
          </reference>
        </references>
      </pivotArea>
    </format>
    <format dxfId="820">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849"/>
          </reference>
          <reference field="82" count="1">
            <x v="2352"/>
          </reference>
        </references>
      </pivotArea>
    </format>
    <format dxfId="819">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988"/>
          </reference>
          <reference field="82" count="1">
            <x v="2543"/>
          </reference>
        </references>
      </pivotArea>
    </format>
    <format dxfId="818">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913"/>
          </reference>
          <reference field="82" count="1">
            <x v="2544"/>
          </reference>
        </references>
      </pivotArea>
    </format>
    <format dxfId="817">
      <pivotArea dataOnly="0" labelOnly="1" outline="0" fieldPosition="0">
        <references count="10">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967"/>
          </reference>
          <reference field="82" count="1">
            <x v="2507"/>
          </reference>
        </references>
      </pivotArea>
    </format>
    <format dxfId="816">
      <pivotArea field="87" type="button" dataOnly="0" labelOnly="1" outline="0" axis="axisRow" fieldPosition="12"/>
    </format>
    <format dxfId="815">
      <pivotArea field="88" type="button" dataOnly="0" labelOnly="1" outline="0" axis="axisRow" fieldPosition="13"/>
    </format>
    <format dxfId="814">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883"/>
          </reference>
          <reference field="82" count="1" selected="0">
            <x v="2395"/>
          </reference>
          <reference field="85" count="1" selected="0">
            <x v="4"/>
          </reference>
          <reference field="87" count="1">
            <x v="3272"/>
          </reference>
        </references>
      </pivotArea>
    </format>
    <format dxfId="813">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885"/>
          </reference>
          <reference field="82" count="1" selected="0">
            <x v="2397"/>
          </reference>
          <reference field="85" count="1" selected="0">
            <x v="4"/>
          </reference>
          <reference field="87" count="1">
            <x v="3274"/>
          </reference>
        </references>
      </pivotArea>
    </format>
    <format dxfId="812">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886"/>
          </reference>
          <reference field="82" count="1" selected="0">
            <x v="2398"/>
          </reference>
          <reference field="85" count="1" selected="0">
            <x v="4"/>
          </reference>
          <reference field="87" count="1">
            <x v="3275"/>
          </reference>
        </references>
      </pivotArea>
    </format>
    <format dxfId="811">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882"/>
          </reference>
          <reference field="82" count="1" selected="0">
            <x v="2394"/>
          </reference>
          <reference field="85" count="1" selected="0">
            <x v="4"/>
          </reference>
          <reference field="87" count="1">
            <x v="3271"/>
          </reference>
        </references>
      </pivotArea>
    </format>
    <format dxfId="810">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887"/>
          </reference>
          <reference field="82" count="1" selected="0">
            <x v="2399"/>
          </reference>
          <reference field="85" count="1" selected="0">
            <x v="4"/>
          </reference>
          <reference field="87" count="1">
            <x v="3276"/>
          </reference>
        </references>
      </pivotArea>
    </format>
    <format dxfId="809">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888"/>
          </reference>
          <reference field="82" count="1" selected="0">
            <x v="2400"/>
          </reference>
          <reference field="85" count="1" selected="0">
            <x v="4"/>
          </reference>
          <reference field="87" count="1">
            <x v="3277"/>
          </reference>
        </references>
      </pivotArea>
    </format>
    <format dxfId="808">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889"/>
          </reference>
          <reference field="82" count="1" selected="0">
            <x v="2401"/>
          </reference>
          <reference field="85" count="1" selected="0">
            <x v="4"/>
          </reference>
          <reference field="87" count="1">
            <x v="3278"/>
          </reference>
        </references>
      </pivotArea>
    </format>
    <format dxfId="807">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884"/>
          </reference>
          <reference field="82" count="1" selected="0">
            <x v="2396"/>
          </reference>
          <reference field="85" count="1" selected="0">
            <x v="4"/>
          </reference>
          <reference field="87" count="1">
            <x v="3273"/>
          </reference>
        </references>
      </pivotArea>
    </format>
    <format dxfId="806">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5"/>
          </reference>
          <reference field="85" count="1" selected="0">
            <x v="0"/>
          </reference>
          <reference field="87" count="1">
            <x v="3315"/>
          </reference>
        </references>
      </pivotArea>
    </format>
    <format dxfId="805">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925"/>
          </reference>
          <reference field="82" count="1" selected="0">
            <x v="2456"/>
          </reference>
          <reference field="85" count="1" selected="0">
            <x v="0"/>
          </reference>
          <reference field="87" count="1">
            <x v="3316"/>
          </reference>
        </references>
      </pivotArea>
    </format>
    <format dxfId="804">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926"/>
          </reference>
          <reference field="82" count="1" selected="0">
            <x v="2457"/>
          </reference>
          <reference field="85" count="1" selected="0">
            <x v="0"/>
          </reference>
          <reference field="87" count="1">
            <x v="3317"/>
          </reference>
        </references>
      </pivotArea>
    </format>
    <format dxfId="803">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3"/>
          </reference>
          <reference field="85" count="1" selected="0">
            <x v="7"/>
          </reference>
          <reference field="87" count="1">
            <x v="3360"/>
          </reference>
        </references>
      </pivotArea>
    </format>
    <format dxfId="802">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965"/>
          </reference>
          <reference field="82" count="1" selected="0">
            <x v="2504"/>
          </reference>
          <reference field="85" count="1" selected="0">
            <x v="7"/>
          </reference>
          <reference field="87" count="1">
            <x v="3361"/>
          </reference>
        </references>
      </pivotArea>
    </format>
    <format dxfId="801">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917"/>
          </reference>
          <reference field="82" count="1" selected="0">
            <x v="2530"/>
          </reference>
          <reference field="85" count="1" selected="0">
            <x v="4"/>
          </reference>
          <reference field="87" count="1">
            <x v="3384"/>
          </reference>
        </references>
      </pivotArea>
    </format>
    <format dxfId="800">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990"/>
          </reference>
          <reference field="82" count="1" selected="0">
            <x v="2541"/>
          </reference>
          <reference field="85" count="1" selected="0">
            <x v="4"/>
          </reference>
          <reference field="87" count="1">
            <x v="3397"/>
          </reference>
        </references>
      </pivotArea>
    </format>
    <format dxfId="799">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939"/>
          </reference>
          <reference field="82" count="1" selected="0">
            <x v="2531"/>
          </reference>
          <reference field="85" count="1" selected="0">
            <x v="4"/>
          </reference>
          <reference field="87" count="1">
            <x v="3385"/>
          </reference>
        </references>
      </pivotArea>
    </format>
    <format dxfId="798">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989"/>
          </reference>
          <reference field="82" count="1" selected="0">
            <x v="2540"/>
          </reference>
          <reference field="85" count="1" selected="0">
            <x v="4"/>
          </reference>
          <reference field="87" count="1">
            <x v="3396"/>
          </reference>
        </references>
      </pivotArea>
    </format>
    <format dxfId="797">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5"/>
          </reference>
          <reference field="85" count="1" selected="0">
            <x v="7"/>
          </reference>
          <reference field="87" count="1">
            <x v="3360"/>
          </reference>
        </references>
      </pivotArea>
    </format>
    <format dxfId="796">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966"/>
          </reference>
          <reference field="82" count="1" selected="0">
            <x v="2506"/>
          </reference>
          <reference field="85" count="1" selected="0">
            <x v="7"/>
          </reference>
          <reference field="87" count="1">
            <x v="3362"/>
          </reference>
        </references>
      </pivotArea>
    </format>
    <format dxfId="795">
      <pivotArea dataOnly="0" labelOnly="1" outline="0" fieldPosition="0">
        <references count="13">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794">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2"/>
          </reference>
          <reference field="85" count="1" selected="0">
            <x v="0"/>
          </reference>
          <reference field="87" count="1">
            <x v="3315"/>
          </reference>
        </references>
      </pivotArea>
    </format>
    <format dxfId="793">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925"/>
          </reference>
          <reference field="82" count="1" selected="0">
            <x v="2453"/>
          </reference>
          <reference field="85" count="1" selected="0">
            <x v="0"/>
          </reference>
          <reference field="87" count="1">
            <x v="3316"/>
          </reference>
        </references>
      </pivotArea>
    </format>
    <format dxfId="792">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926"/>
          </reference>
          <reference field="82" count="1" selected="0">
            <x v="2454"/>
          </reference>
          <reference field="85" count="1" selected="0">
            <x v="0"/>
          </reference>
          <reference field="87" count="1">
            <x v="3317"/>
          </reference>
        </references>
      </pivotArea>
    </format>
    <format dxfId="791">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923"/>
          </reference>
          <reference field="82" count="1" selected="0">
            <x v="2451"/>
          </reference>
          <reference field="85" count="1" selected="0">
            <x v="0"/>
          </reference>
          <reference field="87" count="1">
            <x v="3314"/>
          </reference>
        </references>
      </pivotArea>
    </format>
    <format dxfId="790">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5"/>
          </reference>
          <reference field="85" count="1" selected="0">
            <x v="7"/>
          </reference>
          <reference field="87" count="1">
            <x v="3360"/>
          </reference>
        </references>
      </pivotArea>
    </format>
    <format dxfId="789">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966"/>
          </reference>
          <reference field="82" count="1" selected="0">
            <x v="2506"/>
          </reference>
          <reference field="85" count="1" selected="0">
            <x v="7"/>
          </reference>
          <reference field="87" count="1">
            <x v="3362"/>
          </reference>
        </references>
      </pivotArea>
    </format>
    <format dxfId="788">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2"/>
          </reference>
          <reference field="85" count="1" selected="0">
            <x v="0"/>
          </reference>
          <reference field="87" count="1">
            <x v="3315"/>
          </reference>
        </references>
      </pivotArea>
    </format>
    <format dxfId="787">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925"/>
          </reference>
          <reference field="82" count="1" selected="0">
            <x v="2453"/>
          </reference>
          <reference field="85" count="1" selected="0">
            <x v="0"/>
          </reference>
          <reference field="87" count="1">
            <x v="3316"/>
          </reference>
        </references>
      </pivotArea>
    </format>
    <format dxfId="786">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926"/>
          </reference>
          <reference field="82" count="1" selected="0">
            <x v="2454"/>
          </reference>
          <reference field="85" count="1" selected="0">
            <x v="0"/>
          </reference>
          <reference field="87" count="1">
            <x v="3317"/>
          </reference>
        </references>
      </pivotArea>
    </format>
    <format dxfId="785">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923"/>
          </reference>
          <reference field="82" count="1" selected="0">
            <x v="2451"/>
          </reference>
          <reference field="85" count="1" selected="0">
            <x v="0"/>
          </reference>
          <reference field="87" count="1">
            <x v="3314"/>
          </reference>
        </references>
      </pivotArea>
    </format>
    <format dxfId="784">
      <pivotArea dataOnly="0" labelOnly="1" outline="0" fieldPosition="0">
        <references count="13">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783">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5"/>
          </reference>
          <reference field="85" count="1" selected="0">
            <x v="7"/>
          </reference>
          <reference field="87" count="1">
            <x v="3360"/>
          </reference>
        </references>
      </pivotArea>
    </format>
    <format dxfId="782">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966"/>
          </reference>
          <reference field="82" count="1" selected="0">
            <x v="2506"/>
          </reference>
          <reference field="85" count="1" selected="0">
            <x v="7"/>
          </reference>
          <reference field="87" count="1">
            <x v="3362"/>
          </reference>
        </references>
      </pivotArea>
    </format>
    <format dxfId="781">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872"/>
          </reference>
          <reference field="82" count="1" selected="0">
            <x v="2377"/>
          </reference>
          <reference field="85" count="1" selected="0">
            <x v="7"/>
          </reference>
          <reference field="87" count="1">
            <x v="3261"/>
          </reference>
        </references>
      </pivotArea>
    </format>
    <format dxfId="780">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selected="0">
            <x v="2379"/>
          </reference>
          <reference field="85" count="1" selected="0">
            <x v="7"/>
          </reference>
          <reference field="87" count="1">
            <x v="3254"/>
          </reference>
        </references>
      </pivotArea>
    </format>
    <format dxfId="779">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3919"/>
          </reference>
          <reference field="82" count="1" selected="0">
            <x v="2447"/>
          </reference>
          <reference field="85" count="1" selected="0">
            <x v="0"/>
          </reference>
          <reference field="87" count="1">
            <x v="3310"/>
          </reference>
        </references>
      </pivotArea>
    </format>
    <format dxfId="778">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922"/>
          </reference>
          <reference field="82" count="1" selected="0">
            <x v="2450"/>
          </reference>
          <reference field="85" count="1" selected="0">
            <x v="0"/>
          </reference>
          <reference field="87" count="1">
            <x v="3313"/>
          </reference>
        </references>
      </pivotArea>
    </format>
    <format dxfId="777">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920"/>
          </reference>
          <reference field="82" count="1" selected="0">
            <x v="2448"/>
          </reference>
          <reference field="85" count="1" selected="0">
            <x v="0"/>
          </reference>
          <reference field="87" count="1">
            <x v="3311"/>
          </reference>
        </references>
      </pivotArea>
    </format>
    <format dxfId="776">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921"/>
          </reference>
          <reference field="82" count="1" selected="0">
            <x v="2449"/>
          </reference>
          <reference field="85" count="1" selected="0">
            <x v="0"/>
          </reference>
          <reference field="87" count="1">
            <x v="3312"/>
          </reference>
        </references>
      </pivotArea>
    </format>
    <format dxfId="775">
      <pivotArea dataOnly="0" labelOnly="1" outline="0" fieldPosition="0">
        <references count="13">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774">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3"/>
          </reference>
          <reference field="85" count="1" selected="0">
            <x v="7"/>
          </reference>
          <reference field="87" count="1">
            <x v="3360"/>
          </reference>
        </references>
      </pivotArea>
    </format>
    <format dxfId="773">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965"/>
          </reference>
          <reference field="82" count="1" selected="0">
            <x v="2504"/>
          </reference>
          <reference field="85" count="1" selected="0">
            <x v="7"/>
          </reference>
          <reference field="87" count="1">
            <x v="3361"/>
          </reference>
        </references>
      </pivotArea>
    </format>
    <format dxfId="772">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917"/>
          </reference>
          <reference field="82" count="1" selected="0">
            <x v="2530"/>
          </reference>
          <reference field="85" count="1" selected="0">
            <x v="4"/>
          </reference>
          <reference field="87" count="1">
            <x v="3384"/>
          </reference>
        </references>
      </pivotArea>
    </format>
    <format dxfId="771">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990"/>
          </reference>
          <reference field="82" count="1" selected="0">
            <x v="2541"/>
          </reference>
          <reference field="85" count="1" selected="0">
            <x v="4"/>
          </reference>
          <reference field="87" count="1">
            <x v="3397"/>
          </reference>
        </references>
      </pivotArea>
    </format>
    <format dxfId="770">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939"/>
          </reference>
          <reference field="82" count="1" selected="0">
            <x v="2531"/>
          </reference>
          <reference field="85" count="1" selected="0">
            <x v="4"/>
          </reference>
          <reference field="87" count="1">
            <x v="3385"/>
          </reference>
        </references>
      </pivotArea>
    </format>
    <format dxfId="769">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989"/>
          </reference>
          <reference field="82" count="1" selected="0">
            <x v="2540"/>
          </reference>
          <reference field="85" count="1" selected="0">
            <x v="4"/>
          </reference>
          <reference field="87" count="1">
            <x v="3396"/>
          </reference>
        </references>
      </pivotArea>
    </format>
    <format dxfId="768">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866"/>
          </reference>
          <reference field="82" count="1" selected="0">
            <x v="2387"/>
          </reference>
          <reference field="85" count="1" selected="0">
            <x v="7"/>
          </reference>
          <reference field="87" count="1">
            <x v="3255"/>
          </reference>
        </references>
      </pivotArea>
    </format>
    <format dxfId="767">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872"/>
          </reference>
          <reference field="82" count="1" selected="0">
            <x v="2378"/>
          </reference>
          <reference field="85" count="1" selected="0">
            <x v="7"/>
          </reference>
          <reference field="87" count="1">
            <x v="3261"/>
          </reference>
        </references>
      </pivotArea>
    </format>
    <format dxfId="76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883"/>
          </reference>
          <reference field="82" count="1" selected="0">
            <x v="2431"/>
          </reference>
          <reference field="85" count="1" selected="0">
            <x v="4"/>
          </reference>
          <reference field="87" count="1">
            <x v="3272"/>
          </reference>
        </references>
      </pivotArea>
    </format>
    <format dxfId="76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885"/>
          </reference>
          <reference field="82" count="1" selected="0">
            <x v="2433"/>
          </reference>
          <reference field="85" count="1" selected="0">
            <x v="4"/>
          </reference>
          <reference field="87" count="1">
            <x v="3274"/>
          </reference>
        </references>
      </pivotArea>
    </format>
    <format dxfId="76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886"/>
          </reference>
          <reference field="82" count="1" selected="0">
            <x v="2434"/>
          </reference>
          <reference field="85" count="1" selected="0">
            <x v="4"/>
          </reference>
          <reference field="87" count="1">
            <x v="3275"/>
          </reference>
        </references>
      </pivotArea>
    </format>
    <format dxfId="76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882"/>
          </reference>
          <reference field="82" count="1" selected="0">
            <x v="2430"/>
          </reference>
          <reference field="85" count="1" selected="0">
            <x v="4"/>
          </reference>
          <reference field="87" count="1">
            <x v="3271"/>
          </reference>
        </references>
      </pivotArea>
    </format>
    <format dxfId="76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887"/>
          </reference>
          <reference field="82" count="1" selected="0">
            <x v="2435"/>
          </reference>
          <reference field="85" count="1" selected="0">
            <x v="4"/>
          </reference>
          <reference field="87" count="1">
            <x v="3276"/>
          </reference>
        </references>
      </pivotArea>
    </format>
    <format dxfId="76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888"/>
          </reference>
          <reference field="82" count="1" selected="0">
            <x v="2436"/>
          </reference>
          <reference field="85" count="1" selected="0">
            <x v="4"/>
          </reference>
          <reference field="87" count="1">
            <x v="3277"/>
          </reference>
        </references>
      </pivotArea>
    </format>
    <format dxfId="76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889"/>
          </reference>
          <reference field="82" count="1" selected="0">
            <x v="2437"/>
          </reference>
          <reference field="85" count="1" selected="0">
            <x v="4"/>
          </reference>
          <reference field="87" count="1">
            <x v="3278"/>
          </reference>
        </references>
      </pivotArea>
    </format>
    <format dxfId="75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884"/>
          </reference>
          <reference field="82" count="1" selected="0">
            <x v="2432"/>
          </reference>
          <reference field="85" count="1" selected="0">
            <x v="4"/>
          </reference>
          <reference field="87" count="1">
            <x v="3273"/>
          </reference>
        </references>
      </pivotArea>
    </format>
    <format dxfId="758">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2"/>
          </reference>
          <reference field="85" count="1" selected="0">
            <x v="0"/>
          </reference>
          <reference field="87" count="1">
            <x v="3315"/>
          </reference>
        </references>
      </pivotArea>
    </format>
    <format dxfId="757">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925"/>
          </reference>
          <reference field="82" count="1" selected="0">
            <x v="2453"/>
          </reference>
          <reference field="85" count="1" selected="0">
            <x v="0"/>
          </reference>
          <reference field="87" count="1">
            <x v="3316"/>
          </reference>
        </references>
      </pivotArea>
    </format>
    <format dxfId="756">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926"/>
          </reference>
          <reference field="82" count="1" selected="0">
            <x v="2454"/>
          </reference>
          <reference field="85" count="1" selected="0">
            <x v="0"/>
          </reference>
          <reference field="87" count="1">
            <x v="3317"/>
          </reference>
        </references>
      </pivotArea>
    </format>
    <format dxfId="755">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923"/>
          </reference>
          <reference field="82" count="1" selected="0">
            <x v="2451"/>
          </reference>
          <reference field="85" count="1" selected="0">
            <x v="0"/>
          </reference>
          <reference field="87" count="1">
            <x v="3314"/>
          </reference>
        </references>
      </pivotArea>
    </format>
    <format dxfId="754">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866"/>
          </reference>
          <reference field="82" count="1" selected="0">
            <x v="2386"/>
          </reference>
          <reference field="85" count="1" selected="0">
            <x v="7"/>
          </reference>
          <reference field="87" count="1">
            <x v="3255"/>
          </reference>
        </references>
      </pivotArea>
    </format>
    <format dxfId="753">
      <pivotArea dataOnly="0" labelOnly="1" outline="0" fieldPosition="0">
        <references count="13">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752">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3"/>
          </reference>
          <reference field="85" count="1" selected="0">
            <x v="7"/>
          </reference>
          <reference field="87" count="1">
            <x v="3360"/>
          </reference>
        </references>
      </pivotArea>
    </format>
    <format dxfId="751">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965"/>
          </reference>
          <reference field="82" count="1" selected="0">
            <x v="2504"/>
          </reference>
          <reference field="85" count="1" selected="0">
            <x v="7"/>
          </reference>
          <reference field="87" count="1">
            <x v="3361"/>
          </reference>
        </references>
      </pivotArea>
    </format>
    <format dxfId="750">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922"/>
          </reference>
          <reference field="82" count="1" selected="0">
            <x v="2450"/>
          </reference>
          <reference field="85" count="1" selected="0">
            <x v="0"/>
          </reference>
          <reference field="87" count="1">
            <x v="3313"/>
          </reference>
        </references>
      </pivotArea>
    </format>
    <format dxfId="749">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920"/>
          </reference>
          <reference field="82" count="1" selected="0">
            <x v="2448"/>
          </reference>
          <reference field="85" count="1" selected="0">
            <x v="0"/>
          </reference>
          <reference field="87" count="1">
            <x v="3311"/>
          </reference>
        </references>
      </pivotArea>
    </format>
    <format dxfId="748">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921"/>
          </reference>
          <reference field="82" count="1" selected="0">
            <x v="2449"/>
          </reference>
          <reference field="85" count="1" selected="0">
            <x v="0"/>
          </reference>
          <reference field="87" count="1">
            <x v="3312"/>
          </reference>
        </references>
      </pivotArea>
    </format>
    <format dxfId="747">
      <pivotArea dataOnly="0" labelOnly="1" outline="0" fieldPosition="0">
        <references count="13">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746">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3"/>
          </reference>
          <reference field="85" count="1" selected="0">
            <x v="7"/>
          </reference>
          <reference field="87" count="1">
            <x v="3360"/>
          </reference>
        </references>
      </pivotArea>
    </format>
    <format dxfId="745">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965"/>
          </reference>
          <reference field="82" count="1" selected="0">
            <x v="2504"/>
          </reference>
          <reference field="85" count="1" selected="0">
            <x v="7"/>
          </reference>
          <reference field="87" count="1">
            <x v="3361"/>
          </reference>
        </references>
      </pivotArea>
    </format>
    <format dxfId="744">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917"/>
          </reference>
          <reference field="82" count="1" selected="0">
            <x v="2530"/>
          </reference>
          <reference field="85" count="1" selected="0">
            <x v="4"/>
          </reference>
          <reference field="87" count="1">
            <x v="3384"/>
          </reference>
        </references>
      </pivotArea>
    </format>
    <format dxfId="743">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990"/>
          </reference>
          <reference field="82" count="1" selected="0">
            <x v="2541"/>
          </reference>
          <reference field="85" count="1" selected="0">
            <x v="4"/>
          </reference>
          <reference field="87" count="1">
            <x v="3397"/>
          </reference>
        </references>
      </pivotArea>
    </format>
    <format dxfId="742">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939"/>
          </reference>
          <reference field="82" count="1" selected="0">
            <x v="2531"/>
          </reference>
          <reference field="85" count="1" selected="0">
            <x v="4"/>
          </reference>
          <reference field="87" count="1">
            <x v="3385"/>
          </reference>
        </references>
      </pivotArea>
    </format>
    <format dxfId="741">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989"/>
          </reference>
          <reference field="82" count="1" selected="0">
            <x v="2540"/>
          </reference>
          <reference field="85" count="1" selected="0">
            <x v="4"/>
          </reference>
          <reference field="87" count="1">
            <x v="3396"/>
          </reference>
        </references>
      </pivotArea>
    </format>
    <format dxfId="740">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5"/>
          </reference>
          <reference field="85" count="1" selected="0">
            <x v="7"/>
          </reference>
          <reference field="87" count="1">
            <x v="3360"/>
          </reference>
        </references>
      </pivotArea>
    </format>
    <format dxfId="739">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966"/>
          </reference>
          <reference field="82" count="1" selected="0">
            <x v="2506"/>
          </reference>
          <reference field="85" count="1" selected="0">
            <x v="7"/>
          </reference>
          <reference field="87" count="1">
            <x v="3362"/>
          </reference>
        </references>
      </pivotArea>
    </format>
    <format dxfId="738">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2"/>
          </reference>
          <reference field="85" count="1" selected="0">
            <x v="0"/>
          </reference>
          <reference field="87" count="1">
            <x v="3315"/>
          </reference>
        </references>
      </pivotArea>
    </format>
    <format dxfId="737">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3930"/>
          </reference>
          <reference field="82" count="1" selected="0">
            <x v="2461"/>
          </reference>
          <reference field="85" count="1" selected="0">
            <x v="0"/>
          </reference>
          <reference field="87" count="1">
            <x v="3321"/>
          </reference>
        </references>
      </pivotArea>
    </format>
    <format dxfId="736">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3931"/>
          </reference>
          <reference field="82" count="1" selected="0">
            <x v="2462"/>
          </reference>
          <reference field="85" count="1" selected="0">
            <x v="0"/>
          </reference>
          <reference field="87" count="1">
            <x v="3322"/>
          </reference>
        </references>
      </pivotArea>
    </format>
    <format dxfId="735">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3932"/>
          </reference>
          <reference field="82" count="1" selected="0">
            <x v="2463"/>
          </reference>
          <reference field="85" count="1" selected="0">
            <x v="0"/>
          </reference>
          <reference field="87" count="1">
            <x v="3323"/>
          </reference>
        </references>
      </pivotArea>
    </format>
    <format dxfId="734">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3868"/>
          </reference>
          <reference field="82" count="1" selected="0">
            <x v="2373"/>
          </reference>
          <reference field="85" count="1" selected="0">
            <x v="7"/>
          </reference>
          <reference field="87" count="1">
            <x v="3257"/>
          </reference>
        </references>
      </pivotArea>
    </format>
    <format dxfId="733">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869"/>
          </reference>
          <reference field="82" count="1" selected="0">
            <x v="2374"/>
          </reference>
          <reference field="85" count="1" selected="0">
            <x v="7"/>
          </reference>
          <reference field="87" count="1">
            <x v="3258"/>
          </reference>
        </references>
      </pivotArea>
    </format>
    <format dxfId="732">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927"/>
          </reference>
          <reference field="82" count="1" selected="0">
            <x v="2458"/>
          </reference>
          <reference field="85" count="1" selected="0">
            <x v="0"/>
          </reference>
          <reference field="87" count="1">
            <x v="3318"/>
          </reference>
        </references>
      </pivotArea>
    </format>
    <format dxfId="731">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928"/>
          </reference>
          <reference field="82" count="1" selected="0">
            <x v="2459"/>
          </reference>
          <reference field="85" count="1" selected="0">
            <x v="0"/>
          </reference>
          <reference field="87" count="1">
            <x v="3319"/>
          </reference>
        </references>
      </pivotArea>
    </format>
    <format dxfId="730">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929"/>
          </reference>
          <reference field="82" count="1" selected="0">
            <x v="2460"/>
          </reference>
          <reference field="85" count="1" selected="0">
            <x v="0"/>
          </reference>
          <reference field="87" count="1">
            <x v="3320"/>
          </reference>
        </references>
      </pivotArea>
    </format>
    <format dxfId="729">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967"/>
          </reference>
          <reference field="82" count="1" selected="0">
            <x v="2507"/>
          </reference>
          <reference field="85" count="1" selected="0">
            <x v="7"/>
          </reference>
          <reference field="87" count="1">
            <x v="3363"/>
          </reference>
        </references>
      </pivotArea>
    </format>
    <format dxfId="728">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3968"/>
          </reference>
          <reference field="82" count="1" selected="0">
            <x v="2508"/>
          </reference>
          <reference field="85" count="1" selected="0">
            <x v="7"/>
          </reference>
          <reference field="87" count="1">
            <x v="3364"/>
          </reference>
        </references>
      </pivotArea>
    </format>
    <format dxfId="727">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3878"/>
          </reference>
          <reference field="82" count="1" selected="0">
            <x v="2388"/>
          </reference>
          <reference field="85" count="1" selected="0">
            <x v="7"/>
          </reference>
          <reference field="87" count="1">
            <x v="3267"/>
          </reference>
        </references>
      </pivotArea>
    </format>
    <format dxfId="726">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927"/>
          </reference>
          <reference field="82" count="1" selected="0">
            <x v="2458"/>
          </reference>
          <reference field="85" count="1" selected="0">
            <x v="0"/>
          </reference>
          <reference field="87" count="1">
            <x v="3318"/>
          </reference>
        </references>
      </pivotArea>
    </format>
    <format dxfId="725">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928"/>
          </reference>
          <reference field="82" count="1" selected="0">
            <x v="2459"/>
          </reference>
          <reference field="85" count="1" selected="0">
            <x v="0"/>
          </reference>
          <reference field="87" count="1">
            <x v="3319"/>
          </reference>
        </references>
      </pivotArea>
    </format>
    <format dxfId="724">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929"/>
          </reference>
          <reference field="82" count="1" selected="0">
            <x v="2460"/>
          </reference>
          <reference field="85" count="1" selected="0">
            <x v="0"/>
          </reference>
          <reference field="87" count="1">
            <x v="3320"/>
          </reference>
        </references>
      </pivotArea>
    </format>
    <format dxfId="723">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967"/>
          </reference>
          <reference field="82" count="1" selected="0">
            <x v="2507"/>
          </reference>
          <reference field="85" count="1" selected="0">
            <x v="7"/>
          </reference>
          <reference field="87" count="1">
            <x v="3363"/>
          </reference>
        </references>
      </pivotArea>
    </format>
    <format dxfId="722">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3936"/>
          </reference>
          <reference field="82" count="1" selected="0">
            <x v="2467"/>
          </reference>
          <reference field="85" count="1" selected="0">
            <x v="0"/>
          </reference>
          <reference field="87" count="1">
            <x v="3327"/>
          </reference>
        </references>
      </pivotArea>
    </format>
    <format dxfId="721">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3937"/>
          </reference>
          <reference field="82" count="1" selected="0">
            <x v="2468"/>
          </reference>
          <reference field="85" count="1" selected="0">
            <x v="0"/>
          </reference>
          <reference field="87" count="1">
            <x v="3328"/>
          </reference>
        </references>
      </pivotArea>
    </format>
    <format dxfId="720">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3938"/>
          </reference>
          <reference field="82" count="1" selected="0">
            <x v="2469"/>
          </reference>
          <reference field="85" count="1" selected="0">
            <x v="0"/>
          </reference>
          <reference field="87" count="1">
            <x v="3329"/>
          </reference>
        </references>
      </pivotArea>
    </format>
    <format dxfId="719">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3864"/>
          </reference>
          <reference field="82" count="1" selected="0">
            <x v="2368"/>
          </reference>
          <reference field="85" count="1" selected="0">
            <x v="7"/>
          </reference>
          <reference field="87" count="1">
            <x v="3253"/>
          </reference>
        </references>
      </pivotArea>
    </format>
    <format dxfId="718">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selected="0">
            <x v="2369"/>
          </reference>
          <reference field="85" count="1" selected="0">
            <x v="7"/>
          </reference>
          <reference field="87" count="1">
            <x v="3254"/>
          </reference>
        </references>
      </pivotArea>
    </format>
    <format dxfId="717">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3882"/>
          </reference>
          <reference field="82" count="1" selected="0">
            <x v="2423"/>
          </reference>
          <reference field="85" count="1" selected="0">
            <x v="4"/>
          </reference>
          <reference field="87" count="1">
            <x v="3271"/>
          </reference>
        </references>
      </pivotArea>
    </format>
    <format dxfId="716">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3888"/>
          </reference>
          <reference field="82" count="1" selected="0">
            <x v="2424"/>
          </reference>
          <reference field="85" count="1" selected="0">
            <x v="4"/>
          </reference>
          <reference field="87" count="1">
            <x v="3277"/>
          </reference>
        </references>
      </pivotArea>
    </format>
    <format dxfId="715">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3884"/>
          </reference>
          <reference field="82" count="1" selected="0">
            <x v="2421"/>
          </reference>
          <reference field="85" count="1" selected="0">
            <x v="4"/>
          </reference>
          <reference field="87" count="1">
            <x v="3273"/>
          </reference>
        </references>
      </pivotArea>
    </format>
    <format dxfId="714">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3906"/>
          </reference>
          <reference field="82" count="1" selected="0">
            <x v="2422"/>
          </reference>
          <reference field="85" count="1" selected="0">
            <x v="4"/>
          </reference>
          <reference field="87" count="1">
            <x v="3295"/>
          </reference>
        </references>
      </pivotArea>
    </format>
    <format dxfId="713">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3933"/>
          </reference>
          <reference field="82" count="1" selected="0">
            <x v="2464"/>
          </reference>
          <reference field="85" count="1" selected="0">
            <x v="0"/>
          </reference>
          <reference field="87" count="1">
            <x v="3324"/>
          </reference>
        </references>
      </pivotArea>
    </format>
    <format dxfId="712">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3934"/>
          </reference>
          <reference field="82" count="1" selected="0">
            <x v="2465"/>
          </reference>
          <reference field="85" count="1" selected="0">
            <x v="0"/>
          </reference>
          <reference field="87" count="1">
            <x v="3325"/>
          </reference>
        </references>
      </pivotArea>
    </format>
    <format dxfId="711">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3935"/>
          </reference>
          <reference field="82" count="1" selected="0">
            <x v="2466"/>
          </reference>
          <reference field="85" count="1" selected="0">
            <x v="0"/>
          </reference>
          <reference field="87" count="1">
            <x v="3326"/>
          </reference>
        </references>
      </pivotArea>
    </format>
    <format dxfId="710">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978"/>
          </reference>
          <reference field="82" count="1" selected="0">
            <x v="2520"/>
          </reference>
          <reference field="85" count="1" selected="0">
            <x v="7"/>
          </reference>
          <reference field="87" count="1">
            <x v="3374"/>
          </reference>
        </references>
      </pivotArea>
    </format>
    <format dxfId="709">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871"/>
          </reference>
          <reference field="82" count="1" selected="0">
            <x v="2376"/>
          </reference>
          <reference field="85" count="1" selected="0">
            <x v="7"/>
          </reference>
          <reference field="87" count="1">
            <x v="3260"/>
          </reference>
        </references>
      </pivotArea>
    </format>
    <format dxfId="708">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3915"/>
          </reference>
          <reference field="82" count="1" selected="0">
            <x v="2442"/>
          </reference>
          <reference field="85" count="1" selected="0">
            <x v="0"/>
          </reference>
          <reference field="87" count="1">
            <x v="3305"/>
          </reference>
        </references>
      </pivotArea>
    </format>
    <format dxfId="707">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3914"/>
          </reference>
          <reference field="82" count="1" selected="0">
            <x v="2441"/>
          </reference>
          <reference field="85" count="1" selected="0">
            <x v="0"/>
          </reference>
          <reference field="87" count="1">
            <x v="3304"/>
          </reference>
        </references>
      </pivotArea>
    </format>
    <format dxfId="706">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3916"/>
          </reference>
          <reference field="82" count="1" selected="0">
            <x v="2443"/>
          </reference>
          <reference field="85" count="1" selected="0">
            <x v="0"/>
          </reference>
          <reference field="87" count="1">
            <x v="3306"/>
          </reference>
        </references>
      </pivotArea>
    </format>
    <format dxfId="705">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3876"/>
          </reference>
          <reference field="82" count="1" selected="0">
            <x v="2384"/>
          </reference>
          <reference field="85" count="1" selected="0">
            <x v="7"/>
          </reference>
          <reference field="87" count="1">
            <x v="3265"/>
          </reference>
        </references>
      </pivotArea>
    </format>
    <format dxfId="704">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871"/>
          </reference>
          <reference field="82" count="1" selected="0">
            <x v="2376"/>
          </reference>
          <reference field="85" count="1" selected="0">
            <x v="7"/>
          </reference>
          <reference field="87" count="1">
            <x v="3260"/>
          </reference>
        </references>
      </pivotArea>
    </format>
    <format dxfId="703">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3909"/>
          </reference>
          <reference field="82" count="1" selected="0">
            <x v="2427"/>
          </reference>
          <reference field="85" count="1" selected="0">
            <x v="4"/>
          </reference>
          <reference field="87" count="1">
            <x v="3298"/>
          </reference>
        </references>
      </pivotArea>
    </format>
    <format dxfId="702">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3910"/>
          </reference>
          <reference field="82" count="1" selected="0">
            <x v="2428"/>
          </reference>
          <reference field="85" count="1" selected="0">
            <x v="4"/>
          </reference>
          <reference field="87" count="1">
            <x v="3299"/>
          </reference>
        </references>
      </pivotArea>
    </format>
    <format dxfId="701">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3907"/>
          </reference>
          <reference field="82" count="1" selected="0">
            <x v="2425"/>
          </reference>
          <reference field="85" count="1" selected="0">
            <x v="4"/>
          </reference>
          <reference field="87" count="1">
            <x v="3296"/>
          </reference>
        </references>
      </pivotArea>
    </format>
    <format dxfId="700">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3908"/>
          </reference>
          <reference field="82" count="1" selected="0">
            <x v="2426"/>
          </reference>
          <reference field="85" count="1" selected="0">
            <x v="4"/>
          </reference>
          <reference field="87" count="1">
            <x v="3297"/>
          </reference>
        </references>
      </pivotArea>
    </format>
    <format dxfId="699">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912"/>
          </reference>
          <reference field="82" count="1" selected="0">
            <x v="2438"/>
          </reference>
          <reference field="85" count="1" selected="0">
            <x v="0"/>
          </reference>
          <reference field="87" count="1">
            <x v="3301"/>
          </reference>
        </references>
      </pivotArea>
    </format>
    <format dxfId="698">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913"/>
          </reference>
          <reference field="82" count="1" selected="0">
            <x v="2439"/>
          </reference>
          <reference field="85" count="1" selected="0">
            <x v="0"/>
          </reference>
          <reference field="87" count="1">
            <x v="3302"/>
          </reference>
        </references>
      </pivotArea>
    </format>
    <format dxfId="697">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852"/>
          </reference>
          <reference field="82" count="1" selected="0">
            <x v="2440"/>
          </reference>
          <reference field="85" count="1" selected="0">
            <x v="0"/>
          </reference>
          <reference field="87" count="1">
            <x v="3303"/>
          </reference>
        </references>
      </pivotArea>
    </format>
    <format dxfId="696">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selected="0">
            <x v="2369"/>
          </reference>
          <reference field="85" count="1" selected="0">
            <x v="7"/>
          </reference>
          <reference field="87" count="1">
            <x v="3254"/>
          </reference>
        </references>
      </pivotArea>
    </format>
    <format dxfId="695">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912"/>
          </reference>
          <reference field="82" count="1" selected="0">
            <x v="2438"/>
          </reference>
          <reference field="85" count="1" selected="0">
            <x v="0"/>
          </reference>
          <reference field="87" count="1">
            <x v="3301"/>
          </reference>
        </references>
      </pivotArea>
    </format>
    <format dxfId="694">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913"/>
          </reference>
          <reference field="82" count="1" selected="0">
            <x v="2439"/>
          </reference>
          <reference field="85" count="1" selected="0">
            <x v="0"/>
          </reference>
          <reference field="87" count="1">
            <x v="3302"/>
          </reference>
        </references>
      </pivotArea>
    </format>
    <format dxfId="693">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852"/>
          </reference>
          <reference field="82" count="1" selected="0">
            <x v="2440"/>
          </reference>
          <reference field="85" count="1" selected="0">
            <x v="0"/>
          </reference>
          <reference field="87" count="1">
            <x v="3303"/>
          </reference>
        </references>
      </pivotArea>
    </format>
    <format dxfId="692">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3870"/>
          </reference>
          <reference field="82" count="1" selected="0">
            <x v="2375"/>
          </reference>
          <reference field="85" count="1" selected="0">
            <x v="7"/>
          </reference>
          <reference field="87" count="1">
            <x v="3259"/>
          </reference>
        </references>
      </pivotArea>
    </format>
    <format dxfId="691">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selected="0">
            <x v="2369"/>
          </reference>
          <reference field="85" count="1" selected="0">
            <x v="7"/>
          </reference>
          <reference field="87" count="1">
            <x v="3254"/>
          </reference>
        </references>
      </pivotArea>
    </format>
    <format dxfId="690">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917"/>
          </reference>
          <reference field="82" count="1" selected="0">
            <x v="2444"/>
          </reference>
          <reference field="85" count="1" selected="0">
            <x v="0"/>
          </reference>
          <reference field="87" count="1">
            <x v="3307"/>
          </reference>
        </references>
      </pivotArea>
    </format>
    <format dxfId="689">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918"/>
          </reference>
          <reference field="82" count="1" selected="0">
            <x v="2445"/>
          </reference>
          <reference field="85" count="1" selected="0">
            <x v="0"/>
          </reference>
          <reference field="87" count="1">
            <x v="3308"/>
          </reference>
        </references>
      </pivotArea>
    </format>
    <format dxfId="688">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862"/>
          </reference>
          <reference field="82" count="1" selected="0">
            <x v="2446"/>
          </reference>
          <reference field="85" count="1" selected="0">
            <x v="0"/>
          </reference>
          <reference field="87" count="1">
            <x v="3309"/>
          </reference>
        </references>
      </pivotArea>
    </format>
    <format dxfId="687">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943"/>
          </reference>
          <reference field="82" count="1" selected="0">
            <x v="2489"/>
          </reference>
          <reference field="85" count="1" selected="0">
            <x v="2"/>
          </reference>
          <reference field="87" count="1">
            <x v="3347"/>
          </reference>
        </references>
      </pivotArea>
    </format>
    <format dxfId="686">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3948"/>
          </reference>
          <reference field="82" count="1" selected="0">
            <x v="2488"/>
          </reference>
          <reference field="85" count="1" selected="0">
            <x v="2"/>
          </reference>
          <reference field="87" count="1">
            <x v="3346"/>
          </reference>
        </references>
      </pivotArea>
    </format>
    <format dxfId="685">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3952"/>
          </reference>
          <reference field="82" count="1" selected="0">
            <x v="2490"/>
          </reference>
          <reference field="85" count="1" selected="0">
            <x v="2"/>
          </reference>
          <reference field="87" count="1">
            <x v="3348"/>
          </reference>
        </references>
      </pivotArea>
    </format>
    <format dxfId="684">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917"/>
          </reference>
          <reference field="82" count="1" selected="0">
            <x v="2444"/>
          </reference>
          <reference field="85" count="1" selected="0">
            <x v="0"/>
          </reference>
          <reference field="87" count="1">
            <x v="3307"/>
          </reference>
        </references>
      </pivotArea>
    </format>
    <format dxfId="683">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918"/>
          </reference>
          <reference field="82" count="1" selected="0">
            <x v="2445"/>
          </reference>
          <reference field="85" count="1" selected="0">
            <x v="0"/>
          </reference>
          <reference field="87" count="1">
            <x v="3308"/>
          </reference>
        </references>
      </pivotArea>
    </format>
    <format dxfId="682">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862"/>
          </reference>
          <reference field="82" count="1" selected="0">
            <x v="2446"/>
          </reference>
          <reference field="85" count="1" selected="0">
            <x v="0"/>
          </reference>
          <reference field="87" count="1">
            <x v="3309"/>
          </reference>
        </references>
      </pivotArea>
    </format>
    <format dxfId="681">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869"/>
          </reference>
          <reference field="82" count="1" selected="0">
            <x v="2511"/>
          </reference>
          <reference field="85" count="1" selected="0">
            <x v="7"/>
          </reference>
          <reference field="87" count="1">
            <x v="3258"/>
          </reference>
        </references>
      </pivotArea>
    </format>
    <format dxfId="680">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3987"/>
          </reference>
          <reference field="82" count="1" selected="0">
            <x v="2542"/>
          </reference>
          <reference field="85" count="1" selected="0">
            <x v="4"/>
          </reference>
          <reference field="87" count="1">
            <x v="3390"/>
          </reference>
        </references>
      </pivotArea>
    </format>
    <format dxfId="679">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3849"/>
          </reference>
          <reference field="82" count="1" selected="0">
            <x v="2352"/>
          </reference>
          <reference field="85" count="1" selected="0">
            <x v="4"/>
          </reference>
          <reference field="87" count="1">
            <x v="3393"/>
          </reference>
        </references>
      </pivotArea>
    </format>
    <format dxfId="678">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3848"/>
          </reference>
          <reference field="82" count="1" selected="0">
            <x v="2351"/>
          </reference>
          <reference field="85" count="1" selected="0">
            <x v="4"/>
          </reference>
          <reference field="87" count="1">
            <x v="3412"/>
          </reference>
        </references>
      </pivotArea>
    </format>
    <format dxfId="677">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3986"/>
          </reference>
          <reference field="82" count="1" selected="0">
            <x v="2564"/>
          </reference>
          <reference field="85" count="1" selected="0">
            <x v="4"/>
          </reference>
          <reference field="87" count="1">
            <x v="3389"/>
          </reference>
        </references>
      </pivotArea>
    </format>
    <format dxfId="676">
      <pivotArea dataOnly="0" labelOnly="1" outline="0" fieldPosition="0">
        <references count="13">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675">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979"/>
          </reference>
          <reference field="82" count="1" selected="0">
            <x v="2521"/>
          </reference>
          <reference field="85" count="1" selected="0">
            <x v="4"/>
          </reference>
          <reference field="87" count="1">
            <x v="3375"/>
          </reference>
        </references>
      </pivotArea>
    </format>
    <format dxfId="674">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980"/>
          </reference>
          <reference field="82" count="1" selected="0">
            <x v="2522"/>
          </reference>
          <reference field="85" count="1" selected="0">
            <x v="4"/>
          </reference>
          <reference field="87" count="1">
            <x v="3376"/>
          </reference>
        </references>
      </pivotArea>
    </format>
    <format dxfId="673">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981"/>
          </reference>
          <reference field="82" count="1" selected="0">
            <x v="2523"/>
          </reference>
          <reference field="85" count="1" selected="0">
            <x v="4"/>
          </reference>
          <reference field="87" count="1">
            <x v="3377"/>
          </reference>
        </references>
      </pivotArea>
    </format>
    <format dxfId="672">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982"/>
          </reference>
          <reference field="82" count="1" selected="0">
            <x v="2524"/>
          </reference>
          <reference field="85" count="1" selected="0">
            <x v="4"/>
          </reference>
          <reference field="87" count="1">
            <x v="3378"/>
          </reference>
        </references>
      </pivotArea>
    </format>
    <format dxfId="671">
      <pivotArea dataOnly="0" labelOnly="1" outline="0" fieldPosition="0">
        <references count="13">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670">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3849"/>
          </reference>
          <reference field="82" count="1" selected="0">
            <x v="2352"/>
          </reference>
          <reference field="85" count="1" selected="0">
            <x v="3"/>
          </reference>
          <reference field="87" count="1">
            <x v="3238"/>
          </reference>
        </references>
      </pivotArea>
    </format>
    <format dxfId="669">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3848"/>
          </reference>
          <reference field="82" count="1" selected="0">
            <x v="2351"/>
          </reference>
          <reference field="85" count="1" selected="0">
            <x v="3"/>
          </reference>
          <reference field="87" count="1">
            <x v="3237"/>
          </reference>
        </references>
      </pivotArea>
    </format>
    <format dxfId="668">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979"/>
          </reference>
          <reference field="82" count="1" selected="0">
            <x v="2521"/>
          </reference>
          <reference field="85" count="1" selected="0">
            <x v="4"/>
          </reference>
          <reference field="87" count="1">
            <x v="3375"/>
          </reference>
        </references>
      </pivotArea>
    </format>
    <format dxfId="667">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980"/>
          </reference>
          <reference field="82" count="1" selected="0">
            <x v="2522"/>
          </reference>
          <reference field="85" count="1" selected="0">
            <x v="4"/>
          </reference>
          <reference field="87" count="1">
            <x v="3376"/>
          </reference>
        </references>
      </pivotArea>
    </format>
    <format dxfId="666">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981"/>
          </reference>
          <reference field="82" count="1" selected="0">
            <x v="2523"/>
          </reference>
          <reference field="85" count="1" selected="0">
            <x v="4"/>
          </reference>
          <reference field="87" count="1">
            <x v="3377"/>
          </reference>
        </references>
      </pivotArea>
    </format>
    <format dxfId="665">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982"/>
          </reference>
          <reference field="82" count="1" selected="0">
            <x v="2524"/>
          </reference>
          <reference field="85" count="1" selected="0">
            <x v="4"/>
          </reference>
          <reference field="87" count="1">
            <x v="3378"/>
          </reference>
        </references>
      </pivotArea>
    </format>
    <format dxfId="664">
      <pivotArea dataOnly="0" labelOnly="1" outline="0" fieldPosition="0">
        <references count="13">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663">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979"/>
          </reference>
          <reference field="82" count="1" selected="0">
            <x v="2521"/>
          </reference>
          <reference field="85" count="1" selected="0">
            <x v="4"/>
          </reference>
          <reference field="87" count="1">
            <x v="3375"/>
          </reference>
        </references>
      </pivotArea>
    </format>
    <format dxfId="662">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980"/>
          </reference>
          <reference field="82" count="1" selected="0">
            <x v="2522"/>
          </reference>
          <reference field="85" count="1" selected="0">
            <x v="4"/>
          </reference>
          <reference field="87" count="1">
            <x v="3376"/>
          </reference>
        </references>
      </pivotArea>
    </format>
    <format dxfId="661">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981"/>
          </reference>
          <reference field="82" count="1" selected="0">
            <x v="2523"/>
          </reference>
          <reference field="85" count="1" selected="0">
            <x v="4"/>
          </reference>
          <reference field="87" count="1">
            <x v="3377"/>
          </reference>
        </references>
      </pivotArea>
    </format>
    <format dxfId="660">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982"/>
          </reference>
          <reference field="82" count="1" selected="0">
            <x v="2524"/>
          </reference>
          <reference field="85" count="1" selected="0">
            <x v="4"/>
          </reference>
          <reference field="87" count="1">
            <x v="3378"/>
          </reference>
        </references>
      </pivotArea>
    </format>
    <format dxfId="659">
      <pivotArea dataOnly="0" labelOnly="1" outline="0" fieldPosition="0">
        <references count="13">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658">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3862"/>
          </reference>
          <reference field="82" count="1" selected="0">
            <x v="2446"/>
          </reference>
          <reference field="85" count="1" selected="0">
            <x v="0"/>
          </reference>
          <reference field="87" count="1">
            <x v="3309"/>
          </reference>
        </references>
      </pivotArea>
    </format>
    <format dxfId="657">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3940"/>
          </reference>
          <reference field="82" count="1" selected="0">
            <x v="2471"/>
          </reference>
          <reference field="85" count="1" selected="0">
            <x v="0"/>
          </reference>
          <reference field="87" count="1">
            <x v="3331"/>
          </reference>
        </references>
      </pivotArea>
    </format>
    <format dxfId="656">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3939"/>
          </reference>
          <reference field="82" count="1" selected="0">
            <x v="2470"/>
          </reference>
          <reference field="85" count="1" selected="0">
            <x v="0"/>
          </reference>
          <reference field="87" count="1">
            <x v="3330"/>
          </reference>
        </references>
      </pivotArea>
    </format>
    <format dxfId="655">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866"/>
          </reference>
          <reference field="82" count="1" selected="0">
            <x v="2370"/>
          </reference>
          <reference field="85" count="1" selected="0">
            <x v="7"/>
          </reference>
          <reference field="87" count="1">
            <x v="3255"/>
          </reference>
        </references>
      </pivotArea>
    </format>
    <format dxfId="654">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867"/>
          </reference>
          <reference field="82" count="1" selected="0">
            <x v="2371"/>
          </reference>
          <reference field="85" count="1" selected="0">
            <x v="7"/>
          </reference>
          <reference field="87" count="1">
            <x v="3256"/>
          </reference>
        </references>
      </pivotArea>
    </format>
    <format dxfId="653">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selected="0">
            <x v="2372"/>
          </reference>
          <reference field="85" count="1" selected="0">
            <x v="7"/>
          </reference>
          <reference field="87" count="1">
            <x v="3254"/>
          </reference>
        </references>
      </pivotArea>
    </format>
    <format dxfId="652">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3903"/>
          </reference>
          <reference field="82" count="1" selected="0">
            <x v="2417"/>
          </reference>
          <reference field="85" count="1" selected="0">
            <x v="4"/>
          </reference>
          <reference field="87" count="1">
            <x v="3292"/>
          </reference>
        </references>
      </pivotArea>
    </format>
    <format dxfId="651">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3893"/>
          </reference>
          <reference field="82" count="1" selected="0">
            <x v="2418"/>
          </reference>
          <reference field="85" count="1" selected="0">
            <x v="4"/>
          </reference>
          <reference field="87" count="1">
            <x v="3282"/>
          </reference>
        </references>
      </pivotArea>
    </format>
    <format dxfId="650">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3904"/>
          </reference>
          <reference field="82" count="1" selected="0">
            <x v="2419"/>
          </reference>
          <reference field="85" count="1" selected="0">
            <x v="4"/>
          </reference>
          <reference field="87" count="1">
            <x v="3293"/>
          </reference>
        </references>
      </pivotArea>
    </format>
    <format dxfId="649">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3905"/>
          </reference>
          <reference field="82" count="1" selected="0">
            <x v="2420"/>
          </reference>
          <reference field="85" count="1" selected="0">
            <x v="4"/>
          </reference>
          <reference field="87" count="1">
            <x v="3294"/>
          </reference>
        </references>
      </pivotArea>
    </format>
    <format dxfId="648">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928"/>
          </reference>
          <reference field="82" count="1" selected="0">
            <x v="2477"/>
          </reference>
          <reference field="85" count="1" selected="0">
            <x v="0"/>
          </reference>
          <reference field="87" count="1">
            <x v="3319"/>
          </reference>
        </references>
      </pivotArea>
    </format>
    <format dxfId="647">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3947"/>
          </reference>
          <reference field="82" count="1" selected="0">
            <x v="2481"/>
          </reference>
          <reference field="85" count="1" selected="0">
            <x v="0"/>
          </reference>
          <reference field="87" count="1">
            <x v="3339"/>
          </reference>
        </references>
      </pivotArea>
    </format>
    <format dxfId="646">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3948"/>
          </reference>
          <reference field="82" count="1" selected="0">
            <x v="2482"/>
          </reference>
          <reference field="85" count="1" selected="0">
            <x v="0"/>
          </reference>
          <reference field="87" count="1">
            <x v="3340"/>
          </reference>
        </references>
      </pivotArea>
    </format>
    <format dxfId="645">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977"/>
          </reference>
          <reference field="82" count="1" selected="0">
            <x v="2518"/>
          </reference>
          <reference field="85" count="1" selected="0">
            <x v="7"/>
          </reference>
          <reference field="87" count="1">
            <x v="3373"/>
          </reference>
        </references>
      </pivotArea>
    </format>
    <format dxfId="644">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869"/>
          </reference>
          <reference field="82" count="1" selected="0">
            <x v="2519"/>
          </reference>
          <reference field="85" count="1" selected="0">
            <x v="7"/>
          </reference>
          <reference field="87" count="1">
            <x v="3258"/>
          </reference>
        </references>
      </pivotArea>
    </format>
    <format dxfId="643">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3858"/>
          </reference>
          <reference field="82" count="1" selected="0">
            <x v="2362"/>
          </reference>
          <reference field="85" count="1" selected="0">
            <x v="3"/>
          </reference>
          <reference field="87" count="1">
            <x v="3247"/>
          </reference>
        </references>
      </pivotArea>
    </format>
    <format dxfId="642">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3860"/>
          </reference>
          <reference field="82" count="1" selected="0">
            <x v="2364"/>
          </reference>
          <reference field="85" count="1" selected="0">
            <x v="3"/>
          </reference>
          <reference field="87" count="1">
            <x v="3249"/>
          </reference>
        </references>
      </pivotArea>
    </format>
    <format dxfId="641">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3861"/>
          </reference>
          <reference field="82" count="1" selected="0">
            <x v="2365"/>
          </reference>
          <reference field="85" count="1" selected="0">
            <x v="3"/>
          </reference>
          <reference field="87" count="1">
            <x v="3250"/>
          </reference>
        </references>
      </pivotArea>
    </format>
    <format dxfId="640">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862"/>
          </reference>
          <reference field="82" count="1" selected="0">
            <x v="2366"/>
          </reference>
          <reference field="85" count="1" selected="0">
            <x v="3"/>
          </reference>
          <reference field="87" count="1">
            <x v="3251"/>
          </reference>
        </references>
      </pivotArea>
    </format>
    <format dxfId="639">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3859"/>
          </reference>
          <reference field="82" count="1" selected="0">
            <x v="2363"/>
          </reference>
          <reference field="85" count="1" selected="0">
            <x v="3"/>
          </reference>
          <reference field="87" count="1">
            <x v="3248"/>
          </reference>
        </references>
      </pivotArea>
    </format>
    <format dxfId="638">
      <pivotArea dataOnly="0" labelOnly="1" outline="0" fieldPosition="0">
        <references count="13">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x v="10"/>
          </reference>
        </references>
      </pivotArea>
    </format>
    <format dxfId="637">
      <pivotArea dataOnly="0" labelOnly="1" outline="0" fieldPosition="0">
        <references count="13">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x v="11"/>
          </reference>
        </references>
      </pivotArea>
    </format>
    <format dxfId="636">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866"/>
          </reference>
          <reference field="82" count="1" selected="0">
            <x v="2370"/>
          </reference>
          <reference field="85" count="1" selected="0">
            <x v="7"/>
          </reference>
          <reference field="87" count="1">
            <x v="3255"/>
          </reference>
        </references>
      </pivotArea>
    </format>
    <format dxfId="635">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867"/>
          </reference>
          <reference field="82" count="1" selected="0">
            <x v="2371"/>
          </reference>
          <reference field="85" count="1" selected="0">
            <x v="7"/>
          </reference>
          <reference field="87" count="1">
            <x v="3256"/>
          </reference>
        </references>
      </pivotArea>
    </format>
    <format dxfId="634">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866"/>
          </reference>
          <reference field="82" count="1" selected="0">
            <x v="2370"/>
          </reference>
          <reference field="85" count="1" selected="0">
            <x v="7"/>
          </reference>
          <reference field="87" count="1">
            <x v="3255"/>
          </reference>
        </references>
      </pivotArea>
    </format>
    <format dxfId="633">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867"/>
          </reference>
          <reference field="82" count="1" selected="0">
            <x v="2371"/>
          </reference>
          <reference field="85" count="1" selected="0">
            <x v="7"/>
          </reference>
          <reference field="87" count="1">
            <x v="3256"/>
          </reference>
        </references>
      </pivotArea>
    </format>
    <format dxfId="632">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selected="0">
            <x v="2372"/>
          </reference>
          <reference field="85" count="1" selected="0">
            <x v="7"/>
          </reference>
          <reference field="87" count="1">
            <x v="3254"/>
          </reference>
        </references>
      </pivotArea>
    </format>
    <format dxfId="631">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3901"/>
          </reference>
          <reference field="82" count="1" selected="0">
            <x v="2413"/>
          </reference>
          <reference field="85" count="1" selected="0">
            <x v="4"/>
          </reference>
          <reference field="87" count="1">
            <x v="3290"/>
          </reference>
        </references>
      </pivotArea>
    </format>
    <format dxfId="630">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3899"/>
          </reference>
          <reference field="82" count="1" selected="0">
            <x v="2414"/>
          </reference>
          <reference field="85" count="1" selected="0">
            <x v="4"/>
          </reference>
          <reference field="87" count="1">
            <x v="3288"/>
          </reference>
        </references>
      </pivotArea>
    </format>
    <format dxfId="629">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3902"/>
          </reference>
          <reference field="82" count="1" selected="0">
            <x v="2415"/>
          </reference>
          <reference field="85" count="1" selected="0">
            <x v="4"/>
          </reference>
          <reference field="87" count="1">
            <x v="3291"/>
          </reference>
        </references>
      </pivotArea>
    </format>
    <format dxfId="62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3894"/>
          </reference>
          <reference field="82" count="1" selected="0">
            <x v="2416"/>
          </reference>
          <reference field="85" count="1" selected="0">
            <x v="4"/>
          </reference>
          <reference field="87" count="1">
            <x v="3283"/>
          </reference>
        </references>
      </pivotArea>
    </format>
    <format dxfId="627">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3860"/>
          </reference>
          <reference field="82" count="1" selected="0">
            <x v="2478"/>
          </reference>
          <reference field="85" count="1" selected="0">
            <x v="0"/>
          </reference>
          <reference field="87" count="1">
            <x v="3337"/>
          </reference>
        </references>
      </pivotArea>
    </format>
    <format dxfId="626">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3926"/>
          </reference>
          <reference field="82" count="1" selected="0">
            <x v="2479"/>
          </reference>
          <reference field="85" count="1" selected="0">
            <x v="0"/>
          </reference>
          <reference field="87" count="1">
            <x v="3317"/>
          </reference>
        </references>
      </pivotArea>
    </format>
    <format dxfId="625">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3946"/>
          </reference>
          <reference field="82" count="1" selected="0">
            <x v="2480"/>
          </reference>
          <reference field="85" count="1" selected="0">
            <x v="0"/>
          </reference>
          <reference field="87" count="1">
            <x v="3338"/>
          </reference>
        </references>
      </pivotArea>
    </format>
    <format dxfId="624">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977"/>
          </reference>
          <reference field="82" count="1" selected="0">
            <x v="2518"/>
          </reference>
          <reference field="85" count="1" selected="0">
            <x v="7"/>
          </reference>
          <reference field="87" count="1">
            <x v="3373"/>
          </reference>
        </references>
      </pivotArea>
    </format>
    <format dxfId="623">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3863"/>
          </reference>
          <reference field="82" count="1" selected="0">
            <x v="2367"/>
          </reference>
          <reference field="85" count="1" selected="0">
            <x v="3"/>
          </reference>
          <reference field="87" count="1">
            <x v="3252"/>
          </reference>
        </references>
      </pivotArea>
    </format>
    <format dxfId="622">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862"/>
          </reference>
          <reference field="82" count="1" selected="0">
            <x v="2366"/>
          </reference>
          <reference field="85" count="1" selected="0">
            <x v="3"/>
          </reference>
          <reference field="87" count="1">
            <x v="3251"/>
          </reference>
        </references>
      </pivotArea>
    </format>
    <format dxfId="621">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3859"/>
          </reference>
          <reference field="82" count="1" selected="0">
            <x v="2363"/>
          </reference>
          <reference field="85" count="1" selected="0">
            <x v="3"/>
          </reference>
          <reference field="87" count="1">
            <x v="3248"/>
          </reference>
        </references>
      </pivotArea>
    </format>
    <format dxfId="620">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866"/>
          </reference>
          <reference field="82" count="1" selected="0">
            <x v="2370"/>
          </reference>
          <reference field="85" count="1" selected="0">
            <x v="7"/>
          </reference>
          <reference field="87" count="1">
            <x v="3255"/>
          </reference>
        </references>
      </pivotArea>
    </format>
    <format dxfId="619">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867"/>
          </reference>
          <reference field="82" count="1" selected="0">
            <x v="2371"/>
          </reference>
          <reference field="85" count="1" selected="0">
            <x v="7"/>
          </reference>
          <reference field="87" count="1">
            <x v="3256"/>
          </reference>
        </references>
      </pivotArea>
    </format>
    <format dxfId="618">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3848"/>
          </reference>
          <reference field="82" count="1" selected="0">
            <x v="2356"/>
          </reference>
          <reference field="85" count="1" selected="0">
            <x v="3"/>
          </reference>
          <reference field="87" count="1">
            <x v="3237"/>
          </reference>
        </references>
      </pivotArea>
    </format>
    <format dxfId="61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3852"/>
          </reference>
          <reference field="82" count="1" selected="0">
            <x v="2355"/>
          </reference>
          <reference field="85" count="1" selected="0">
            <x v="3"/>
          </reference>
          <reference field="87" count="1">
            <x v="3241"/>
          </reference>
        </references>
      </pivotArea>
    </format>
    <format dxfId="616">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3850"/>
          </reference>
          <reference field="82" count="1" selected="0">
            <x v="2353"/>
          </reference>
          <reference field="85" count="1" selected="0">
            <x v="3"/>
          </reference>
          <reference field="87" count="1">
            <x v="3239"/>
          </reference>
        </references>
      </pivotArea>
    </format>
    <format dxfId="615">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3851"/>
          </reference>
          <reference field="82" count="1" selected="0">
            <x v="2354"/>
          </reference>
          <reference field="85" count="1" selected="0">
            <x v="3"/>
          </reference>
          <reference field="87" count="1">
            <x v="3240"/>
          </reference>
        </references>
      </pivotArea>
    </format>
    <format dxfId="614">
      <pivotArea dataOnly="0" labelOnly="1" outline="0" fieldPosition="0">
        <references count="13">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x v="8"/>
          </reference>
        </references>
      </pivotArea>
    </format>
    <format dxfId="613">
      <pivotArea dataOnly="0" labelOnly="1" outline="0" fieldPosition="0">
        <references count="13">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x v="9"/>
          </reference>
        </references>
      </pivotArea>
    </format>
    <format dxfId="612">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911"/>
          </reference>
          <reference field="82" count="1" selected="0">
            <x v="2429"/>
          </reference>
          <reference field="85" count="1" selected="0">
            <x v="4"/>
          </reference>
          <reference field="87" count="1">
            <x v="3300"/>
          </reference>
        </references>
      </pivotArea>
    </format>
    <format dxfId="611">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3941"/>
          </reference>
          <reference field="82" count="1" selected="0">
            <x v="2472"/>
          </reference>
          <reference field="85" count="1" selected="0">
            <x v="0"/>
          </reference>
          <reference field="87" count="1">
            <x v="3332"/>
          </reference>
        </references>
      </pivotArea>
    </format>
    <format dxfId="610">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3942"/>
          </reference>
          <reference field="82" count="1" selected="0">
            <x v="2473"/>
          </reference>
          <reference field="85" count="1" selected="0">
            <x v="0"/>
          </reference>
          <reference field="87" count="1">
            <x v="3333"/>
          </reference>
        </references>
      </pivotArea>
    </format>
    <format dxfId="609">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3943"/>
          </reference>
          <reference field="82" count="1" selected="0">
            <x v="2474"/>
          </reference>
          <reference field="85" count="1" selected="0">
            <x v="0"/>
          </reference>
          <reference field="87" count="1">
            <x v="3334"/>
          </reference>
        </references>
      </pivotArea>
    </format>
    <format dxfId="608">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949"/>
          </reference>
          <reference field="82" count="1" selected="0">
            <x v="2484"/>
          </reference>
          <reference field="85" count="1" selected="0">
            <x v="2"/>
          </reference>
          <reference field="87" count="1">
            <x v="3342"/>
          </reference>
        </references>
      </pivotArea>
    </format>
    <format dxfId="607">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927"/>
          </reference>
          <reference field="82" count="1" selected="0">
            <x v="2485"/>
          </reference>
          <reference field="85" count="1" selected="0">
            <x v="2"/>
          </reference>
          <reference field="87" count="1">
            <x v="3343"/>
          </reference>
        </references>
      </pivotArea>
    </format>
    <format dxfId="606">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859"/>
          </reference>
          <reference field="82" count="1" selected="0">
            <x v="2483"/>
          </reference>
          <reference field="85" count="1" selected="0">
            <x v="2"/>
          </reference>
          <reference field="87" count="1">
            <x v="3341"/>
          </reference>
        </references>
      </pivotArea>
    </format>
    <format dxfId="605">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911"/>
          </reference>
          <reference field="82" count="1" selected="0">
            <x v="2429"/>
          </reference>
          <reference field="85" count="1" selected="0">
            <x v="4"/>
          </reference>
          <reference field="87" count="1">
            <x v="3300"/>
          </reference>
        </references>
      </pivotArea>
    </format>
    <format dxfId="604">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3944"/>
          </reference>
          <reference field="82" count="1" selected="0">
            <x v="2475"/>
          </reference>
          <reference field="85" count="1" selected="0">
            <x v="0"/>
          </reference>
          <reference field="87" count="1">
            <x v="3335"/>
          </reference>
        </references>
      </pivotArea>
    </format>
    <format dxfId="603">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3945"/>
          </reference>
          <reference field="82" count="1" selected="0">
            <x v="2476"/>
          </reference>
          <reference field="85" count="1" selected="0">
            <x v="0"/>
          </reference>
          <reference field="87" count="1">
            <x v="3336"/>
          </reference>
        </references>
      </pivotArea>
    </format>
    <format dxfId="602">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3928"/>
          </reference>
          <reference field="82" count="1" selected="0">
            <x v="2477"/>
          </reference>
          <reference field="85" count="1" selected="0">
            <x v="0"/>
          </reference>
          <reference field="87" count="1">
            <x v="3319"/>
          </reference>
        </references>
      </pivotArea>
    </format>
    <format dxfId="60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949"/>
          </reference>
          <reference field="82" count="1" selected="0">
            <x v="2484"/>
          </reference>
          <reference field="85" count="1" selected="0">
            <x v="2"/>
          </reference>
          <reference field="87" count="1">
            <x v="3342"/>
          </reference>
        </references>
      </pivotArea>
    </format>
    <format dxfId="600">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927"/>
          </reference>
          <reference field="82" count="1" selected="0">
            <x v="2485"/>
          </reference>
          <reference field="85" count="1" selected="0">
            <x v="2"/>
          </reference>
          <reference field="87" count="1">
            <x v="3343"/>
          </reference>
        </references>
      </pivotArea>
    </format>
    <format dxfId="599">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3950"/>
          </reference>
          <reference field="82" count="1" selected="0">
            <x v="2486"/>
          </reference>
          <reference field="85" count="1" selected="0">
            <x v="2"/>
          </reference>
          <reference field="87" count="1">
            <x v="3344"/>
          </reference>
        </references>
      </pivotArea>
    </format>
    <format dxfId="598">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859"/>
          </reference>
          <reference field="82" count="1" selected="0">
            <x v="2483"/>
          </reference>
          <reference field="85" count="1" selected="0">
            <x v="2"/>
          </reference>
          <reference field="87" count="1">
            <x v="3341"/>
          </reference>
        </references>
      </pivotArea>
    </format>
    <format dxfId="597">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3951"/>
          </reference>
          <reference field="82" count="1" selected="0">
            <x v="2487"/>
          </reference>
          <reference field="85" count="1" selected="0">
            <x v="2"/>
          </reference>
          <reference field="87" count="1">
            <x v="3345"/>
          </reference>
        </references>
      </pivotArea>
    </format>
    <format dxfId="596">
      <pivotArea dataOnly="0" labelOnly="1" outline="0" fieldPosition="0">
        <references count="13">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595">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975"/>
          </reference>
          <reference field="82" count="1" selected="0">
            <x v="2516"/>
          </reference>
          <reference field="85" count="1" selected="0">
            <x v="7"/>
          </reference>
          <reference field="87" count="1">
            <x v="3371"/>
          </reference>
        </references>
      </pivotArea>
    </format>
    <format dxfId="594">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3976"/>
          </reference>
          <reference field="82" count="1" selected="0">
            <x v="2517"/>
          </reference>
          <reference field="85" count="1" selected="0">
            <x v="7"/>
          </reference>
          <reference field="87" count="1">
            <x v="3372"/>
          </reference>
        </references>
      </pivotArea>
    </format>
    <format dxfId="593">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3990"/>
          </reference>
          <reference field="82" count="1" selected="0">
            <x v="2545"/>
          </reference>
          <reference field="85" count="1" selected="0">
            <x v="4"/>
          </reference>
          <reference field="87" count="1">
            <x v="3397"/>
          </reference>
        </references>
      </pivotArea>
    </format>
    <format dxfId="592">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3991"/>
          </reference>
          <reference field="82" count="1" selected="0">
            <x v="2546"/>
          </reference>
          <reference field="85" count="1" selected="0">
            <x v="4"/>
          </reference>
          <reference field="87" count="1">
            <x v="3398"/>
          </reference>
        </references>
      </pivotArea>
    </format>
    <format dxfId="591">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3992"/>
          </reference>
          <reference field="82" count="1" selected="0">
            <x v="2547"/>
          </reference>
          <reference field="85" count="1" selected="0">
            <x v="4"/>
          </reference>
          <reference field="87" count="1">
            <x v="3399"/>
          </reference>
        </references>
      </pivotArea>
    </format>
    <format dxfId="590">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3981"/>
          </reference>
          <reference field="82" count="1" selected="0">
            <x v="2523"/>
          </reference>
          <reference field="85" count="1" selected="0">
            <x v="4"/>
          </reference>
          <reference field="87" count="1">
            <x v="3377"/>
          </reference>
        </references>
      </pivotArea>
    </format>
    <format dxfId="589">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3912"/>
          </reference>
          <reference field="82" count="1" selected="0">
            <x v="2438"/>
          </reference>
          <reference field="85" count="1" selected="0">
            <x v="4"/>
          </reference>
          <reference field="87" count="1">
            <x v="3401"/>
          </reference>
        </references>
      </pivotArea>
    </format>
    <format dxfId="588">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3994"/>
          </reference>
          <reference field="82" count="1" selected="0">
            <x v="2552"/>
          </reference>
          <reference field="85" count="1" selected="0">
            <x v="4"/>
          </reference>
          <reference field="87" count="1">
            <x v="3402"/>
          </reference>
        </references>
      </pivotArea>
    </format>
    <format dxfId="587">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3995"/>
          </reference>
          <reference field="82" count="1" selected="0">
            <x v="2553"/>
          </reference>
          <reference field="85" count="1" selected="0">
            <x v="4"/>
          </reference>
          <reference field="87" count="1">
            <x v="3404"/>
          </reference>
        </references>
      </pivotArea>
    </format>
    <format dxfId="586">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3953"/>
          </reference>
          <reference field="82" count="1" selected="0">
            <x v="2554"/>
          </reference>
          <reference field="85" count="1" selected="0">
            <x v="4"/>
          </reference>
          <reference field="87" count="1">
            <x v="3405"/>
          </reference>
        </references>
      </pivotArea>
    </format>
    <format dxfId="585">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912"/>
          </reference>
          <reference field="82" count="1" selected="0">
            <x v="2549"/>
          </reference>
          <reference field="85" count="1" selected="0">
            <x v="4"/>
          </reference>
          <reference field="87" count="1">
            <x v="3401"/>
          </reference>
        </references>
      </pivotArea>
    </format>
    <format dxfId="584">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994"/>
          </reference>
          <reference field="82" count="1" selected="0">
            <x v="2550"/>
          </reference>
          <reference field="85" count="1" selected="0">
            <x v="4"/>
          </reference>
          <reference field="87" count="1">
            <x v="3402"/>
          </reference>
        </references>
      </pivotArea>
    </format>
    <format dxfId="583">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954"/>
          </reference>
          <reference field="82" count="1" selected="0">
            <x v="2551"/>
          </reference>
          <reference field="85" count="1" selected="0">
            <x v="4"/>
          </reference>
          <reference field="87" count="1">
            <x v="3403"/>
          </reference>
        </references>
      </pivotArea>
    </format>
    <format dxfId="582">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993"/>
          </reference>
          <reference field="82" count="1" selected="0">
            <x v="2548"/>
          </reference>
          <reference field="85" count="1" selected="0">
            <x v="4"/>
          </reference>
          <reference field="87" count="1">
            <x v="3400"/>
          </reference>
        </references>
      </pivotArea>
    </format>
    <format dxfId="581">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3866"/>
          </reference>
          <reference field="82" count="1" selected="0">
            <x v="2380"/>
          </reference>
          <reference field="85" count="1" selected="0">
            <x v="7"/>
          </reference>
          <reference field="87" count="1">
            <x v="3255"/>
          </reference>
        </references>
      </pivotArea>
    </format>
    <format dxfId="580">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3873"/>
          </reference>
          <reference field="82" count="1" selected="0">
            <x v="2381"/>
          </reference>
          <reference field="85" count="1" selected="0">
            <x v="7"/>
          </reference>
          <reference field="87" count="1">
            <x v="3262"/>
          </reference>
        </references>
      </pivotArea>
    </format>
    <format dxfId="579">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963"/>
          </reference>
          <reference field="82" count="1" selected="0">
            <x v="2502"/>
          </reference>
          <reference field="85" count="1" selected="0">
            <x v="2"/>
          </reference>
          <reference field="87" count="1">
            <x v="3359"/>
          </reference>
        </references>
      </pivotArea>
    </format>
    <format dxfId="578">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933"/>
          </reference>
          <reference field="82" count="1" selected="0">
            <x v="2560"/>
          </reference>
          <reference field="85" count="1" selected="0">
            <x v="4"/>
          </reference>
          <reference field="87" count="1">
            <x v="3408"/>
          </reference>
        </references>
      </pivotArea>
    </format>
    <format dxfId="577">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3931"/>
          </reference>
          <reference field="82" count="1" selected="0">
            <x v="2561"/>
          </reference>
          <reference field="85" count="1" selected="0">
            <x v="4"/>
          </reference>
          <reference field="87" count="1">
            <x v="3409"/>
          </reference>
        </references>
      </pivotArea>
    </format>
    <format dxfId="576">
      <pivotArea dataOnly="0" labelOnly="1" outline="0" fieldPosition="0">
        <references count="13">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1030"/>
          </reference>
          <reference field="82" count="1" selected="0">
            <x v="26"/>
          </reference>
          <reference field="85" count="1" selected="0">
            <x v="2"/>
          </reference>
          <reference field="87" count="1">
            <x v="264"/>
          </reference>
        </references>
      </pivotArea>
    </format>
    <format dxfId="575">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997"/>
          </reference>
          <reference field="82" count="1" selected="0">
            <x v="2563"/>
          </reference>
          <reference field="85" count="1" selected="0">
            <x v="4"/>
          </reference>
          <reference field="87" count="1">
            <x v="3411"/>
          </reference>
        </references>
      </pivotArea>
    </format>
    <format dxfId="574">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890"/>
          </reference>
          <reference field="82" count="1" selected="0">
            <x v="2402"/>
          </reference>
          <reference field="85" count="1" selected="0">
            <x v="4"/>
          </reference>
          <reference field="87" count="1">
            <x v="3279"/>
          </reference>
        </references>
      </pivotArea>
    </format>
    <format dxfId="573">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885"/>
          </reference>
          <reference field="82" count="1" selected="0">
            <x v="2397"/>
          </reference>
          <reference field="85" count="1" selected="0">
            <x v="4"/>
          </reference>
          <reference field="87" count="1">
            <x v="3274"/>
          </reference>
        </references>
      </pivotArea>
    </format>
    <format dxfId="572">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891"/>
          </reference>
          <reference field="82" count="1" selected="0">
            <x v="2403"/>
          </reference>
          <reference field="85" count="1" selected="0">
            <x v="4"/>
          </reference>
          <reference field="87" count="1">
            <x v="3280"/>
          </reference>
        </references>
      </pivotArea>
    </format>
    <format dxfId="571">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892"/>
          </reference>
          <reference field="82" count="1" selected="0">
            <x v="2404"/>
          </reference>
          <reference field="85" count="1" selected="0">
            <x v="4"/>
          </reference>
          <reference field="87" count="1">
            <x v="3281"/>
          </reference>
        </references>
      </pivotArea>
    </format>
    <format dxfId="570">
      <pivotArea dataOnly="0" labelOnly="1" outline="0" fieldPosition="0">
        <references count="13">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569">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858"/>
          </reference>
          <reference field="82" count="1" selected="0">
            <x v="2362"/>
          </reference>
          <reference field="85" count="1" selected="0">
            <x v="4"/>
          </reference>
          <reference field="87" count="1">
            <x v="3387"/>
          </reference>
        </references>
      </pivotArea>
    </format>
    <format dxfId="568">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952"/>
          </reference>
          <reference field="82" count="1" selected="0">
            <x v="2529"/>
          </reference>
          <reference field="85" count="1" selected="0">
            <x v="4"/>
          </reference>
          <reference field="87" count="1">
            <x v="3383"/>
          </reference>
        </references>
      </pivotArea>
    </format>
    <format dxfId="567">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917"/>
          </reference>
          <reference field="82" count="1" selected="0">
            <x v="2530"/>
          </reference>
          <reference field="85" count="1" selected="0">
            <x v="4"/>
          </reference>
          <reference field="87" count="1">
            <x v="3384"/>
          </reference>
        </references>
      </pivotArea>
    </format>
    <format dxfId="566">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950"/>
          </reference>
          <reference field="82" count="1" selected="0">
            <x v="2532"/>
          </reference>
          <reference field="85" count="1" selected="0">
            <x v="4"/>
          </reference>
          <reference field="87" count="1">
            <x v="3386"/>
          </reference>
        </references>
      </pivotArea>
    </format>
    <format dxfId="565">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939"/>
          </reference>
          <reference field="82" count="1" selected="0">
            <x v="2531"/>
          </reference>
          <reference field="85" count="1" selected="0">
            <x v="4"/>
          </reference>
          <reference field="87" count="1">
            <x v="3385"/>
          </reference>
        </references>
      </pivotArea>
    </format>
    <format dxfId="564">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890"/>
          </reference>
          <reference field="82" count="1" selected="0">
            <x v="2402"/>
          </reference>
          <reference field="85" count="1" selected="0">
            <x v="4"/>
          </reference>
          <reference field="87" count="1">
            <x v="3279"/>
          </reference>
        </references>
      </pivotArea>
    </format>
    <format dxfId="563">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885"/>
          </reference>
          <reference field="82" count="1" selected="0">
            <x v="2397"/>
          </reference>
          <reference field="85" count="1" selected="0">
            <x v="4"/>
          </reference>
          <reference field="87" count="1">
            <x v="3274"/>
          </reference>
        </references>
      </pivotArea>
    </format>
    <format dxfId="562">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891"/>
          </reference>
          <reference field="82" count="1" selected="0">
            <x v="2403"/>
          </reference>
          <reference field="85" count="1" selected="0">
            <x v="4"/>
          </reference>
          <reference field="87" count="1">
            <x v="3280"/>
          </reference>
        </references>
      </pivotArea>
    </format>
    <format dxfId="561">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892"/>
          </reference>
          <reference field="82" count="1" selected="0">
            <x v="2404"/>
          </reference>
          <reference field="85" count="1" selected="0">
            <x v="4"/>
          </reference>
          <reference field="87" count="1">
            <x v="3281"/>
          </reference>
        </references>
      </pivotArea>
    </format>
    <format dxfId="560">
      <pivotArea dataOnly="0" labelOnly="1" outline="0" fieldPosition="0">
        <references count="13">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559">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858"/>
          </reference>
          <reference field="82" count="1" selected="0">
            <x v="2362"/>
          </reference>
          <reference field="85" count="1" selected="0">
            <x v="4"/>
          </reference>
          <reference field="87" count="1">
            <x v="3387"/>
          </reference>
        </references>
      </pivotArea>
    </format>
    <format dxfId="558">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952"/>
          </reference>
          <reference field="82" count="1" selected="0">
            <x v="2529"/>
          </reference>
          <reference field="85" count="1" selected="0">
            <x v="4"/>
          </reference>
          <reference field="87" count="1">
            <x v="3383"/>
          </reference>
        </references>
      </pivotArea>
    </format>
    <format dxfId="557">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917"/>
          </reference>
          <reference field="82" count="1" selected="0">
            <x v="2530"/>
          </reference>
          <reference field="85" count="1" selected="0">
            <x v="4"/>
          </reference>
          <reference field="87" count="1">
            <x v="3384"/>
          </reference>
        </references>
      </pivotArea>
    </format>
    <format dxfId="556">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950"/>
          </reference>
          <reference field="82" count="1" selected="0">
            <x v="2532"/>
          </reference>
          <reference field="85" count="1" selected="0">
            <x v="4"/>
          </reference>
          <reference field="87" count="1">
            <x v="3386"/>
          </reference>
        </references>
      </pivotArea>
    </format>
    <format dxfId="55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939"/>
          </reference>
          <reference field="82" count="1" selected="0">
            <x v="2531"/>
          </reference>
          <reference field="85" count="1" selected="0">
            <x v="4"/>
          </reference>
          <reference field="87" count="1">
            <x v="3385"/>
          </reference>
        </references>
      </pivotArea>
    </format>
    <format dxfId="554">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890"/>
          </reference>
          <reference field="82" count="1" selected="0">
            <x v="2402"/>
          </reference>
          <reference field="85" count="1" selected="0">
            <x v="4"/>
          </reference>
          <reference field="87" count="1">
            <x v="3279"/>
          </reference>
        </references>
      </pivotArea>
    </format>
    <format dxfId="553">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885"/>
          </reference>
          <reference field="82" count="1" selected="0">
            <x v="2397"/>
          </reference>
          <reference field="85" count="1" selected="0">
            <x v="4"/>
          </reference>
          <reference field="87" count="1">
            <x v="3274"/>
          </reference>
        </references>
      </pivotArea>
    </format>
    <format dxfId="552">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891"/>
          </reference>
          <reference field="82" count="1" selected="0">
            <x v="2403"/>
          </reference>
          <reference field="85" count="1" selected="0">
            <x v="4"/>
          </reference>
          <reference field="87" count="1">
            <x v="3280"/>
          </reference>
        </references>
      </pivotArea>
    </format>
    <format dxfId="551">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892"/>
          </reference>
          <reference field="82" count="1" selected="0">
            <x v="2404"/>
          </reference>
          <reference field="85" count="1" selected="0">
            <x v="4"/>
          </reference>
          <reference field="87" count="1">
            <x v="3281"/>
          </reference>
        </references>
      </pivotArea>
    </format>
    <format dxfId="550">
      <pivotArea dataOnly="0" labelOnly="1" outline="0" fieldPosition="0">
        <references count="13">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549">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858"/>
          </reference>
          <reference field="82" count="1" selected="0">
            <x v="2362"/>
          </reference>
          <reference field="85" count="1" selected="0">
            <x v="4"/>
          </reference>
          <reference field="87" count="1">
            <x v="3387"/>
          </reference>
        </references>
      </pivotArea>
    </format>
    <format dxfId="548">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952"/>
          </reference>
          <reference field="82" count="1" selected="0">
            <x v="2529"/>
          </reference>
          <reference field="85" count="1" selected="0">
            <x v="4"/>
          </reference>
          <reference field="87" count="1">
            <x v="3383"/>
          </reference>
        </references>
      </pivotArea>
    </format>
    <format dxfId="547">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917"/>
          </reference>
          <reference field="82" count="1" selected="0">
            <x v="2530"/>
          </reference>
          <reference field="85" count="1" selected="0">
            <x v="4"/>
          </reference>
          <reference field="87" count="1">
            <x v="3384"/>
          </reference>
        </references>
      </pivotArea>
    </format>
    <format dxfId="54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950"/>
          </reference>
          <reference field="82" count="1" selected="0">
            <x v="2532"/>
          </reference>
          <reference field="85" count="1" selected="0">
            <x v="4"/>
          </reference>
          <reference field="87" count="1">
            <x v="3386"/>
          </reference>
        </references>
      </pivotArea>
    </format>
    <format dxfId="54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939"/>
          </reference>
          <reference field="82" count="1" selected="0">
            <x v="2531"/>
          </reference>
          <reference field="85" count="1" selected="0">
            <x v="4"/>
          </reference>
          <reference field="87" count="1">
            <x v="3385"/>
          </reference>
        </references>
      </pivotArea>
    </format>
    <format dxfId="544">
      <pivotArea dataOnly="0" labelOnly="1" outline="0" fieldPosition="0">
        <references count="13">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543">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3996"/>
          </reference>
          <reference field="82" count="1" selected="0">
            <x v="2556"/>
          </reference>
          <reference field="85" count="1" selected="0">
            <x v="4"/>
          </reference>
          <reference field="87" count="1">
            <x v="3407"/>
          </reference>
        </references>
      </pivotArea>
    </format>
    <format dxfId="542">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990"/>
          </reference>
          <reference field="82" count="1" selected="0">
            <x v="2559"/>
          </reference>
          <reference field="85" count="1" selected="0">
            <x v="4"/>
          </reference>
          <reference field="87" count="1">
            <x v="3397"/>
          </reference>
        </references>
      </pivotArea>
    </format>
    <format dxfId="541">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939"/>
          </reference>
          <reference field="82" count="1" selected="0">
            <x v="2557"/>
          </reference>
          <reference field="85" count="1" selected="0">
            <x v="4"/>
          </reference>
          <reference field="87" count="1">
            <x v="3385"/>
          </reference>
        </references>
      </pivotArea>
    </format>
    <format dxfId="540">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989"/>
          </reference>
          <reference field="82" count="1" selected="0">
            <x v="2558"/>
          </reference>
          <reference field="85" count="1" selected="0">
            <x v="4"/>
          </reference>
          <reference field="87" count="1">
            <x v="3396"/>
          </reference>
        </references>
      </pivotArea>
    </format>
    <format dxfId="539">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862"/>
          </reference>
          <reference field="82" count="1" selected="0">
            <x v="2366"/>
          </reference>
          <reference field="85" count="1" selected="0">
            <x v="4"/>
          </reference>
          <reference field="87" count="1">
            <x v="3392"/>
          </reference>
        </references>
      </pivotArea>
    </format>
    <format dxfId="538">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849"/>
          </reference>
          <reference field="82" count="1" selected="0">
            <x v="2537"/>
          </reference>
          <reference field="85" count="1" selected="0">
            <x v="4"/>
          </reference>
          <reference field="87" count="1">
            <x v="3393"/>
          </reference>
        </references>
      </pivotArea>
    </format>
    <format dxfId="537">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988"/>
          </reference>
          <reference field="82" count="1" selected="0">
            <x v="2538"/>
          </reference>
          <reference field="85" count="1" selected="0">
            <x v="4"/>
          </reference>
          <reference field="87" count="1">
            <x v="3394"/>
          </reference>
        </references>
      </pivotArea>
    </format>
    <format dxfId="536">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913"/>
          </reference>
          <reference field="82" count="1" selected="0">
            <x v="2539"/>
          </reference>
          <reference field="85" count="1" selected="0">
            <x v="4"/>
          </reference>
          <reference field="87" count="1">
            <x v="3395"/>
          </reference>
        </references>
      </pivotArea>
    </format>
    <format dxfId="535">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862"/>
          </reference>
          <reference field="82" count="1" selected="0">
            <x v="2366"/>
          </reference>
          <reference field="85" count="1" selected="0">
            <x v="4"/>
          </reference>
          <reference field="87" count="1">
            <x v="3392"/>
          </reference>
        </references>
      </pivotArea>
    </format>
    <format dxfId="534">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849"/>
          </reference>
          <reference field="82" count="1" selected="0">
            <x v="2537"/>
          </reference>
          <reference field="85" count="1" selected="0">
            <x v="4"/>
          </reference>
          <reference field="87" count="1">
            <x v="3393"/>
          </reference>
        </references>
      </pivotArea>
    </format>
    <format dxfId="533">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988"/>
          </reference>
          <reference field="82" count="1" selected="0">
            <x v="2538"/>
          </reference>
          <reference field="85" count="1" selected="0">
            <x v="4"/>
          </reference>
          <reference field="87" count="1">
            <x v="3394"/>
          </reference>
        </references>
      </pivotArea>
    </format>
    <format dxfId="53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913"/>
          </reference>
          <reference field="82" count="1" selected="0">
            <x v="2539"/>
          </reference>
          <reference field="85" count="1" selected="0">
            <x v="4"/>
          </reference>
          <reference field="87" count="1">
            <x v="3395"/>
          </reference>
        </references>
      </pivotArea>
    </format>
    <format dxfId="531">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3857"/>
          </reference>
          <reference field="82" count="1" selected="0">
            <x v="2526"/>
          </reference>
          <reference field="85" count="1" selected="0">
            <x v="4"/>
          </reference>
          <reference field="87" count="1">
            <x v="3380"/>
          </reference>
        </references>
      </pivotArea>
    </format>
    <format dxfId="530">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3984"/>
          </reference>
          <reference field="82" count="1" selected="0">
            <x v="2527"/>
          </reference>
          <reference field="85" count="1" selected="0">
            <x v="4"/>
          </reference>
          <reference field="87" count="1">
            <x v="3381"/>
          </reference>
        </references>
      </pivotArea>
    </format>
    <format dxfId="529">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3983"/>
          </reference>
          <reference field="82" count="1" selected="0">
            <x v="2525"/>
          </reference>
          <reference field="85" count="1" selected="0">
            <x v="4"/>
          </reference>
          <reference field="87" count="1">
            <x v="3379"/>
          </reference>
        </references>
      </pivotArea>
    </format>
    <format dxfId="528">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3985"/>
          </reference>
          <reference field="82" count="1" selected="0">
            <x v="2528"/>
          </reference>
          <reference field="85" count="1" selected="0">
            <x v="4"/>
          </reference>
          <reference field="87" count="1">
            <x v="3382"/>
          </reference>
        </references>
      </pivotArea>
    </format>
    <format dxfId="527">
      <pivotArea dataOnly="0" labelOnly="1" outline="0" fieldPosition="0">
        <references count="13">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x v="7"/>
          </reference>
        </references>
      </pivotArea>
    </format>
    <format dxfId="526">
      <pivotArea dataOnly="0" labelOnly="1" outline="0" fieldPosition="0">
        <references count="13">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x v="6"/>
          </reference>
        </references>
      </pivotArea>
    </format>
    <format dxfId="525">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3961"/>
          </reference>
          <reference field="82" count="1" selected="0">
            <x v="2500"/>
          </reference>
          <reference field="85" count="1" selected="0">
            <x v="2"/>
          </reference>
          <reference field="87" count="1">
            <x v="3357"/>
          </reference>
        </references>
      </pivotArea>
    </format>
    <format dxfId="524">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3962"/>
          </reference>
          <reference field="82" count="1" selected="0">
            <x v="2501"/>
          </reference>
          <reference field="85" count="1" selected="0">
            <x v="2"/>
          </reference>
          <reference field="87" count="1">
            <x v="3358"/>
          </reference>
        </references>
      </pivotArea>
    </format>
    <format dxfId="523">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3960"/>
          </reference>
          <reference field="82" count="1" selected="0">
            <x v="2499"/>
          </reference>
          <reference field="85" count="1" selected="0">
            <x v="2"/>
          </reference>
          <reference field="87" count="1">
            <x v="3356"/>
          </reference>
        </references>
      </pivotArea>
    </format>
    <format dxfId="52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890"/>
          </reference>
          <reference field="82" count="1" selected="0">
            <x v="2402"/>
          </reference>
          <reference field="85" count="1" selected="0">
            <x v="4"/>
          </reference>
          <reference field="87" count="1">
            <x v="3279"/>
          </reference>
        </references>
      </pivotArea>
    </format>
    <format dxfId="521">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885"/>
          </reference>
          <reference field="82" count="1" selected="0">
            <x v="2397"/>
          </reference>
          <reference field="85" count="1" selected="0">
            <x v="4"/>
          </reference>
          <reference field="87" count="1">
            <x v="3274"/>
          </reference>
        </references>
      </pivotArea>
    </format>
    <format dxfId="520">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891"/>
          </reference>
          <reference field="82" count="1" selected="0">
            <x v="2403"/>
          </reference>
          <reference field="85" count="1" selected="0">
            <x v="4"/>
          </reference>
          <reference field="87" count="1">
            <x v="3280"/>
          </reference>
        </references>
      </pivotArea>
    </format>
    <format dxfId="519">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892"/>
          </reference>
          <reference field="82" count="1" selected="0">
            <x v="2404"/>
          </reference>
          <reference field="85" count="1" selected="0">
            <x v="4"/>
          </reference>
          <reference field="87" count="1">
            <x v="3281"/>
          </reference>
        </references>
      </pivotArea>
    </format>
    <format dxfId="518">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936"/>
          </reference>
          <reference field="82" count="1" selected="0">
            <x v="2533"/>
          </reference>
          <reference field="85" count="1" selected="0">
            <x v="4"/>
          </reference>
          <reference field="87" count="1">
            <x v="3388"/>
          </reference>
        </references>
      </pivotArea>
    </format>
    <format dxfId="51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987"/>
          </reference>
          <reference field="82" count="1" selected="0">
            <x v="2535"/>
          </reference>
          <reference field="85" count="1" selected="0">
            <x v="4"/>
          </reference>
          <reference field="87" count="1">
            <x v="3390"/>
          </reference>
        </references>
      </pivotArea>
    </format>
    <format dxfId="516">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940"/>
          </reference>
          <reference field="82" count="1" selected="0">
            <x v="2536"/>
          </reference>
          <reference field="85" count="1" selected="0">
            <x v="4"/>
          </reference>
          <reference field="87" count="1">
            <x v="3391"/>
          </reference>
        </references>
      </pivotArea>
    </format>
    <format dxfId="515">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986"/>
          </reference>
          <reference field="82" count="1" selected="0">
            <x v="2534"/>
          </reference>
          <reference field="85" count="1" selected="0">
            <x v="4"/>
          </reference>
          <reference field="87" count="1">
            <x v="3389"/>
          </reference>
        </references>
      </pivotArea>
    </format>
    <format dxfId="514">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936"/>
          </reference>
          <reference field="82" count="1" selected="0">
            <x v="2533"/>
          </reference>
          <reference field="85" count="1" selected="0">
            <x v="4"/>
          </reference>
          <reference field="87" count="1">
            <x v="3388"/>
          </reference>
        </references>
      </pivotArea>
    </format>
    <format dxfId="513">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987"/>
          </reference>
          <reference field="82" count="1" selected="0">
            <x v="2535"/>
          </reference>
          <reference field="85" count="1" selected="0">
            <x v="4"/>
          </reference>
          <reference field="87" count="1">
            <x v="3390"/>
          </reference>
        </references>
      </pivotArea>
    </format>
    <format dxfId="512">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940"/>
          </reference>
          <reference field="82" count="1" selected="0">
            <x v="2536"/>
          </reference>
          <reference field="85" count="1" selected="0">
            <x v="4"/>
          </reference>
          <reference field="87" count="1">
            <x v="3391"/>
          </reference>
        </references>
      </pivotArea>
    </format>
    <format dxfId="511">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986"/>
          </reference>
          <reference field="82" count="1" selected="0">
            <x v="2534"/>
          </reference>
          <reference field="85" count="1" selected="0">
            <x v="4"/>
          </reference>
          <reference field="87" count="1">
            <x v="3389"/>
          </reference>
        </references>
      </pivotArea>
    </format>
    <format dxfId="510">
      <pivotArea dataOnly="0" labelOnly="1" outline="0" fieldPosition="0">
        <references count="13">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509">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3854"/>
          </reference>
          <reference field="82" count="1" selected="0">
            <x v="2358"/>
          </reference>
          <reference field="85" count="1" selected="0">
            <x v="3"/>
          </reference>
          <reference field="87" count="1">
            <x v="3243"/>
          </reference>
        </references>
      </pivotArea>
    </format>
    <format dxfId="508">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998"/>
          </reference>
          <reference field="82" count="1" selected="0">
            <x v="2565"/>
          </reference>
          <reference field="85" count="1" selected="0">
            <x v="4"/>
          </reference>
          <reference field="87" count="1">
            <x v="3413"/>
          </reference>
        </references>
      </pivotArea>
    </format>
    <format dxfId="507">
      <pivotArea dataOnly="0" labelOnly="1" outline="0" fieldPosition="0">
        <references count="13">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1"/>
          </reference>
        </references>
      </pivotArea>
    </format>
    <format dxfId="506">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881"/>
          </reference>
          <reference field="82" count="1" selected="0">
            <x v="2392"/>
          </reference>
          <reference field="85" count="1" selected="0">
            <x v="7"/>
          </reference>
          <reference field="87" count="1">
            <x v="3270"/>
          </reference>
        </references>
      </pivotArea>
    </format>
    <format dxfId="505">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3855"/>
          </reference>
          <reference field="82" count="1" selected="0">
            <x v="2359"/>
          </reference>
          <reference field="85" count="1" selected="0">
            <x v="3"/>
          </reference>
          <reference field="87" count="1">
            <x v="3244"/>
          </reference>
        </references>
      </pivotArea>
    </format>
    <format dxfId="504">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881"/>
          </reference>
          <reference field="82" count="1" selected="0">
            <x v="2393"/>
          </reference>
          <reference field="85" count="1" selected="0">
            <x v="7"/>
          </reference>
          <reference field="87" count="1">
            <x v="3270"/>
          </reference>
        </references>
      </pivotArea>
    </format>
    <format dxfId="503">
      <pivotArea dataOnly="0" labelOnly="1" outline="0" fieldPosition="0">
        <references count="13">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3028"/>
          </reference>
          <reference field="82" count="1" selected="0">
            <x v="1453"/>
          </reference>
          <reference field="85" count="1" selected="0">
            <x v="2"/>
          </reference>
          <reference field="87" count="1">
            <x v="2389"/>
          </reference>
        </references>
      </pivotArea>
    </format>
    <format dxfId="502">
      <pivotArea dataOnly="0" labelOnly="1" outline="0" fieldPosition="0">
        <references count="13">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x v="23"/>
          </reference>
        </references>
      </pivotArea>
    </format>
    <format dxfId="501">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000"/>
          </reference>
          <reference field="82" count="1" selected="0">
            <x v="2567"/>
          </reference>
          <reference field="85" count="1" selected="0">
            <x v="7"/>
          </reference>
          <reference field="87" count="1">
            <x v="3415"/>
          </reference>
        </references>
      </pivotArea>
    </format>
    <format dxfId="500">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002"/>
          </reference>
          <reference field="82" count="1" selected="0">
            <x v="2569"/>
          </reference>
          <reference field="85" count="1" selected="0">
            <x v="7"/>
          </reference>
          <reference field="87" count="1">
            <x v="3417"/>
          </reference>
        </references>
      </pivotArea>
    </format>
    <format dxfId="499">
      <pivotArea dataOnly="0" labelOnly="1" outline="0" fieldPosition="0">
        <references count="13">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x v="20"/>
          </reference>
        </references>
      </pivotArea>
    </format>
    <format dxfId="498">
      <pivotArea dataOnly="0" labelOnly="1" outline="0" fieldPosition="0">
        <references count="13">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3031"/>
          </reference>
          <reference field="82" count="1" selected="0">
            <x v="1456"/>
          </reference>
          <reference field="85" count="1" selected="0">
            <x v="2"/>
          </reference>
          <reference field="87" count="1">
            <x v="2392"/>
          </reference>
        </references>
      </pivotArea>
    </format>
    <format dxfId="497">
      <pivotArea dataOnly="0" labelOnly="1" outline="0" fieldPosition="0">
        <references count="13">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029"/>
          </reference>
          <reference field="82" count="1" selected="0">
            <x v="1454"/>
          </reference>
          <reference field="85" count="1" selected="0">
            <x v="2"/>
          </reference>
          <reference field="87" count="1">
            <x v="2390"/>
          </reference>
        </references>
      </pivotArea>
    </format>
    <format dxfId="496">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001"/>
          </reference>
          <reference field="82" count="1" selected="0">
            <x v="2568"/>
          </reference>
          <reference field="85" count="1" selected="0">
            <x v="7"/>
          </reference>
          <reference field="87" count="1">
            <x v="3416"/>
          </reference>
        </references>
      </pivotArea>
    </format>
    <format dxfId="495">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3877"/>
          </reference>
          <reference field="82" count="1" selected="0">
            <x v="2385"/>
          </reference>
          <reference field="85" count="1" selected="0">
            <x v="2"/>
          </reference>
          <reference field="87" count="1">
            <x v="3266"/>
          </reference>
        </references>
      </pivotArea>
    </format>
    <format dxfId="494">
      <pivotArea dataOnly="0" labelOnly="1" outline="0" fieldPosition="0">
        <references count="13">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4003"/>
          </reference>
          <reference field="82" count="1" selected="0">
            <x v="2570"/>
          </reference>
          <reference field="85" count="1" selected="0">
            <x v="8"/>
          </reference>
          <reference field="87" count="1">
            <x v="3418"/>
          </reference>
        </references>
      </pivotArea>
    </format>
    <format dxfId="493">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002"/>
          </reference>
          <reference field="82" count="1" selected="0">
            <x v="2569"/>
          </reference>
          <reference field="85" count="1" selected="0">
            <x v="7"/>
          </reference>
          <reference field="87" count="1">
            <x v="3417"/>
          </reference>
        </references>
      </pivotArea>
    </format>
    <format dxfId="492">
      <pivotArea dataOnly="0" labelOnly="1" outline="0" fieldPosition="0">
        <references count="13">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029"/>
          </reference>
          <reference field="82" count="1" selected="0">
            <x v="1454"/>
          </reference>
          <reference field="85" count="1" selected="0">
            <x v="2"/>
          </reference>
          <reference field="87" count="1">
            <x v="2390"/>
          </reference>
        </references>
      </pivotArea>
    </format>
    <format dxfId="491">
      <pivotArea dataOnly="0" labelOnly="1" outline="0" fieldPosition="0">
        <references count="13">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5"/>
          </reference>
          <reference field="81" count="1" selected="0">
            <x v="3032"/>
          </reference>
          <reference field="82" count="1" selected="0">
            <x v="1457"/>
          </reference>
          <reference field="85" count="1" selected="0">
            <x v="2"/>
          </reference>
          <reference field="87" count="1">
            <x v="2393"/>
          </reference>
        </references>
      </pivotArea>
    </format>
    <format dxfId="490">
      <pivotArea dataOnly="0" labelOnly="1" outline="0" fieldPosition="0">
        <references count="13">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3"/>
          </reference>
          <reference field="81" count="1" selected="0">
            <x v="3030"/>
          </reference>
          <reference field="82" count="1" selected="0">
            <x v="1455"/>
          </reference>
          <reference field="85" count="1" selected="0">
            <x v="2"/>
          </reference>
          <reference field="87" count="1">
            <x v="2391"/>
          </reference>
        </references>
      </pivotArea>
    </format>
    <format dxfId="489">
      <pivotArea dataOnly="0" labelOnly="1" outline="0" fieldPosition="0">
        <references count="13">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488">
      <pivotArea dataOnly="0" labelOnly="1" outline="0" fieldPosition="0">
        <references count="13">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487">
      <pivotArea dataOnly="0" labelOnly="1" outline="0" fieldPosition="0">
        <references count="13">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x v="20"/>
          </reference>
        </references>
      </pivotArea>
    </format>
    <format dxfId="486">
      <pivotArea dataOnly="0" labelOnly="1" outline="0" fieldPosition="0">
        <references count="13">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485">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3853"/>
          </reference>
          <reference field="82" count="1" selected="0">
            <x v="2357"/>
          </reference>
          <reference field="85" count="1" selected="0">
            <x v="3"/>
          </reference>
          <reference field="87" count="1">
            <x v="3242"/>
          </reference>
        </references>
      </pivotArea>
    </format>
    <format dxfId="484">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930"/>
          </reference>
          <reference field="82" count="1" selected="0">
            <x v="2562"/>
          </reference>
          <reference field="85" count="1" selected="0">
            <x v="4"/>
          </reference>
          <reference field="87" count="1">
            <x v="3410"/>
          </reference>
        </references>
      </pivotArea>
    </format>
    <format dxfId="48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954"/>
          </reference>
          <reference field="82" count="1" selected="0">
            <x v="2492"/>
          </reference>
          <reference field="85" count="1" selected="0">
            <x v="2"/>
          </reference>
          <reference field="87" count="1">
            <x v="3350"/>
          </reference>
        </references>
      </pivotArea>
    </format>
    <format dxfId="48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3955"/>
          </reference>
          <reference field="82" count="1" selected="0">
            <x v="2493"/>
          </reference>
          <reference field="85" count="1" selected="0">
            <x v="2"/>
          </reference>
          <reference field="87" count="1">
            <x v="3351"/>
          </reference>
        </references>
      </pivotArea>
    </format>
    <format dxfId="48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3960"/>
          </reference>
          <reference field="82" count="1" selected="0">
            <x v="2498"/>
          </reference>
          <reference field="85" count="1" selected="0">
            <x v="2"/>
          </reference>
          <reference field="87" count="1">
            <x v="3356"/>
          </reference>
        </references>
      </pivotArea>
    </format>
    <format dxfId="48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3958"/>
          </reference>
          <reference field="82" count="1" selected="0">
            <x v="2496"/>
          </reference>
          <reference field="85" count="1" selected="0">
            <x v="2"/>
          </reference>
          <reference field="87" count="1">
            <x v="3354"/>
          </reference>
        </references>
      </pivotArea>
    </format>
    <format dxfId="47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3957"/>
          </reference>
          <reference field="82" count="1" selected="0">
            <x v="2495"/>
          </reference>
          <reference field="85" count="1" selected="0">
            <x v="2"/>
          </reference>
          <reference field="87" count="1">
            <x v="3353"/>
          </reference>
        </references>
      </pivotArea>
    </format>
    <format dxfId="47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3956"/>
          </reference>
          <reference field="82" count="1" selected="0">
            <x v="2494"/>
          </reference>
          <reference field="85" count="1" selected="0">
            <x v="2"/>
          </reference>
          <reference field="87" count="1">
            <x v="3352"/>
          </reference>
        </references>
      </pivotArea>
    </format>
    <format dxfId="47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953"/>
          </reference>
          <reference field="82" count="1" selected="0">
            <x v="2491"/>
          </reference>
          <reference field="85" count="1" selected="0">
            <x v="2"/>
          </reference>
          <reference field="87" count="1">
            <x v="3349"/>
          </reference>
        </references>
      </pivotArea>
    </format>
    <format dxfId="47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3959"/>
          </reference>
          <reference field="82" count="1" selected="0">
            <x v="2497"/>
          </reference>
          <reference field="85" count="1" selected="0">
            <x v="2"/>
          </reference>
          <reference field="87" count="1">
            <x v="3355"/>
          </reference>
        </references>
      </pivotArea>
    </format>
    <format dxfId="475">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999"/>
          </reference>
          <reference field="82" count="1" selected="0">
            <x v="2566"/>
          </reference>
          <reference field="85" count="1" selected="0">
            <x v="4"/>
          </reference>
          <reference field="87" count="1">
            <x v="3414"/>
          </reference>
        </references>
      </pivotArea>
    </format>
    <format dxfId="474">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3880"/>
          </reference>
          <reference field="82" count="1" selected="0">
            <x v="2391"/>
          </reference>
          <reference field="85" count="1" selected="0">
            <x v="2"/>
          </reference>
          <reference field="87" count="1">
            <x v="3269"/>
          </reference>
        </references>
      </pivotArea>
    </format>
    <format dxfId="473">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879"/>
          </reference>
          <reference field="82" count="1" selected="0">
            <x v="2389"/>
          </reference>
          <reference field="85" count="1" selected="0">
            <x v="7"/>
          </reference>
          <reference field="87" count="1">
            <x v="3268"/>
          </reference>
        </references>
      </pivotArea>
    </format>
    <format dxfId="472">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954"/>
          </reference>
          <reference field="82" count="1" selected="0">
            <x v="2492"/>
          </reference>
          <reference field="85" count="1" selected="0">
            <x v="2"/>
          </reference>
          <reference field="87" count="1">
            <x v="3350"/>
          </reference>
        </references>
      </pivotArea>
    </format>
    <format dxfId="471">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953"/>
          </reference>
          <reference field="82" count="1" selected="0">
            <x v="2491"/>
          </reference>
          <reference field="85" count="1" selected="0">
            <x v="2"/>
          </reference>
          <reference field="87" count="1">
            <x v="3349"/>
          </reference>
        </references>
      </pivotArea>
    </format>
    <format dxfId="470">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879"/>
          </reference>
          <reference field="82" count="1" selected="0">
            <x v="2390"/>
          </reference>
          <reference field="85" count="1" selected="0">
            <x v="7"/>
          </reference>
          <reference field="87" count="1">
            <x v="3268"/>
          </reference>
        </references>
      </pivotArea>
    </format>
    <format dxfId="469">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914"/>
          </reference>
          <reference field="82" count="1" selected="0">
            <x v="2555"/>
          </reference>
          <reference field="85" count="1" selected="0">
            <x v="4"/>
          </reference>
          <reference field="87" count="1">
            <x v="3406"/>
          </reference>
        </references>
      </pivotArea>
    </format>
    <format dxfId="468">
      <pivotArea dataOnly="0" labelOnly="1" outline="0" fieldPosition="0">
        <references count="13">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2"/>
          </reference>
        </references>
      </pivotArea>
    </format>
    <format dxfId="467">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972"/>
          </reference>
          <reference field="82" count="1" selected="0">
            <x v="2513"/>
          </reference>
          <reference field="85" count="1" selected="0">
            <x v="7"/>
          </reference>
          <reference field="87" count="1">
            <x v="3368"/>
          </reference>
        </references>
      </pivotArea>
    </format>
    <format dxfId="466">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3974"/>
          </reference>
          <reference field="82" count="1" selected="0">
            <x v="2515"/>
          </reference>
          <reference field="85" count="1" selected="0">
            <x v="7"/>
          </reference>
          <reference field="87" count="1">
            <x v="3370"/>
          </reference>
        </references>
      </pivotArea>
    </format>
    <format dxfId="465">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3875"/>
          </reference>
          <reference field="82" count="1" selected="0">
            <x v="2383"/>
          </reference>
          <reference field="85" count="1" selected="0">
            <x v="7"/>
          </reference>
          <reference field="87" count="1">
            <x v="3264"/>
          </reference>
        </references>
      </pivotArea>
    </format>
    <format dxfId="464">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3874"/>
          </reference>
          <reference field="82" count="1" selected="0">
            <x v="2382"/>
          </reference>
          <reference field="85" count="1" selected="0">
            <x v="7"/>
          </reference>
          <reference field="87" count="1">
            <x v="3263"/>
          </reference>
        </references>
      </pivotArea>
    </format>
    <format dxfId="463">
      <pivotArea dataOnly="0" labelOnly="1" outline="0" fieldPosition="0">
        <references count="13">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462">
      <pivotArea dataOnly="0" labelOnly="1" outline="0" fieldPosition="0">
        <references count="13">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461">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987"/>
          </reference>
          <reference field="82" count="1" selected="0">
            <x v="2542"/>
          </reference>
          <reference field="85" count="1" selected="0">
            <x v="4"/>
          </reference>
          <reference field="87" count="1">
            <x v="3390"/>
          </reference>
        </references>
      </pivotArea>
    </format>
    <format dxfId="460">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849"/>
          </reference>
          <reference field="82" count="1" selected="0">
            <x v="2352"/>
          </reference>
          <reference field="85" count="1" selected="0">
            <x v="4"/>
          </reference>
          <reference field="87" count="1">
            <x v="3393"/>
          </reference>
        </references>
      </pivotArea>
    </format>
    <format dxfId="459">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988"/>
          </reference>
          <reference field="82" count="1" selected="0">
            <x v="2543"/>
          </reference>
          <reference field="85" count="1" selected="0">
            <x v="4"/>
          </reference>
          <reference field="87" count="1">
            <x v="3394"/>
          </reference>
        </references>
      </pivotArea>
    </format>
    <format dxfId="458">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913"/>
          </reference>
          <reference field="82" count="1" selected="0">
            <x v="2544"/>
          </reference>
          <reference field="85" count="1" selected="0">
            <x v="4"/>
          </reference>
          <reference field="87" count="1">
            <x v="3395"/>
          </reference>
        </references>
      </pivotArea>
    </format>
    <format dxfId="457">
      <pivotArea dataOnly="0" labelOnly="1" outline="0" fieldPosition="0">
        <references count="13">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967"/>
          </reference>
          <reference field="82" count="1" selected="0">
            <x v="2507"/>
          </reference>
          <reference field="85" count="1" selected="0">
            <x v="7"/>
          </reference>
          <reference field="87" count="1">
            <x v="3363"/>
          </reference>
        </references>
      </pivotArea>
    </format>
    <format dxfId="456">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883"/>
          </reference>
          <reference field="82" count="1" selected="0">
            <x v="2395"/>
          </reference>
          <reference field="85" count="1" selected="0">
            <x v="4"/>
          </reference>
          <reference field="87" count="1" selected="0">
            <x v="3272"/>
          </reference>
          <reference field="88" count="1">
            <x v="2173"/>
          </reference>
        </references>
      </pivotArea>
    </format>
    <format dxfId="455">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885"/>
          </reference>
          <reference field="82" count="1" selected="0">
            <x v="2397"/>
          </reference>
          <reference field="85" count="1" selected="0">
            <x v="4"/>
          </reference>
          <reference field="87" count="1" selected="0">
            <x v="3274"/>
          </reference>
          <reference field="88" count="1">
            <x v="2175"/>
          </reference>
        </references>
      </pivotArea>
    </format>
    <format dxfId="454">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886"/>
          </reference>
          <reference field="82" count="1" selected="0">
            <x v="2398"/>
          </reference>
          <reference field="85" count="1" selected="0">
            <x v="4"/>
          </reference>
          <reference field="87" count="1" selected="0">
            <x v="3275"/>
          </reference>
          <reference field="88" count="1">
            <x v="2176"/>
          </reference>
        </references>
      </pivotArea>
    </format>
    <format dxfId="453">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882"/>
          </reference>
          <reference field="82" count="1" selected="0">
            <x v="2394"/>
          </reference>
          <reference field="85" count="1" selected="0">
            <x v="4"/>
          </reference>
          <reference field="87" count="1" selected="0">
            <x v="3271"/>
          </reference>
          <reference field="88" count="1">
            <x v="2172"/>
          </reference>
        </references>
      </pivotArea>
    </format>
    <format dxfId="452">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887"/>
          </reference>
          <reference field="82" count="1" selected="0">
            <x v="2399"/>
          </reference>
          <reference field="85" count="1" selected="0">
            <x v="4"/>
          </reference>
          <reference field="87" count="1" selected="0">
            <x v="3276"/>
          </reference>
          <reference field="88" count="1">
            <x v="2177"/>
          </reference>
        </references>
      </pivotArea>
    </format>
    <format dxfId="451">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888"/>
          </reference>
          <reference field="82" count="1" selected="0">
            <x v="2400"/>
          </reference>
          <reference field="85" count="1" selected="0">
            <x v="4"/>
          </reference>
          <reference field="87" count="1" selected="0">
            <x v="3277"/>
          </reference>
          <reference field="88" count="1">
            <x v="2178"/>
          </reference>
        </references>
      </pivotArea>
    </format>
    <format dxfId="450">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889"/>
          </reference>
          <reference field="82" count="1" selected="0">
            <x v="2401"/>
          </reference>
          <reference field="85" count="1" selected="0">
            <x v="4"/>
          </reference>
          <reference field="87" count="1" selected="0">
            <x v="3278"/>
          </reference>
          <reference field="88" count="1">
            <x v="2179"/>
          </reference>
        </references>
      </pivotArea>
    </format>
    <format dxfId="449">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884"/>
          </reference>
          <reference field="82" count="1" selected="0">
            <x v="2396"/>
          </reference>
          <reference field="85" count="1" selected="0">
            <x v="4"/>
          </reference>
          <reference field="87" count="1" selected="0">
            <x v="3273"/>
          </reference>
          <reference field="88" count="1">
            <x v="2174"/>
          </reference>
        </references>
      </pivotArea>
    </format>
    <format dxfId="448">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5"/>
          </reference>
          <reference field="85" count="1" selected="0">
            <x v="0"/>
          </reference>
          <reference field="87" count="1" selected="0">
            <x v="3315"/>
          </reference>
          <reference field="88" count="1">
            <x v="2233"/>
          </reference>
        </references>
      </pivotArea>
    </format>
    <format dxfId="447">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925"/>
          </reference>
          <reference field="82" count="1" selected="0">
            <x v="2456"/>
          </reference>
          <reference field="85" count="1" selected="0">
            <x v="0"/>
          </reference>
          <reference field="87" count="1" selected="0">
            <x v="3316"/>
          </reference>
          <reference field="88" count="1">
            <x v="2234"/>
          </reference>
        </references>
      </pivotArea>
    </format>
    <format dxfId="446">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926"/>
          </reference>
          <reference field="82" count="1" selected="0">
            <x v="2457"/>
          </reference>
          <reference field="85" count="1" selected="0">
            <x v="0"/>
          </reference>
          <reference field="87" count="1" selected="0">
            <x v="3317"/>
          </reference>
          <reference field="88" count="1">
            <x v="2235"/>
          </reference>
        </references>
      </pivotArea>
    </format>
    <format dxfId="445">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3"/>
          </reference>
          <reference field="85" count="1" selected="0">
            <x v="7"/>
          </reference>
          <reference field="87" count="1" selected="0">
            <x v="3360"/>
          </reference>
          <reference field="88" count="1">
            <x v="2281"/>
          </reference>
        </references>
      </pivotArea>
    </format>
    <format dxfId="444">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965"/>
          </reference>
          <reference field="82" count="1" selected="0">
            <x v="2504"/>
          </reference>
          <reference field="85" count="1" selected="0">
            <x v="7"/>
          </reference>
          <reference field="87" count="1" selected="0">
            <x v="3361"/>
          </reference>
          <reference field="88" count="1">
            <x v="2282"/>
          </reference>
        </references>
      </pivotArea>
    </format>
    <format dxfId="443">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917"/>
          </reference>
          <reference field="82" count="1" selected="0">
            <x v="2530"/>
          </reference>
          <reference field="85" count="1" selected="0">
            <x v="4"/>
          </reference>
          <reference field="87" count="1" selected="0">
            <x v="3384"/>
          </reference>
          <reference field="88" count="1">
            <x v="2308"/>
          </reference>
        </references>
      </pivotArea>
    </format>
    <format dxfId="442">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990"/>
          </reference>
          <reference field="82" count="1" selected="0">
            <x v="2541"/>
          </reference>
          <reference field="85" count="1" selected="0">
            <x v="4"/>
          </reference>
          <reference field="87" count="1" selected="0">
            <x v="3397"/>
          </reference>
          <reference field="88" count="1">
            <x v="2321"/>
          </reference>
        </references>
      </pivotArea>
    </format>
    <format dxfId="441">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939"/>
          </reference>
          <reference field="82" count="1" selected="0">
            <x v="2531"/>
          </reference>
          <reference field="85" count="1" selected="0">
            <x v="4"/>
          </reference>
          <reference field="87" count="1" selected="0">
            <x v="3385"/>
          </reference>
          <reference field="88" count="1">
            <x v="2309"/>
          </reference>
        </references>
      </pivotArea>
    </format>
    <format dxfId="440">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989"/>
          </reference>
          <reference field="82" count="1" selected="0">
            <x v="2540"/>
          </reference>
          <reference field="85" count="1" selected="0">
            <x v="4"/>
          </reference>
          <reference field="87" count="1" selected="0">
            <x v="3396"/>
          </reference>
          <reference field="88" count="1">
            <x v="2320"/>
          </reference>
        </references>
      </pivotArea>
    </format>
    <format dxfId="439">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5"/>
          </reference>
          <reference field="85" count="1" selected="0">
            <x v="7"/>
          </reference>
          <reference field="87" count="1" selected="0">
            <x v="3360"/>
          </reference>
          <reference field="88" count="1">
            <x v="2283"/>
          </reference>
        </references>
      </pivotArea>
    </format>
    <format dxfId="438">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966"/>
          </reference>
          <reference field="82" count="1" selected="0">
            <x v="2506"/>
          </reference>
          <reference field="85" count="1" selected="0">
            <x v="7"/>
          </reference>
          <reference field="87" count="1" selected="0">
            <x v="3362"/>
          </reference>
          <reference field="88" count="1">
            <x v="2284"/>
          </reference>
        </references>
      </pivotArea>
    </format>
    <format dxfId="437">
      <pivotArea dataOnly="0" labelOnly="1" outline="0" fieldPosition="0">
        <references count="14">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436">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2"/>
          </reference>
          <reference field="85" count="1" selected="0">
            <x v="0"/>
          </reference>
          <reference field="87" count="1" selected="0">
            <x v="3315"/>
          </reference>
          <reference field="88" count="1">
            <x v="2230"/>
          </reference>
        </references>
      </pivotArea>
    </format>
    <format dxfId="435">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925"/>
          </reference>
          <reference field="82" count="1" selected="0">
            <x v="2453"/>
          </reference>
          <reference field="85" count="1" selected="0">
            <x v="0"/>
          </reference>
          <reference field="87" count="1" selected="0">
            <x v="3316"/>
          </reference>
          <reference field="88" count="1">
            <x v="2231"/>
          </reference>
        </references>
      </pivotArea>
    </format>
    <format dxfId="434">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926"/>
          </reference>
          <reference field="82" count="1" selected="0">
            <x v="2454"/>
          </reference>
          <reference field="85" count="1" selected="0">
            <x v="0"/>
          </reference>
          <reference field="87" count="1" selected="0">
            <x v="3317"/>
          </reference>
          <reference field="88" count="1">
            <x v="2232"/>
          </reference>
        </references>
      </pivotArea>
    </format>
    <format dxfId="433">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923"/>
          </reference>
          <reference field="82" count="1" selected="0">
            <x v="2451"/>
          </reference>
          <reference field="85" count="1" selected="0">
            <x v="0"/>
          </reference>
          <reference field="87" count="1" selected="0">
            <x v="3314"/>
          </reference>
          <reference field="88" count="1">
            <x v="2229"/>
          </reference>
        </references>
      </pivotArea>
    </format>
    <format dxfId="432">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5"/>
          </reference>
          <reference field="85" count="1" selected="0">
            <x v="7"/>
          </reference>
          <reference field="87" count="1" selected="0">
            <x v="3360"/>
          </reference>
          <reference field="88" count="1">
            <x v="2283"/>
          </reference>
        </references>
      </pivotArea>
    </format>
    <format dxfId="431">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966"/>
          </reference>
          <reference field="82" count="1" selected="0">
            <x v="2506"/>
          </reference>
          <reference field="85" count="1" selected="0">
            <x v="7"/>
          </reference>
          <reference field="87" count="1" selected="0">
            <x v="3362"/>
          </reference>
          <reference field="88" count="1">
            <x v="2284"/>
          </reference>
        </references>
      </pivotArea>
    </format>
    <format dxfId="430">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2"/>
          </reference>
          <reference field="85" count="1" selected="0">
            <x v="0"/>
          </reference>
          <reference field="87" count="1" selected="0">
            <x v="3315"/>
          </reference>
          <reference field="88" count="1">
            <x v="2230"/>
          </reference>
        </references>
      </pivotArea>
    </format>
    <format dxfId="429">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925"/>
          </reference>
          <reference field="82" count="1" selected="0">
            <x v="2453"/>
          </reference>
          <reference field="85" count="1" selected="0">
            <x v="0"/>
          </reference>
          <reference field="87" count="1" selected="0">
            <x v="3316"/>
          </reference>
          <reference field="88" count="1">
            <x v="2231"/>
          </reference>
        </references>
      </pivotArea>
    </format>
    <format dxfId="428">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926"/>
          </reference>
          <reference field="82" count="1" selected="0">
            <x v="2454"/>
          </reference>
          <reference field="85" count="1" selected="0">
            <x v="0"/>
          </reference>
          <reference field="87" count="1" selected="0">
            <x v="3317"/>
          </reference>
          <reference field="88" count="1">
            <x v="2232"/>
          </reference>
        </references>
      </pivotArea>
    </format>
    <format dxfId="427">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923"/>
          </reference>
          <reference field="82" count="1" selected="0">
            <x v="2451"/>
          </reference>
          <reference field="85" count="1" selected="0">
            <x v="0"/>
          </reference>
          <reference field="87" count="1" selected="0">
            <x v="3314"/>
          </reference>
          <reference field="88" count="1">
            <x v="2229"/>
          </reference>
        </references>
      </pivotArea>
    </format>
    <format dxfId="426">
      <pivotArea dataOnly="0" labelOnly="1" outline="0" fieldPosition="0">
        <references count="14">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425">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5"/>
          </reference>
          <reference field="85" count="1" selected="0">
            <x v="7"/>
          </reference>
          <reference field="87" count="1" selected="0">
            <x v="3360"/>
          </reference>
          <reference field="88" count="1">
            <x v="2283"/>
          </reference>
        </references>
      </pivotArea>
    </format>
    <format dxfId="424">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966"/>
          </reference>
          <reference field="82" count="1" selected="0">
            <x v="2506"/>
          </reference>
          <reference field="85" count="1" selected="0">
            <x v="7"/>
          </reference>
          <reference field="87" count="1" selected="0">
            <x v="3362"/>
          </reference>
          <reference field="88" count="1">
            <x v="2284"/>
          </reference>
        </references>
      </pivotArea>
    </format>
    <format dxfId="423">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872"/>
          </reference>
          <reference field="82" count="1" selected="0">
            <x v="2377"/>
          </reference>
          <reference field="85" count="1" selected="0">
            <x v="7"/>
          </reference>
          <reference field="87" count="1" selected="0">
            <x v="3261"/>
          </reference>
          <reference field="88" count="1">
            <x v="2155"/>
          </reference>
        </references>
      </pivotArea>
    </format>
    <format dxfId="422">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selected="0">
            <x v="2379"/>
          </reference>
          <reference field="85" count="1" selected="0">
            <x v="7"/>
          </reference>
          <reference field="87" count="1" selected="0">
            <x v="3254"/>
          </reference>
          <reference field="88" count="1">
            <x v="2157"/>
          </reference>
        </references>
      </pivotArea>
    </format>
    <format dxfId="421">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3919"/>
          </reference>
          <reference field="82" count="1" selected="0">
            <x v="2447"/>
          </reference>
          <reference field="85" count="1" selected="0">
            <x v="0"/>
          </reference>
          <reference field="87" count="1" selected="0">
            <x v="3310"/>
          </reference>
          <reference field="88" count="1">
            <x v="2225"/>
          </reference>
        </references>
      </pivotArea>
    </format>
    <format dxfId="420">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922"/>
          </reference>
          <reference field="82" count="1" selected="0">
            <x v="2450"/>
          </reference>
          <reference field="85" count="1" selected="0">
            <x v="0"/>
          </reference>
          <reference field="87" count="1" selected="0">
            <x v="3313"/>
          </reference>
          <reference field="88" count="1">
            <x v="2228"/>
          </reference>
        </references>
      </pivotArea>
    </format>
    <format dxfId="419">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920"/>
          </reference>
          <reference field="82" count="1" selected="0">
            <x v="2448"/>
          </reference>
          <reference field="85" count="1" selected="0">
            <x v="0"/>
          </reference>
          <reference field="87" count="1" selected="0">
            <x v="3311"/>
          </reference>
          <reference field="88" count="1">
            <x v="2226"/>
          </reference>
        </references>
      </pivotArea>
    </format>
    <format dxfId="418">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921"/>
          </reference>
          <reference field="82" count="1" selected="0">
            <x v="2449"/>
          </reference>
          <reference field="85" count="1" selected="0">
            <x v="0"/>
          </reference>
          <reference field="87" count="1" selected="0">
            <x v="3312"/>
          </reference>
          <reference field="88" count="1">
            <x v="2227"/>
          </reference>
        </references>
      </pivotArea>
    </format>
    <format dxfId="417">
      <pivotArea dataOnly="0" labelOnly="1" outline="0" fieldPosition="0">
        <references count="14">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416">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3"/>
          </reference>
          <reference field="85" count="1" selected="0">
            <x v="7"/>
          </reference>
          <reference field="87" count="1" selected="0">
            <x v="3360"/>
          </reference>
          <reference field="88" count="1">
            <x v="2281"/>
          </reference>
        </references>
      </pivotArea>
    </format>
    <format dxfId="415">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965"/>
          </reference>
          <reference field="82" count="1" selected="0">
            <x v="2504"/>
          </reference>
          <reference field="85" count="1" selected="0">
            <x v="7"/>
          </reference>
          <reference field="87" count="1" selected="0">
            <x v="3361"/>
          </reference>
          <reference field="88" count="1">
            <x v="2282"/>
          </reference>
        </references>
      </pivotArea>
    </format>
    <format dxfId="414">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917"/>
          </reference>
          <reference field="82" count="1" selected="0">
            <x v="2530"/>
          </reference>
          <reference field="85" count="1" selected="0">
            <x v="4"/>
          </reference>
          <reference field="87" count="1" selected="0">
            <x v="3384"/>
          </reference>
          <reference field="88" count="1">
            <x v="2308"/>
          </reference>
        </references>
      </pivotArea>
    </format>
    <format dxfId="413">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990"/>
          </reference>
          <reference field="82" count="1" selected="0">
            <x v="2541"/>
          </reference>
          <reference field="85" count="1" selected="0">
            <x v="4"/>
          </reference>
          <reference field="87" count="1" selected="0">
            <x v="3397"/>
          </reference>
          <reference field="88" count="1">
            <x v="2321"/>
          </reference>
        </references>
      </pivotArea>
    </format>
    <format dxfId="412">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939"/>
          </reference>
          <reference field="82" count="1" selected="0">
            <x v="2531"/>
          </reference>
          <reference field="85" count="1" selected="0">
            <x v="4"/>
          </reference>
          <reference field="87" count="1" selected="0">
            <x v="3385"/>
          </reference>
          <reference field="88" count="1">
            <x v="2309"/>
          </reference>
        </references>
      </pivotArea>
    </format>
    <format dxfId="411">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989"/>
          </reference>
          <reference field="82" count="1" selected="0">
            <x v="2540"/>
          </reference>
          <reference field="85" count="1" selected="0">
            <x v="4"/>
          </reference>
          <reference field="87" count="1" selected="0">
            <x v="3396"/>
          </reference>
          <reference field="88" count="1">
            <x v="2320"/>
          </reference>
        </references>
      </pivotArea>
    </format>
    <format dxfId="410">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866"/>
          </reference>
          <reference field="82" count="1" selected="0">
            <x v="2387"/>
          </reference>
          <reference field="85" count="1" selected="0">
            <x v="7"/>
          </reference>
          <reference field="87" count="1" selected="0">
            <x v="3255"/>
          </reference>
          <reference field="88" count="1">
            <x v="2165"/>
          </reference>
        </references>
      </pivotArea>
    </format>
    <format dxfId="409">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872"/>
          </reference>
          <reference field="82" count="1" selected="0">
            <x v="2378"/>
          </reference>
          <reference field="85" count="1" selected="0">
            <x v="7"/>
          </reference>
          <reference field="87" count="1" selected="0">
            <x v="3261"/>
          </reference>
          <reference field="88" count="1">
            <x v="2156"/>
          </reference>
        </references>
      </pivotArea>
    </format>
    <format dxfId="40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883"/>
          </reference>
          <reference field="82" count="1" selected="0">
            <x v="2431"/>
          </reference>
          <reference field="85" count="1" selected="0">
            <x v="4"/>
          </reference>
          <reference field="87" count="1" selected="0">
            <x v="3272"/>
          </reference>
          <reference field="88" count="1">
            <x v="2209"/>
          </reference>
        </references>
      </pivotArea>
    </format>
    <format dxfId="40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885"/>
          </reference>
          <reference field="82" count="1" selected="0">
            <x v="2433"/>
          </reference>
          <reference field="85" count="1" selected="0">
            <x v="4"/>
          </reference>
          <reference field="87" count="1" selected="0">
            <x v="3274"/>
          </reference>
          <reference field="88" count="1">
            <x v="2211"/>
          </reference>
        </references>
      </pivotArea>
    </format>
    <format dxfId="40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886"/>
          </reference>
          <reference field="82" count="1" selected="0">
            <x v="2434"/>
          </reference>
          <reference field="85" count="1" selected="0">
            <x v="4"/>
          </reference>
          <reference field="87" count="1" selected="0">
            <x v="3275"/>
          </reference>
          <reference field="88" count="1">
            <x v="2212"/>
          </reference>
        </references>
      </pivotArea>
    </format>
    <format dxfId="40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882"/>
          </reference>
          <reference field="82" count="1" selected="0">
            <x v="2430"/>
          </reference>
          <reference field="85" count="1" selected="0">
            <x v="4"/>
          </reference>
          <reference field="87" count="1" selected="0">
            <x v="3271"/>
          </reference>
          <reference field="88" count="1">
            <x v="2208"/>
          </reference>
        </references>
      </pivotArea>
    </format>
    <format dxfId="40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887"/>
          </reference>
          <reference field="82" count="1" selected="0">
            <x v="2435"/>
          </reference>
          <reference field="85" count="1" selected="0">
            <x v="4"/>
          </reference>
          <reference field="87" count="1" selected="0">
            <x v="3276"/>
          </reference>
          <reference field="88" count="1">
            <x v="2213"/>
          </reference>
        </references>
      </pivotArea>
    </format>
    <format dxfId="40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888"/>
          </reference>
          <reference field="82" count="1" selected="0">
            <x v="2436"/>
          </reference>
          <reference field="85" count="1" selected="0">
            <x v="4"/>
          </reference>
          <reference field="87" count="1" selected="0">
            <x v="3277"/>
          </reference>
          <reference field="88" count="1">
            <x v="2214"/>
          </reference>
        </references>
      </pivotArea>
    </format>
    <format dxfId="40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889"/>
          </reference>
          <reference field="82" count="1" selected="0">
            <x v="2437"/>
          </reference>
          <reference field="85" count="1" selected="0">
            <x v="4"/>
          </reference>
          <reference field="87" count="1" selected="0">
            <x v="3278"/>
          </reference>
          <reference field="88" count="1">
            <x v="2215"/>
          </reference>
        </references>
      </pivotArea>
    </format>
    <format dxfId="40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884"/>
          </reference>
          <reference field="82" count="1" selected="0">
            <x v="2432"/>
          </reference>
          <reference field="85" count="1" selected="0">
            <x v="4"/>
          </reference>
          <reference field="87" count="1" selected="0">
            <x v="3273"/>
          </reference>
          <reference field="88" count="1">
            <x v="2210"/>
          </reference>
        </references>
      </pivotArea>
    </format>
    <format dxfId="400">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2"/>
          </reference>
          <reference field="85" count="1" selected="0">
            <x v="0"/>
          </reference>
          <reference field="87" count="1" selected="0">
            <x v="3315"/>
          </reference>
          <reference field="88" count="1">
            <x v="2230"/>
          </reference>
        </references>
      </pivotArea>
    </format>
    <format dxfId="399">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925"/>
          </reference>
          <reference field="82" count="1" selected="0">
            <x v="2453"/>
          </reference>
          <reference field="85" count="1" selected="0">
            <x v="0"/>
          </reference>
          <reference field="87" count="1" selected="0">
            <x v="3316"/>
          </reference>
          <reference field="88" count="1">
            <x v="2231"/>
          </reference>
        </references>
      </pivotArea>
    </format>
    <format dxfId="398">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926"/>
          </reference>
          <reference field="82" count="1" selected="0">
            <x v="2454"/>
          </reference>
          <reference field="85" count="1" selected="0">
            <x v="0"/>
          </reference>
          <reference field="87" count="1" selected="0">
            <x v="3317"/>
          </reference>
          <reference field="88" count="1">
            <x v="2232"/>
          </reference>
        </references>
      </pivotArea>
    </format>
    <format dxfId="397">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923"/>
          </reference>
          <reference field="82" count="1" selected="0">
            <x v="2451"/>
          </reference>
          <reference field="85" count="1" selected="0">
            <x v="0"/>
          </reference>
          <reference field="87" count="1" selected="0">
            <x v="3314"/>
          </reference>
          <reference field="88" count="1">
            <x v="2229"/>
          </reference>
        </references>
      </pivotArea>
    </format>
    <format dxfId="396">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866"/>
          </reference>
          <reference field="82" count="1" selected="0">
            <x v="2386"/>
          </reference>
          <reference field="85" count="1" selected="0">
            <x v="7"/>
          </reference>
          <reference field="87" count="1" selected="0">
            <x v="3255"/>
          </reference>
          <reference field="88" count="1">
            <x v="2164"/>
          </reference>
        </references>
      </pivotArea>
    </format>
    <format dxfId="395">
      <pivotArea dataOnly="0" labelOnly="1" outline="0" fieldPosition="0">
        <references count="14">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394">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3"/>
          </reference>
          <reference field="85" count="1" selected="0">
            <x v="7"/>
          </reference>
          <reference field="87" count="1" selected="0">
            <x v="3360"/>
          </reference>
          <reference field="88" count="1">
            <x v="2281"/>
          </reference>
        </references>
      </pivotArea>
    </format>
    <format dxfId="393">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965"/>
          </reference>
          <reference field="82" count="1" selected="0">
            <x v="2504"/>
          </reference>
          <reference field="85" count="1" selected="0">
            <x v="7"/>
          </reference>
          <reference field="87" count="1" selected="0">
            <x v="3361"/>
          </reference>
          <reference field="88" count="1">
            <x v="2282"/>
          </reference>
        </references>
      </pivotArea>
    </format>
    <format dxfId="392">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922"/>
          </reference>
          <reference field="82" count="1" selected="0">
            <x v="2450"/>
          </reference>
          <reference field="85" count="1" selected="0">
            <x v="0"/>
          </reference>
          <reference field="87" count="1" selected="0">
            <x v="3313"/>
          </reference>
          <reference field="88" count="1">
            <x v="2228"/>
          </reference>
        </references>
      </pivotArea>
    </format>
    <format dxfId="391">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920"/>
          </reference>
          <reference field="82" count="1" selected="0">
            <x v="2448"/>
          </reference>
          <reference field="85" count="1" selected="0">
            <x v="0"/>
          </reference>
          <reference field="87" count="1" selected="0">
            <x v="3311"/>
          </reference>
          <reference field="88" count="1">
            <x v="2226"/>
          </reference>
        </references>
      </pivotArea>
    </format>
    <format dxfId="390">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921"/>
          </reference>
          <reference field="82" count="1" selected="0">
            <x v="2449"/>
          </reference>
          <reference field="85" count="1" selected="0">
            <x v="0"/>
          </reference>
          <reference field="87" count="1" selected="0">
            <x v="3312"/>
          </reference>
          <reference field="88" count="1">
            <x v="2227"/>
          </reference>
        </references>
      </pivotArea>
    </format>
    <format dxfId="389">
      <pivotArea dataOnly="0" labelOnly="1" outline="0" fieldPosition="0">
        <references count="14">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388">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3"/>
          </reference>
          <reference field="85" count="1" selected="0">
            <x v="7"/>
          </reference>
          <reference field="87" count="1" selected="0">
            <x v="3360"/>
          </reference>
          <reference field="88" count="1">
            <x v="2281"/>
          </reference>
        </references>
      </pivotArea>
    </format>
    <format dxfId="387">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965"/>
          </reference>
          <reference field="82" count="1" selected="0">
            <x v="2504"/>
          </reference>
          <reference field="85" count="1" selected="0">
            <x v="7"/>
          </reference>
          <reference field="87" count="1" selected="0">
            <x v="3361"/>
          </reference>
          <reference field="88" count="1">
            <x v="2282"/>
          </reference>
        </references>
      </pivotArea>
    </format>
    <format dxfId="386">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917"/>
          </reference>
          <reference field="82" count="1" selected="0">
            <x v="2530"/>
          </reference>
          <reference field="85" count="1" selected="0">
            <x v="4"/>
          </reference>
          <reference field="87" count="1" selected="0">
            <x v="3384"/>
          </reference>
          <reference field="88" count="1">
            <x v="2308"/>
          </reference>
        </references>
      </pivotArea>
    </format>
    <format dxfId="385">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990"/>
          </reference>
          <reference field="82" count="1" selected="0">
            <x v="2541"/>
          </reference>
          <reference field="85" count="1" selected="0">
            <x v="4"/>
          </reference>
          <reference field="87" count="1" selected="0">
            <x v="3397"/>
          </reference>
          <reference field="88" count="1">
            <x v="2321"/>
          </reference>
        </references>
      </pivotArea>
    </format>
    <format dxfId="384">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939"/>
          </reference>
          <reference field="82" count="1" selected="0">
            <x v="2531"/>
          </reference>
          <reference field="85" count="1" selected="0">
            <x v="4"/>
          </reference>
          <reference field="87" count="1" selected="0">
            <x v="3385"/>
          </reference>
          <reference field="88" count="1">
            <x v="2309"/>
          </reference>
        </references>
      </pivotArea>
    </format>
    <format dxfId="383">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989"/>
          </reference>
          <reference field="82" count="1" selected="0">
            <x v="2540"/>
          </reference>
          <reference field="85" count="1" selected="0">
            <x v="4"/>
          </reference>
          <reference field="87" count="1" selected="0">
            <x v="3396"/>
          </reference>
          <reference field="88" count="1">
            <x v="2320"/>
          </reference>
        </references>
      </pivotArea>
    </format>
    <format dxfId="382">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964"/>
          </reference>
          <reference field="82" count="1" selected="0">
            <x v="2505"/>
          </reference>
          <reference field="85" count="1" selected="0">
            <x v="7"/>
          </reference>
          <reference field="87" count="1" selected="0">
            <x v="3360"/>
          </reference>
          <reference field="88" count="1">
            <x v="2283"/>
          </reference>
        </references>
      </pivotArea>
    </format>
    <format dxfId="381">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966"/>
          </reference>
          <reference field="82" count="1" selected="0">
            <x v="2506"/>
          </reference>
          <reference field="85" count="1" selected="0">
            <x v="7"/>
          </reference>
          <reference field="87" count="1" selected="0">
            <x v="3362"/>
          </reference>
          <reference field="88" count="1">
            <x v="2284"/>
          </reference>
        </references>
      </pivotArea>
    </format>
    <format dxfId="380">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924"/>
          </reference>
          <reference field="82" count="1" selected="0">
            <x v="2452"/>
          </reference>
          <reference field="85" count="1" selected="0">
            <x v="0"/>
          </reference>
          <reference field="87" count="1" selected="0">
            <x v="3315"/>
          </reference>
          <reference field="88" count="1">
            <x v="2230"/>
          </reference>
        </references>
      </pivotArea>
    </format>
    <format dxfId="379">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3930"/>
          </reference>
          <reference field="82" count="1" selected="0">
            <x v="2461"/>
          </reference>
          <reference field="85" count="1" selected="0">
            <x v="0"/>
          </reference>
          <reference field="87" count="1" selected="0">
            <x v="3321"/>
          </reference>
          <reference field="88" count="1">
            <x v="2239"/>
          </reference>
        </references>
      </pivotArea>
    </format>
    <format dxfId="378">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3931"/>
          </reference>
          <reference field="82" count="1" selected="0">
            <x v="2462"/>
          </reference>
          <reference field="85" count="1" selected="0">
            <x v="0"/>
          </reference>
          <reference field="87" count="1" selected="0">
            <x v="3322"/>
          </reference>
          <reference field="88" count="1">
            <x v="2240"/>
          </reference>
        </references>
      </pivotArea>
    </format>
    <format dxfId="377">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3932"/>
          </reference>
          <reference field="82" count="1" selected="0">
            <x v="2463"/>
          </reference>
          <reference field="85" count="1" selected="0">
            <x v="0"/>
          </reference>
          <reference field="87" count="1" selected="0">
            <x v="3323"/>
          </reference>
          <reference field="88" count="1">
            <x v="2241"/>
          </reference>
        </references>
      </pivotArea>
    </format>
    <format dxfId="376">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3868"/>
          </reference>
          <reference field="82" count="1" selected="0">
            <x v="2373"/>
          </reference>
          <reference field="85" count="1" selected="0">
            <x v="7"/>
          </reference>
          <reference field="87" count="1" selected="0">
            <x v="3257"/>
          </reference>
          <reference field="88" count="1">
            <x v="2151"/>
          </reference>
        </references>
      </pivotArea>
    </format>
    <format dxfId="375">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869"/>
          </reference>
          <reference field="82" count="1" selected="0">
            <x v="2374"/>
          </reference>
          <reference field="85" count="1" selected="0">
            <x v="7"/>
          </reference>
          <reference field="87" count="1" selected="0">
            <x v="3258"/>
          </reference>
          <reference field="88" count="1">
            <x v="2152"/>
          </reference>
        </references>
      </pivotArea>
    </format>
    <format dxfId="374">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927"/>
          </reference>
          <reference field="82" count="1" selected="0">
            <x v="2458"/>
          </reference>
          <reference field="85" count="1" selected="0">
            <x v="0"/>
          </reference>
          <reference field="87" count="1" selected="0">
            <x v="3318"/>
          </reference>
          <reference field="88" count="1">
            <x v="2236"/>
          </reference>
        </references>
      </pivotArea>
    </format>
    <format dxfId="373">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928"/>
          </reference>
          <reference field="82" count="1" selected="0">
            <x v="2459"/>
          </reference>
          <reference field="85" count="1" selected="0">
            <x v="0"/>
          </reference>
          <reference field="87" count="1" selected="0">
            <x v="3319"/>
          </reference>
          <reference field="88" count="1">
            <x v="2237"/>
          </reference>
        </references>
      </pivotArea>
    </format>
    <format dxfId="372">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929"/>
          </reference>
          <reference field="82" count="1" selected="0">
            <x v="2460"/>
          </reference>
          <reference field="85" count="1" selected="0">
            <x v="0"/>
          </reference>
          <reference field="87" count="1" selected="0">
            <x v="3320"/>
          </reference>
          <reference field="88" count="1">
            <x v="2238"/>
          </reference>
        </references>
      </pivotArea>
    </format>
    <format dxfId="371">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967"/>
          </reference>
          <reference field="82" count="1" selected="0">
            <x v="2507"/>
          </reference>
          <reference field="85" count="1" selected="0">
            <x v="7"/>
          </reference>
          <reference field="87" count="1" selected="0">
            <x v="3363"/>
          </reference>
          <reference field="88" count="1">
            <x v="2285"/>
          </reference>
        </references>
      </pivotArea>
    </format>
    <format dxfId="370">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3968"/>
          </reference>
          <reference field="82" count="1" selected="0">
            <x v="2508"/>
          </reference>
          <reference field="85" count="1" selected="0">
            <x v="7"/>
          </reference>
          <reference field="87" count="1" selected="0">
            <x v="3364"/>
          </reference>
          <reference field="88" count="1">
            <x v="2286"/>
          </reference>
        </references>
      </pivotArea>
    </format>
    <format dxfId="369">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3878"/>
          </reference>
          <reference field="82" count="1" selected="0">
            <x v="2388"/>
          </reference>
          <reference field="85" count="1" selected="0">
            <x v="7"/>
          </reference>
          <reference field="87" count="1" selected="0">
            <x v="3267"/>
          </reference>
          <reference field="88" count="1">
            <x v="2166"/>
          </reference>
        </references>
      </pivotArea>
    </format>
    <format dxfId="368">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927"/>
          </reference>
          <reference field="82" count="1" selected="0">
            <x v="2458"/>
          </reference>
          <reference field="85" count="1" selected="0">
            <x v="0"/>
          </reference>
          <reference field="87" count="1" selected="0">
            <x v="3318"/>
          </reference>
          <reference field="88" count="1">
            <x v="2236"/>
          </reference>
        </references>
      </pivotArea>
    </format>
    <format dxfId="367">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928"/>
          </reference>
          <reference field="82" count="1" selected="0">
            <x v="2459"/>
          </reference>
          <reference field="85" count="1" selected="0">
            <x v="0"/>
          </reference>
          <reference field="87" count="1" selected="0">
            <x v="3319"/>
          </reference>
          <reference field="88" count="1">
            <x v="2237"/>
          </reference>
        </references>
      </pivotArea>
    </format>
    <format dxfId="366">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929"/>
          </reference>
          <reference field="82" count="1" selected="0">
            <x v="2460"/>
          </reference>
          <reference field="85" count="1" selected="0">
            <x v="0"/>
          </reference>
          <reference field="87" count="1" selected="0">
            <x v="3320"/>
          </reference>
          <reference field="88" count="1">
            <x v="2238"/>
          </reference>
        </references>
      </pivotArea>
    </format>
    <format dxfId="365">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967"/>
          </reference>
          <reference field="82" count="1" selected="0">
            <x v="2507"/>
          </reference>
          <reference field="85" count="1" selected="0">
            <x v="7"/>
          </reference>
          <reference field="87" count="1" selected="0">
            <x v="3363"/>
          </reference>
          <reference field="88" count="1">
            <x v="2285"/>
          </reference>
        </references>
      </pivotArea>
    </format>
    <format dxfId="364">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3936"/>
          </reference>
          <reference field="82" count="1" selected="0">
            <x v="2467"/>
          </reference>
          <reference field="85" count="1" selected="0">
            <x v="0"/>
          </reference>
          <reference field="87" count="1" selected="0">
            <x v="3327"/>
          </reference>
          <reference field="88" count="1">
            <x v="2245"/>
          </reference>
        </references>
      </pivotArea>
    </format>
    <format dxfId="363">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3937"/>
          </reference>
          <reference field="82" count="1" selected="0">
            <x v="2468"/>
          </reference>
          <reference field="85" count="1" selected="0">
            <x v="0"/>
          </reference>
          <reference field="87" count="1" selected="0">
            <x v="3328"/>
          </reference>
          <reference field="88" count="1">
            <x v="2246"/>
          </reference>
        </references>
      </pivotArea>
    </format>
    <format dxfId="362">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3938"/>
          </reference>
          <reference field="82" count="1" selected="0">
            <x v="2469"/>
          </reference>
          <reference field="85" count="1" selected="0">
            <x v="0"/>
          </reference>
          <reference field="87" count="1" selected="0">
            <x v="3329"/>
          </reference>
          <reference field="88" count="1">
            <x v="2247"/>
          </reference>
        </references>
      </pivotArea>
    </format>
    <format dxfId="361">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3864"/>
          </reference>
          <reference field="82" count="1" selected="0">
            <x v="2368"/>
          </reference>
          <reference field="85" count="1" selected="0">
            <x v="7"/>
          </reference>
          <reference field="87" count="1" selected="0">
            <x v="3253"/>
          </reference>
          <reference field="88" count="1">
            <x v="2146"/>
          </reference>
        </references>
      </pivotArea>
    </format>
    <format dxfId="360">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selected="0">
            <x v="2369"/>
          </reference>
          <reference field="85" count="1" selected="0">
            <x v="7"/>
          </reference>
          <reference field="87" count="1" selected="0">
            <x v="3254"/>
          </reference>
          <reference field="88" count="1">
            <x v="2147"/>
          </reference>
        </references>
      </pivotArea>
    </format>
    <format dxfId="359">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3882"/>
          </reference>
          <reference field="82" count="1" selected="0">
            <x v="2423"/>
          </reference>
          <reference field="85" count="1" selected="0">
            <x v="4"/>
          </reference>
          <reference field="87" count="1" selected="0">
            <x v="3271"/>
          </reference>
          <reference field="88" count="1">
            <x v="2201"/>
          </reference>
        </references>
      </pivotArea>
    </format>
    <format dxfId="358">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3888"/>
          </reference>
          <reference field="82" count="1" selected="0">
            <x v="2424"/>
          </reference>
          <reference field="85" count="1" selected="0">
            <x v="4"/>
          </reference>
          <reference field="87" count="1" selected="0">
            <x v="3277"/>
          </reference>
          <reference field="88" count="1">
            <x v="2202"/>
          </reference>
        </references>
      </pivotArea>
    </format>
    <format dxfId="357">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3884"/>
          </reference>
          <reference field="82" count="1" selected="0">
            <x v="2421"/>
          </reference>
          <reference field="85" count="1" selected="0">
            <x v="4"/>
          </reference>
          <reference field="87" count="1" selected="0">
            <x v="3273"/>
          </reference>
          <reference field="88" count="1">
            <x v="2199"/>
          </reference>
        </references>
      </pivotArea>
    </format>
    <format dxfId="356">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3906"/>
          </reference>
          <reference field="82" count="1" selected="0">
            <x v="2422"/>
          </reference>
          <reference field="85" count="1" selected="0">
            <x v="4"/>
          </reference>
          <reference field="87" count="1" selected="0">
            <x v="3295"/>
          </reference>
          <reference field="88" count="1">
            <x v="2200"/>
          </reference>
        </references>
      </pivotArea>
    </format>
    <format dxfId="355">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3933"/>
          </reference>
          <reference field="82" count="1" selected="0">
            <x v="2464"/>
          </reference>
          <reference field="85" count="1" selected="0">
            <x v="0"/>
          </reference>
          <reference field="87" count="1" selected="0">
            <x v="3324"/>
          </reference>
          <reference field="88" count="1">
            <x v="2242"/>
          </reference>
        </references>
      </pivotArea>
    </format>
    <format dxfId="354">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3934"/>
          </reference>
          <reference field="82" count="1" selected="0">
            <x v="2465"/>
          </reference>
          <reference field="85" count="1" selected="0">
            <x v="0"/>
          </reference>
          <reference field="87" count="1" selected="0">
            <x v="3325"/>
          </reference>
          <reference field="88" count="1">
            <x v="2243"/>
          </reference>
        </references>
      </pivotArea>
    </format>
    <format dxfId="353">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3935"/>
          </reference>
          <reference field="82" count="1" selected="0">
            <x v="2466"/>
          </reference>
          <reference field="85" count="1" selected="0">
            <x v="0"/>
          </reference>
          <reference field="87" count="1" selected="0">
            <x v="3326"/>
          </reference>
          <reference field="88" count="1">
            <x v="2244"/>
          </reference>
        </references>
      </pivotArea>
    </format>
    <format dxfId="352">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978"/>
          </reference>
          <reference field="82" count="1" selected="0">
            <x v="2520"/>
          </reference>
          <reference field="85" count="1" selected="0">
            <x v="7"/>
          </reference>
          <reference field="87" count="1" selected="0">
            <x v="3374"/>
          </reference>
          <reference field="88" count="1">
            <x v="2298"/>
          </reference>
        </references>
      </pivotArea>
    </format>
    <format dxfId="351">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871"/>
          </reference>
          <reference field="82" count="1" selected="0">
            <x v="2376"/>
          </reference>
          <reference field="85" count="1" selected="0">
            <x v="7"/>
          </reference>
          <reference field="87" count="1" selected="0">
            <x v="3260"/>
          </reference>
          <reference field="88" count="1">
            <x v="2154"/>
          </reference>
        </references>
      </pivotArea>
    </format>
    <format dxfId="350">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3915"/>
          </reference>
          <reference field="82" count="1" selected="0">
            <x v="2442"/>
          </reference>
          <reference field="85" count="1" selected="0">
            <x v="0"/>
          </reference>
          <reference field="87" count="1" selected="0">
            <x v="3305"/>
          </reference>
          <reference field="88" count="1">
            <x v="2220"/>
          </reference>
        </references>
      </pivotArea>
    </format>
    <format dxfId="349">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3914"/>
          </reference>
          <reference field="82" count="1" selected="0">
            <x v="2441"/>
          </reference>
          <reference field="85" count="1" selected="0">
            <x v="0"/>
          </reference>
          <reference field="87" count="1" selected="0">
            <x v="3304"/>
          </reference>
          <reference field="88" count="1">
            <x v="2219"/>
          </reference>
        </references>
      </pivotArea>
    </format>
    <format dxfId="348">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3916"/>
          </reference>
          <reference field="82" count="1" selected="0">
            <x v="2443"/>
          </reference>
          <reference field="85" count="1" selected="0">
            <x v="0"/>
          </reference>
          <reference field="87" count="1" selected="0">
            <x v="3306"/>
          </reference>
          <reference field="88" count="1">
            <x v="2221"/>
          </reference>
        </references>
      </pivotArea>
    </format>
    <format dxfId="347">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3876"/>
          </reference>
          <reference field="82" count="1" selected="0">
            <x v="2384"/>
          </reference>
          <reference field="85" count="1" selected="0">
            <x v="7"/>
          </reference>
          <reference field="87" count="1" selected="0">
            <x v="3265"/>
          </reference>
          <reference field="88" count="1">
            <x v="2162"/>
          </reference>
        </references>
      </pivotArea>
    </format>
    <format dxfId="346">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871"/>
          </reference>
          <reference field="82" count="1" selected="0">
            <x v="2376"/>
          </reference>
          <reference field="85" count="1" selected="0">
            <x v="7"/>
          </reference>
          <reference field="87" count="1" selected="0">
            <x v="3260"/>
          </reference>
          <reference field="88" count="1">
            <x v="2154"/>
          </reference>
        </references>
      </pivotArea>
    </format>
    <format dxfId="345">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3909"/>
          </reference>
          <reference field="82" count="1" selected="0">
            <x v="2427"/>
          </reference>
          <reference field="85" count="1" selected="0">
            <x v="4"/>
          </reference>
          <reference field="87" count="1" selected="0">
            <x v="3298"/>
          </reference>
          <reference field="88" count="1">
            <x v="2205"/>
          </reference>
        </references>
      </pivotArea>
    </format>
    <format dxfId="344">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3910"/>
          </reference>
          <reference field="82" count="1" selected="0">
            <x v="2428"/>
          </reference>
          <reference field="85" count="1" selected="0">
            <x v="4"/>
          </reference>
          <reference field="87" count="1" selected="0">
            <x v="3299"/>
          </reference>
          <reference field="88" count="1">
            <x v="2206"/>
          </reference>
        </references>
      </pivotArea>
    </format>
    <format dxfId="343">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3907"/>
          </reference>
          <reference field="82" count="1" selected="0">
            <x v="2425"/>
          </reference>
          <reference field="85" count="1" selected="0">
            <x v="4"/>
          </reference>
          <reference field="87" count="1" selected="0">
            <x v="3296"/>
          </reference>
          <reference field="88" count="1">
            <x v="2203"/>
          </reference>
        </references>
      </pivotArea>
    </format>
    <format dxfId="342">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3908"/>
          </reference>
          <reference field="82" count="1" selected="0">
            <x v="2426"/>
          </reference>
          <reference field="85" count="1" selected="0">
            <x v="4"/>
          </reference>
          <reference field="87" count="1" selected="0">
            <x v="3297"/>
          </reference>
          <reference field="88" count="1">
            <x v="2204"/>
          </reference>
        </references>
      </pivotArea>
    </format>
    <format dxfId="341">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912"/>
          </reference>
          <reference field="82" count="1" selected="0">
            <x v="2438"/>
          </reference>
          <reference field="85" count="1" selected="0">
            <x v="0"/>
          </reference>
          <reference field="87" count="1" selected="0">
            <x v="3301"/>
          </reference>
          <reference field="88" count="1">
            <x v="2216"/>
          </reference>
        </references>
      </pivotArea>
    </format>
    <format dxfId="340">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913"/>
          </reference>
          <reference field="82" count="1" selected="0">
            <x v="2439"/>
          </reference>
          <reference field="85" count="1" selected="0">
            <x v="0"/>
          </reference>
          <reference field="87" count="1" selected="0">
            <x v="3302"/>
          </reference>
          <reference field="88" count="1">
            <x v="2217"/>
          </reference>
        </references>
      </pivotArea>
    </format>
    <format dxfId="339">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852"/>
          </reference>
          <reference field="82" count="1" selected="0">
            <x v="2440"/>
          </reference>
          <reference field="85" count="1" selected="0">
            <x v="0"/>
          </reference>
          <reference field="87" count="1" selected="0">
            <x v="3303"/>
          </reference>
          <reference field="88" count="1">
            <x v="2218"/>
          </reference>
        </references>
      </pivotArea>
    </format>
    <format dxfId="338">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selected="0">
            <x v="2369"/>
          </reference>
          <reference field="85" count="1" selected="0">
            <x v="7"/>
          </reference>
          <reference field="87" count="1" selected="0">
            <x v="3254"/>
          </reference>
          <reference field="88" count="1">
            <x v="2147"/>
          </reference>
        </references>
      </pivotArea>
    </format>
    <format dxfId="337">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912"/>
          </reference>
          <reference field="82" count="1" selected="0">
            <x v="2438"/>
          </reference>
          <reference field="85" count="1" selected="0">
            <x v="0"/>
          </reference>
          <reference field="87" count="1" selected="0">
            <x v="3301"/>
          </reference>
          <reference field="88" count="1">
            <x v="2216"/>
          </reference>
        </references>
      </pivotArea>
    </format>
    <format dxfId="336">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913"/>
          </reference>
          <reference field="82" count="1" selected="0">
            <x v="2439"/>
          </reference>
          <reference field="85" count="1" selected="0">
            <x v="0"/>
          </reference>
          <reference field="87" count="1" selected="0">
            <x v="3302"/>
          </reference>
          <reference field="88" count="1">
            <x v="2217"/>
          </reference>
        </references>
      </pivotArea>
    </format>
    <format dxfId="335">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852"/>
          </reference>
          <reference field="82" count="1" selected="0">
            <x v="2440"/>
          </reference>
          <reference field="85" count="1" selected="0">
            <x v="0"/>
          </reference>
          <reference field="87" count="1" selected="0">
            <x v="3303"/>
          </reference>
          <reference field="88" count="1">
            <x v="2218"/>
          </reference>
        </references>
      </pivotArea>
    </format>
    <format dxfId="334">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3870"/>
          </reference>
          <reference field="82" count="1" selected="0">
            <x v="2375"/>
          </reference>
          <reference field="85" count="1" selected="0">
            <x v="7"/>
          </reference>
          <reference field="87" count="1" selected="0">
            <x v="3259"/>
          </reference>
          <reference field="88" count="1">
            <x v="2153"/>
          </reference>
        </references>
      </pivotArea>
    </format>
    <format dxfId="333">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selected="0">
            <x v="2369"/>
          </reference>
          <reference field="85" count="1" selected="0">
            <x v="7"/>
          </reference>
          <reference field="87" count="1" selected="0">
            <x v="3254"/>
          </reference>
          <reference field="88" count="1">
            <x v="2147"/>
          </reference>
        </references>
      </pivotArea>
    </format>
    <format dxfId="332">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917"/>
          </reference>
          <reference field="82" count="1" selected="0">
            <x v="2444"/>
          </reference>
          <reference field="85" count="1" selected="0">
            <x v="0"/>
          </reference>
          <reference field="87" count="1" selected="0">
            <x v="3307"/>
          </reference>
          <reference field="88" count="1">
            <x v="2222"/>
          </reference>
        </references>
      </pivotArea>
    </format>
    <format dxfId="331">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918"/>
          </reference>
          <reference field="82" count="1" selected="0">
            <x v="2445"/>
          </reference>
          <reference field="85" count="1" selected="0">
            <x v="0"/>
          </reference>
          <reference field="87" count="1" selected="0">
            <x v="3308"/>
          </reference>
          <reference field="88" count="1">
            <x v="2223"/>
          </reference>
        </references>
      </pivotArea>
    </format>
    <format dxfId="330">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862"/>
          </reference>
          <reference field="82" count="1" selected="0">
            <x v="2446"/>
          </reference>
          <reference field="85" count="1" selected="0">
            <x v="0"/>
          </reference>
          <reference field="87" count="1" selected="0">
            <x v="3309"/>
          </reference>
          <reference field="88" count="1">
            <x v="2224"/>
          </reference>
        </references>
      </pivotArea>
    </format>
    <format dxfId="329">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943"/>
          </reference>
          <reference field="82" count="1" selected="0">
            <x v="2489"/>
          </reference>
          <reference field="85" count="1" selected="0">
            <x v="2"/>
          </reference>
          <reference field="87" count="1" selected="0">
            <x v="3347"/>
          </reference>
          <reference field="88" count="1">
            <x v="2267"/>
          </reference>
        </references>
      </pivotArea>
    </format>
    <format dxfId="328">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3948"/>
          </reference>
          <reference field="82" count="1" selected="0">
            <x v="2488"/>
          </reference>
          <reference field="85" count="1" selected="0">
            <x v="2"/>
          </reference>
          <reference field="87" count="1" selected="0">
            <x v="3346"/>
          </reference>
          <reference field="88" count="1">
            <x v="2266"/>
          </reference>
        </references>
      </pivotArea>
    </format>
    <format dxfId="327">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3952"/>
          </reference>
          <reference field="82" count="1" selected="0">
            <x v="2490"/>
          </reference>
          <reference field="85" count="1" selected="0">
            <x v="2"/>
          </reference>
          <reference field="87" count="1" selected="0">
            <x v="3348"/>
          </reference>
          <reference field="88" count="1">
            <x v="2268"/>
          </reference>
        </references>
      </pivotArea>
    </format>
    <format dxfId="326">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917"/>
          </reference>
          <reference field="82" count="1" selected="0">
            <x v="2444"/>
          </reference>
          <reference field="85" count="1" selected="0">
            <x v="0"/>
          </reference>
          <reference field="87" count="1" selected="0">
            <x v="3307"/>
          </reference>
          <reference field="88" count="1">
            <x v="2222"/>
          </reference>
        </references>
      </pivotArea>
    </format>
    <format dxfId="325">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918"/>
          </reference>
          <reference field="82" count="1" selected="0">
            <x v="2445"/>
          </reference>
          <reference field="85" count="1" selected="0">
            <x v="0"/>
          </reference>
          <reference field="87" count="1" selected="0">
            <x v="3308"/>
          </reference>
          <reference field="88" count="1">
            <x v="2223"/>
          </reference>
        </references>
      </pivotArea>
    </format>
    <format dxfId="324">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862"/>
          </reference>
          <reference field="82" count="1" selected="0">
            <x v="2446"/>
          </reference>
          <reference field="85" count="1" selected="0">
            <x v="0"/>
          </reference>
          <reference field="87" count="1" selected="0">
            <x v="3309"/>
          </reference>
          <reference field="88" count="1">
            <x v="2224"/>
          </reference>
        </references>
      </pivotArea>
    </format>
    <format dxfId="323">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869"/>
          </reference>
          <reference field="82" count="1" selected="0">
            <x v="2511"/>
          </reference>
          <reference field="85" count="1" selected="0">
            <x v="7"/>
          </reference>
          <reference field="87" count="1" selected="0">
            <x v="3258"/>
          </reference>
          <reference field="88" count="1">
            <x v="2289"/>
          </reference>
        </references>
      </pivotArea>
    </format>
    <format dxfId="322">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3987"/>
          </reference>
          <reference field="82" count="1" selected="0">
            <x v="2542"/>
          </reference>
          <reference field="85" count="1" selected="0">
            <x v="4"/>
          </reference>
          <reference field="87" count="1" selected="0">
            <x v="3390"/>
          </reference>
          <reference field="88" count="1">
            <x v="2322"/>
          </reference>
        </references>
      </pivotArea>
    </format>
    <format dxfId="321">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3849"/>
          </reference>
          <reference field="82" count="1" selected="0">
            <x v="2352"/>
          </reference>
          <reference field="85" count="1" selected="0">
            <x v="4"/>
          </reference>
          <reference field="87" count="1" selected="0">
            <x v="3393"/>
          </reference>
          <reference field="88" count="1">
            <x v="2323"/>
          </reference>
        </references>
      </pivotArea>
    </format>
    <format dxfId="320">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3848"/>
          </reference>
          <reference field="82" count="1" selected="0">
            <x v="2351"/>
          </reference>
          <reference field="85" count="1" selected="0">
            <x v="4"/>
          </reference>
          <reference field="87" count="1" selected="0">
            <x v="3412"/>
          </reference>
          <reference field="88" count="1">
            <x v="2347"/>
          </reference>
        </references>
      </pivotArea>
    </format>
    <format dxfId="319">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3986"/>
          </reference>
          <reference field="82" count="1" selected="0">
            <x v="2564"/>
          </reference>
          <reference field="85" count="1" selected="0">
            <x v="4"/>
          </reference>
          <reference field="87" count="1" selected="0">
            <x v="3389"/>
          </reference>
          <reference field="88" count="1">
            <x v="2346"/>
          </reference>
        </references>
      </pivotArea>
    </format>
    <format dxfId="318">
      <pivotArea dataOnly="0" labelOnly="1" outline="0" fieldPosition="0">
        <references count="14">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317">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979"/>
          </reference>
          <reference field="82" count="1" selected="0">
            <x v="2521"/>
          </reference>
          <reference field="85" count="1" selected="0">
            <x v="4"/>
          </reference>
          <reference field="87" count="1" selected="0">
            <x v="3375"/>
          </reference>
          <reference field="88" count="1">
            <x v="2299"/>
          </reference>
        </references>
      </pivotArea>
    </format>
    <format dxfId="316">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980"/>
          </reference>
          <reference field="82" count="1" selected="0">
            <x v="2522"/>
          </reference>
          <reference field="85" count="1" selected="0">
            <x v="4"/>
          </reference>
          <reference field="87" count="1" selected="0">
            <x v="3376"/>
          </reference>
          <reference field="88" count="1">
            <x v="2300"/>
          </reference>
        </references>
      </pivotArea>
    </format>
    <format dxfId="315">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981"/>
          </reference>
          <reference field="82" count="1" selected="0">
            <x v="2523"/>
          </reference>
          <reference field="85" count="1" selected="0">
            <x v="4"/>
          </reference>
          <reference field="87" count="1" selected="0">
            <x v="3377"/>
          </reference>
          <reference field="88" count="1">
            <x v="2301"/>
          </reference>
        </references>
      </pivotArea>
    </format>
    <format dxfId="314">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982"/>
          </reference>
          <reference field="82" count="1" selected="0">
            <x v="2524"/>
          </reference>
          <reference field="85" count="1" selected="0">
            <x v="4"/>
          </reference>
          <reference field="87" count="1" selected="0">
            <x v="3378"/>
          </reference>
          <reference field="88" count="1">
            <x v="2302"/>
          </reference>
        </references>
      </pivotArea>
    </format>
    <format dxfId="313">
      <pivotArea dataOnly="0" labelOnly="1" outline="0" fieldPosition="0">
        <references count="14">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312">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3849"/>
          </reference>
          <reference field="82" count="1" selected="0">
            <x v="2352"/>
          </reference>
          <reference field="85" count="1" selected="0">
            <x v="3"/>
          </reference>
          <reference field="87" count="1" selected="0">
            <x v="3238"/>
          </reference>
          <reference field="88" count="1">
            <x v="2130"/>
          </reference>
        </references>
      </pivotArea>
    </format>
    <format dxfId="311">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3848"/>
          </reference>
          <reference field="82" count="1" selected="0">
            <x v="2351"/>
          </reference>
          <reference field="85" count="1" selected="0">
            <x v="3"/>
          </reference>
          <reference field="87" count="1" selected="0">
            <x v="3237"/>
          </reference>
          <reference field="88" count="1">
            <x v="2129"/>
          </reference>
        </references>
      </pivotArea>
    </format>
    <format dxfId="310">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979"/>
          </reference>
          <reference field="82" count="1" selected="0">
            <x v="2521"/>
          </reference>
          <reference field="85" count="1" selected="0">
            <x v="4"/>
          </reference>
          <reference field="87" count="1" selected="0">
            <x v="3375"/>
          </reference>
          <reference field="88" count="1">
            <x v="2299"/>
          </reference>
        </references>
      </pivotArea>
    </format>
    <format dxfId="309">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980"/>
          </reference>
          <reference field="82" count="1" selected="0">
            <x v="2522"/>
          </reference>
          <reference field="85" count="1" selected="0">
            <x v="4"/>
          </reference>
          <reference field="87" count="1" selected="0">
            <x v="3376"/>
          </reference>
          <reference field="88" count="1">
            <x v="2300"/>
          </reference>
        </references>
      </pivotArea>
    </format>
    <format dxfId="308">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981"/>
          </reference>
          <reference field="82" count="1" selected="0">
            <x v="2523"/>
          </reference>
          <reference field="85" count="1" selected="0">
            <x v="4"/>
          </reference>
          <reference field="87" count="1" selected="0">
            <x v="3377"/>
          </reference>
          <reference field="88" count="1">
            <x v="2301"/>
          </reference>
        </references>
      </pivotArea>
    </format>
    <format dxfId="307">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982"/>
          </reference>
          <reference field="82" count="1" selected="0">
            <x v="2524"/>
          </reference>
          <reference field="85" count="1" selected="0">
            <x v="4"/>
          </reference>
          <reference field="87" count="1" selected="0">
            <x v="3378"/>
          </reference>
          <reference field="88" count="1">
            <x v="2302"/>
          </reference>
        </references>
      </pivotArea>
    </format>
    <format dxfId="306">
      <pivotArea dataOnly="0" labelOnly="1" outline="0" fieldPosition="0">
        <references count="14">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305">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979"/>
          </reference>
          <reference field="82" count="1" selected="0">
            <x v="2521"/>
          </reference>
          <reference field="85" count="1" selected="0">
            <x v="4"/>
          </reference>
          <reference field="87" count="1" selected="0">
            <x v="3375"/>
          </reference>
          <reference field="88" count="1">
            <x v="2299"/>
          </reference>
        </references>
      </pivotArea>
    </format>
    <format dxfId="304">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980"/>
          </reference>
          <reference field="82" count="1" selected="0">
            <x v="2522"/>
          </reference>
          <reference field="85" count="1" selected="0">
            <x v="4"/>
          </reference>
          <reference field="87" count="1" selected="0">
            <x v="3376"/>
          </reference>
          <reference field="88" count="1">
            <x v="2300"/>
          </reference>
        </references>
      </pivotArea>
    </format>
    <format dxfId="303">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981"/>
          </reference>
          <reference field="82" count="1" selected="0">
            <x v="2523"/>
          </reference>
          <reference field="85" count="1" selected="0">
            <x v="4"/>
          </reference>
          <reference field="87" count="1" selected="0">
            <x v="3377"/>
          </reference>
          <reference field="88" count="1">
            <x v="2301"/>
          </reference>
        </references>
      </pivotArea>
    </format>
    <format dxfId="302">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982"/>
          </reference>
          <reference field="82" count="1" selected="0">
            <x v="2524"/>
          </reference>
          <reference field="85" count="1" selected="0">
            <x v="4"/>
          </reference>
          <reference field="87" count="1" selected="0">
            <x v="3378"/>
          </reference>
          <reference field="88" count="1">
            <x v="2302"/>
          </reference>
        </references>
      </pivotArea>
    </format>
    <format dxfId="301">
      <pivotArea dataOnly="0" labelOnly="1" outline="0" fieldPosition="0">
        <references count="14">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300">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3862"/>
          </reference>
          <reference field="82" count="1" selected="0">
            <x v="2446"/>
          </reference>
          <reference field="85" count="1" selected="0">
            <x v="0"/>
          </reference>
          <reference field="87" count="1" selected="0">
            <x v="3309"/>
          </reference>
          <reference field="88" count="1">
            <x v="2224"/>
          </reference>
        </references>
      </pivotArea>
    </format>
    <format dxfId="299">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3940"/>
          </reference>
          <reference field="82" count="1" selected="0">
            <x v="2471"/>
          </reference>
          <reference field="85" count="1" selected="0">
            <x v="0"/>
          </reference>
          <reference field="87" count="1" selected="0">
            <x v="3331"/>
          </reference>
          <reference field="88" count="1">
            <x v="2249"/>
          </reference>
        </references>
      </pivotArea>
    </format>
    <format dxfId="298">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3939"/>
          </reference>
          <reference field="82" count="1" selected="0">
            <x v="2470"/>
          </reference>
          <reference field="85" count="1" selected="0">
            <x v="0"/>
          </reference>
          <reference field="87" count="1" selected="0">
            <x v="3330"/>
          </reference>
          <reference field="88" count="1">
            <x v="2248"/>
          </reference>
        </references>
      </pivotArea>
    </format>
    <format dxfId="297">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866"/>
          </reference>
          <reference field="82" count="1" selected="0">
            <x v="2370"/>
          </reference>
          <reference field="85" count="1" selected="0">
            <x v="7"/>
          </reference>
          <reference field="87" count="1" selected="0">
            <x v="3255"/>
          </reference>
          <reference field="88" count="1">
            <x v="2148"/>
          </reference>
        </references>
      </pivotArea>
    </format>
    <format dxfId="296">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867"/>
          </reference>
          <reference field="82" count="1" selected="0">
            <x v="2371"/>
          </reference>
          <reference field="85" count="1" selected="0">
            <x v="7"/>
          </reference>
          <reference field="87" count="1" selected="0">
            <x v="3256"/>
          </reference>
          <reference field="88" count="1">
            <x v="2149"/>
          </reference>
        </references>
      </pivotArea>
    </format>
    <format dxfId="295">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selected="0">
            <x v="2372"/>
          </reference>
          <reference field="85" count="1" selected="0">
            <x v="7"/>
          </reference>
          <reference field="87" count="1" selected="0">
            <x v="3254"/>
          </reference>
          <reference field="88" count="1">
            <x v="2150"/>
          </reference>
        </references>
      </pivotArea>
    </format>
    <format dxfId="294">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3903"/>
          </reference>
          <reference field="82" count="1" selected="0">
            <x v="2417"/>
          </reference>
          <reference field="85" count="1" selected="0">
            <x v="4"/>
          </reference>
          <reference field="87" count="1" selected="0">
            <x v="3292"/>
          </reference>
          <reference field="88" count="1">
            <x v="2195"/>
          </reference>
        </references>
      </pivotArea>
    </format>
    <format dxfId="293">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3893"/>
          </reference>
          <reference field="82" count="1" selected="0">
            <x v="2418"/>
          </reference>
          <reference field="85" count="1" selected="0">
            <x v="4"/>
          </reference>
          <reference field="87" count="1" selected="0">
            <x v="3282"/>
          </reference>
          <reference field="88" count="1">
            <x v="2196"/>
          </reference>
        </references>
      </pivotArea>
    </format>
    <format dxfId="292">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3904"/>
          </reference>
          <reference field="82" count="1" selected="0">
            <x v="2419"/>
          </reference>
          <reference field="85" count="1" selected="0">
            <x v="4"/>
          </reference>
          <reference field="87" count="1" selected="0">
            <x v="3293"/>
          </reference>
          <reference field="88" count="1">
            <x v="2197"/>
          </reference>
        </references>
      </pivotArea>
    </format>
    <format dxfId="291">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3905"/>
          </reference>
          <reference field="82" count="1" selected="0">
            <x v="2420"/>
          </reference>
          <reference field="85" count="1" selected="0">
            <x v="4"/>
          </reference>
          <reference field="87" count="1" selected="0">
            <x v="3294"/>
          </reference>
          <reference field="88" count="1">
            <x v="2198"/>
          </reference>
        </references>
      </pivotArea>
    </format>
    <format dxfId="290">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928"/>
          </reference>
          <reference field="82" count="1" selected="0">
            <x v="2477"/>
          </reference>
          <reference field="85" count="1" selected="0">
            <x v="0"/>
          </reference>
          <reference field="87" count="1" selected="0">
            <x v="3319"/>
          </reference>
          <reference field="88" count="1">
            <x v="2255"/>
          </reference>
        </references>
      </pivotArea>
    </format>
    <format dxfId="289">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3947"/>
          </reference>
          <reference field="82" count="1" selected="0">
            <x v="2481"/>
          </reference>
          <reference field="85" count="1" selected="0">
            <x v="0"/>
          </reference>
          <reference field="87" count="1" selected="0">
            <x v="3339"/>
          </reference>
          <reference field="88" count="1">
            <x v="2259"/>
          </reference>
        </references>
      </pivotArea>
    </format>
    <format dxfId="288">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3948"/>
          </reference>
          <reference field="82" count="1" selected="0">
            <x v="2482"/>
          </reference>
          <reference field="85" count="1" selected="0">
            <x v="0"/>
          </reference>
          <reference field="87" count="1" selected="0">
            <x v="3340"/>
          </reference>
          <reference field="88" count="1">
            <x v="2260"/>
          </reference>
        </references>
      </pivotArea>
    </format>
    <format dxfId="287">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977"/>
          </reference>
          <reference field="82" count="1" selected="0">
            <x v="2518"/>
          </reference>
          <reference field="85" count="1" selected="0">
            <x v="7"/>
          </reference>
          <reference field="87" count="1" selected="0">
            <x v="3373"/>
          </reference>
          <reference field="88" count="1">
            <x v="2296"/>
          </reference>
        </references>
      </pivotArea>
    </format>
    <format dxfId="286">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869"/>
          </reference>
          <reference field="82" count="1" selected="0">
            <x v="2519"/>
          </reference>
          <reference field="85" count="1" selected="0">
            <x v="7"/>
          </reference>
          <reference field="87" count="1" selected="0">
            <x v="3258"/>
          </reference>
          <reference field="88" count="1">
            <x v="2297"/>
          </reference>
        </references>
      </pivotArea>
    </format>
    <format dxfId="285">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3858"/>
          </reference>
          <reference field="82" count="1" selected="0">
            <x v="2362"/>
          </reference>
          <reference field="85" count="1" selected="0">
            <x v="3"/>
          </reference>
          <reference field="87" count="1" selected="0">
            <x v="3247"/>
          </reference>
          <reference field="88" count="1">
            <x v="2140"/>
          </reference>
        </references>
      </pivotArea>
    </format>
    <format dxfId="284">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3860"/>
          </reference>
          <reference field="82" count="1" selected="0">
            <x v="2364"/>
          </reference>
          <reference field="85" count="1" selected="0">
            <x v="3"/>
          </reference>
          <reference field="87" count="1" selected="0">
            <x v="3249"/>
          </reference>
          <reference field="88" count="1">
            <x v="2142"/>
          </reference>
        </references>
      </pivotArea>
    </format>
    <format dxfId="283">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3861"/>
          </reference>
          <reference field="82" count="1" selected="0">
            <x v="2365"/>
          </reference>
          <reference field="85" count="1" selected="0">
            <x v="3"/>
          </reference>
          <reference field="87" count="1" selected="0">
            <x v="3250"/>
          </reference>
          <reference field="88" count="1">
            <x v="2143"/>
          </reference>
        </references>
      </pivotArea>
    </format>
    <format dxfId="282">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862"/>
          </reference>
          <reference field="82" count="1" selected="0">
            <x v="2366"/>
          </reference>
          <reference field="85" count="1" selected="0">
            <x v="3"/>
          </reference>
          <reference field="87" count="1" selected="0">
            <x v="3251"/>
          </reference>
          <reference field="88" count="1">
            <x v="2144"/>
          </reference>
        </references>
      </pivotArea>
    </format>
    <format dxfId="281">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3859"/>
          </reference>
          <reference field="82" count="1" selected="0">
            <x v="2363"/>
          </reference>
          <reference field="85" count="1" selected="0">
            <x v="3"/>
          </reference>
          <reference field="87" count="1" selected="0">
            <x v="3248"/>
          </reference>
          <reference field="88" count="1">
            <x v="2141"/>
          </reference>
        </references>
      </pivotArea>
    </format>
    <format dxfId="280">
      <pivotArea dataOnly="0" labelOnly="1" outline="0" fieldPosition="0">
        <references count="14">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selected="0">
            <x v="10"/>
          </reference>
          <reference field="88" count="1">
            <x v="10"/>
          </reference>
        </references>
      </pivotArea>
    </format>
    <format dxfId="279">
      <pivotArea dataOnly="0" labelOnly="1" outline="0" fieldPosition="0">
        <references count="14">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selected="0">
            <x v="11"/>
          </reference>
          <reference field="88" count="1">
            <x v="11"/>
          </reference>
        </references>
      </pivotArea>
    </format>
    <format dxfId="278">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866"/>
          </reference>
          <reference field="82" count="1" selected="0">
            <x v="2370"/>
          </reference>
          <reference field="85" count="1" selected="0">
            <x v="7"/>
          </reference>
          <reference field="87" count="1" selected="0">
            <x v="3255"/>
          </reference>
          <reference field="88" count="1">
            <x v="2148"/>
          </reference>
        </references>
      </pivotArea>
    </format>
    <format dxfId="277">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867"/>
          </reference>
          <reference field="82" count="1" selected="0">
            <x v="2371"/>
          </reference>
          <reference field="85" count="1" selected="0">
            <x v="7"/>
          </reference>
          <reference field="87" count="1" selected="0">
            <x v="3256"/>
          </reference>
          <reference field="88" count="1">
            <x v="2149"/>
          </reference>
        </references>
      </pivotArea>
    </format>
    <format dxfId="276">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866"/>
          </reference>
          <reference field="82" count="1" selected="0">
            <x v="2370"/>
          </reference>
          <reference field="85" count="1" selected="0">
            <x v="7"/>
          </reference>
          <reference field="87" count="1" selected="0">
            <x v="3255"/>
          </reference>
          <reference field="88" count="1">
            <x v="2148"/>
          </reference>
        </references>
      </pivotArea>
    </format>
    <format dxfId="275">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867"/>
          </reference>
          <reference field="82" count="1" selected="0">
            <x v="2371"/>
          </reference>
          <reference field="85" count="1" selected="0">
            <x v="7"/>
          </reference>
          <reference field="87" count="1" selected="0">
            <x v="3256"/>
          </reference>
          <reference field="88" count="1">
            <x v="2149"/>
          </reference>
        </references>
      </pivotArea>
    </format>
    <format dxfId="274">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865"/>
          </reference>
          <reference field="82" count="1" selected="0">
            <x v="2372"/>
          </reference>
          <reference field="85" count="1" selected="0">
            <x v="7"/>
          </reference>
          <reference field="87" count="1" selected="0">
            <x v="3254"/>
          </reference>
          <reference field="88" count="1">
            <x v="2150"/>
          </reference>
        </references>
      </pivotArea>
    </format>
    <format dxfId="273">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3901"/>
          </reference>
          <reference field="82" count="1" selected="0">
            <x v="2413"/>
          </reference>
          <reference field="85" count="1" selected="0">
            <x v="4"/>
          </reference>
          <reference field="87" count="1" selected="0">
            <x v="3290"/>
          </reference>
          <reference field="88" count="1">
            <x v="2191"/>
          </reference>
        </references>
      </pivotArea>
    </format>
    <format dxfId="272">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3899"/>
          </reference>
          <reference field="82" count="1" selected="0">
            <x v="2414"/>
          </reference>
          <reference field="85" count="1" selected="0">
            <x v="4"/>
          </reference>
          <reference field="87" count="1" selected="0">
            <x v="3288"/>
          </reference>
          <reference field="88" count="1">
            <x v="2192"/>
          </reference>
        </references>
      </pivotArea>
    </format>
    <format dxfId="271">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3902"/>
          </reference>
          <reference field="82" count="1" selected="0">
            <x v="2415"/>
          </reference>
          <reference field="85" count="1" selected="0">
            <x v="4"/>
          </reference>
          <reference field="87" count="1" selected="0">
            <x v="3291"/>
          </reference>
          <reference field="88" count="1">
            <x v="2193"/>
          </reference>
        </references>
      </pivotArea>
    </format>
    <format dxfId="270">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3894"/>
          </reference>
          <reference field="82" count="1" selected="0">
            <x v="2416"/>
          </reference>
          <reference field="85" count="1" selected="0">
            <x v="4"/>
          </reference>
          <reference field="87" count="1" selected="0">
            <x v="3283"/>
          </reference>
          <reference field="88" count="1">
            <x v="2194"/>
          </reference>
        </references>
      </pivotArea>
    </format>
    <format dxfId="269">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3860"/>
          </reference>
          <reference field="82" count="1" selected="0">
            <x v="2478"/>
          </reference>
          <reference field="85" count="1" selected="0">
            <x v="0"/>
          </reference>
          <reference field="87" count="1" selected="0">
            <x v="3337"/>
          </reference>
          <reference field="88" count="1">
            <x v="2256"/>
          </reference>
        </references>
      </pivotArea>
    </format>
    <format dxfId="268">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3926"/>
          </reference>
          <reference field="82" count="1" selected="0">
            <x v="2479"/>
          </reference>
          <reference field="85" count="1" selected="0">
            <x v="0"/>
          </reference>
          <reference field="87" count="1" selected="0">
            <x v="3317"/>
          </reference>
          <reference field="88" count="1">
            <x v="2257"/>
          </reference>
        </references>
      </pivotArea>
    </format>
    <format dxfId="267">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3946"/>
          </reference>
          <reference field="82" count="1" selected="0">
            <x v="2480"/>
          </reference>
          <reference field="85" count="1" selected="0">
            <x v="0"/>
          </reference>
          <reference field="87" count="1" selected="0">
            <x v="3338"/>
          </reference>
          <reference field="88" count="1">
            <x v="2258"/>
          </reference>
        </references>
      </pivotArea>
    </format>
    <format dxfId="266">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977"/>
          </reference>
          <reference field="82" count="1" selected="0">
            <x v="2518"/>
          </reference>
          <reference field="85" count="1" selected="0">
            <x v="7"/>
          </reference>
          <reference field="87" count="1" selected="0">
            <x v="3373"/>
          </reference>
          <reference field="88" count="1">
            <x v="2296"/>
          </reference>
        </references>
      </pivotArea>
    </format>
    <format dxfId="265">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3863"/>
          </reference>
          <reference field="82" count="1" selected="0">
            <x v="2367"/>
          </reference>
          <reference field="85" count="1" selected="0">
            <x v="3"/>
          </reference>
          <reference field="87" count="1" selected="0">
            <x v="3252"/>
          </reference>
          <reference field="88" count="1">
            <x v="2145"/>
          </reference>
        </references>
      </pivotArea>
    </format>
    <format dxfId="264">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862"/>
          </reference>
          <reference field="82" count="1" selected="0">
            <x v="2366"/>
          </reference>
          <reference field="85" count="1" selected="0">
            <x v="3"/>
          </reference>
          <reference field="87" count="1" selected="0">
            <x v="3251"/>
          </reference>
          <reference field="88" count="1">
            <x v="2144"/>
          </reference>
        </references>
      </pivotArea>
    </format>
    <format dxfId="263">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3859"/>
          </reference>
          <reference field="82" count="1" selected="0">
            <x v="2363"/>
          </reference>
          <reference field="85" count="1" selected="0">
            <x v="3"/>
          </reference>
          <reference field="87" count="1" selected="0">
            <x v="3248"/>
          </reference>
          <reference field="88" count="1">
            <x v="2141"/>
          </reference>
        </references>
      </pivotArea>
    </format>
    <format dxfId="262">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866"/>
          </reference>
          <reference field="82" count="1" selected="0">
            <x v="2370"/>
          </reference>
          <reference field="85" count="1" selected="0">
            <x v="7"/>
          </reference>
          <reference field="87" count="1" selected="0">
            <x v="3255"/>
          </reference>
          <reference field="88" count="1">
            <x v="2148"/>
          </reference>
        </references>
      </pivotArea>
    </format>
    <format dxfId="261">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867"/>
          </reference>
          <reference field="82" count="1" selected="0">
            <x v="2371"/>
          </reference>
          <reference field="85" count="1" selected="0">
            <x v="7"/>
          </reference>
          <reference field="87" count="1" selected="0">
            <x v="3256"/>
          </reference>
          <reference field="88" count="1">
            <x v="2149"/>
          </reference>
        </references>
      </pivotArea>
    </format>
    <format dxfId="260">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3848"/>
          </reference>
          <reference field="82" count="1" selected="0">
            <x v="2356"/>
          </reference>
          <reference field="85" count="1" selected="0">
            <x v="3"/>
          </reference>
          <reference field="87" count="1" selected="0">
            <x v="3237"/>
          </reference>
          <reference field="88" count="1">
            <x v="2134"/>
          </reference>
        </references>
      </pivotArea>
    </format>
    <format dxfId="259">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3852"/>
          </reference>
          <reference field="82" count="1" selected="0">
            <x v="2355"/>
          </reference>
          <reference field="85" count="1" selected="0">
            <x v="3"/>
          </reference>
          <reference field="87" count="1" selected="0">
            <x v="3241"/>
          </reference>
          <reference field="88" count="1">
            <x v="2133"/>
          </reference>
        </references>
      </pivotArea>
    </format>
    <format dxfId="258">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3850"/>
          </reference>
          <reference field="82" count="1" selected="0">
            <x v="2353"/>
          </reference>
          <reference field="85" count="1" selected="0">
            <x v="3"/>
          </reference>
          <reference field="87" count="1" selected="0">
            <x v="3239"/>
          </reference>
          <reference field="88" count="1">
            <x v="2131"/>
          </reference>
        </references>
      </pivotArea>
    </format>
    <format dxfId="257">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3851"/>
          </reference>
          <reference field="82" count="1" selected="0">
            <x v="2354"/>
          </reference>
          <reference field="85" count="1" selected="0">
            <x v="3"/>
          </reference>
          <reference field="87" count="1" selected="0">
            <x v="3240"/>
          </reference>
          <reference field="88" count="1">
            <x v="2132"/>
          </reference>
        </references>
      </pivotArea>
    </format>
    <format dxfId="256">
      <pivotArea dataOnly="0" labelOnly="1" outline="0" fieldPosition="0">
        <references count="14">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selected="0">
            <x v="8"/>
          </reference>
          <reference field="88" count="1">
            <x v="8"/>
          </reference>
        </references>
      </pivotArea>
    </format>
    <format dxfId="255">
      <pivotArea dataOnly="0" labelOnly="1" outline="0" fieldPosition="0">
        <references count="14">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selected="0">
            <x v="9"/>
          </reference>
          <reference field="88" count="1">
            <x v="9"/>
          </reference>
        </references>
      </pivotArea>
    </format>
    <format dxfId="254">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911"/>
          </reference>
          <reference field="82" count="1" selected="0">
            <x v="2429"/>
          </reference>
          <reference field="85" count="1" selected="0">
            <x v="4"/>
          </reference>
          <reference field="87" count="1" selected="0">
            <x v="3300"/>
          </reference>
          <reference field="88" count="1">
            <x v="2207"/>
          </reference>
        </references>
      </pivotArea>
    </format>
    <format dxfId="253">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3941"/>
          </reference>
          <reference field="82" count="1" selected="0">
            <x v="2472"/>
          </reference>
          <reference field="85" count="1" selected="0">
            <x v="0"/>
          </reference>
          <reference field="87" count="1" selected="0">
            <x v="3332"/>
          </reference>
          <reference field="88" count="1">
            <x v="2250"/>
          </reference>
        </references>
      </pivotArea>
    </format>
    <format dxfId="252">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3942"/>
          </reference>
          <reference field="82" count="1" selected="0">
            <x v="2473"/>
          </reference>
          <reference field="85" count="1" selected="0">
            <x v="0"/>
          </reference>
          <reference field="87" count="1" selected="0">
            <x v="3333"/>
          </reference>
          <reference field="88" count="1">
            <x v="2251"/>
          </reference>
        </references>
      </pivotArea>
    </format>
    <format dxfId="251">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3943"/>
          </reference>
          <reference field="82" count="1" selected="0">
            <x v="2474"/>
          </reference>
          <reference field="85" count="1" selected="0">
            <x v="0"/>
          </reference>
          <reference field="87" count="1" selected="0">
            <x v="3334"/>
          </reference>
          <reference field="88" count="1">
            <x v="2252"/>
          </reference>
        </references>
      </pivotArea>
    </format>
    <format dxfId="250">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949"/>
          </reference>
          <reference field="82" count="1" selected="0">
            <x v="2484"/>
          </reference>
          <reference field="85" count="1" selected="0">
            <x v="2"/>
          </reference>
          <reference field="87" count="1" selected="0">
            <x v="3342"/>
          </reference>
          <reference field="88" count="1">
            <x v="2262"/>
          </reference>
        </references>
      </pivotArea>
    </format>
    <format dxfId="249">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927"/>
          </reference>
          <reference field="82" count="1" selected="0">
            <x v="2485"/>
          </reference>
          <reference field="85" count="1" selected="0">
            <x v="2"/>
          </reference>
          <reference field="87" count="1" selected="0">
            <x v="3343"/>
          </reference>
          <reference field="88" count="1">
            <x v="2263"/>
          </reference>
        </references>
      </pivotArea>
    </format>
    <format dxfId="248">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859"/>
          </reference>
          <reference field="82" count="1" selected="0">
            <x v="2483"/>
          </reference>
          <reference field="85" count="1" selected="0">
            <x v="2"/>
          </reference>
          <reference field="87" count="1" selected="0">
            <x v="3341"/>
          </reference>
          <reference field="88" count="1">
            <x v="2261"/>
          </reference>
        </references>
      </pivotArea>
    </format>
    <format dxfId="247">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911"/>
          </reference>
          <reference field="82" count="1" selected="0">
            <x v="2429"/>
          </reference>
          <reference field="85" count="1" selected="0">
            <x v="4"/>
          </reference>
          <reference field="87" count="1" selected="0">
            <x v="3300"/>
          </reference>
          <reference field="88" count="1">
            <x v="2207"/>
          </reference>
        </references>
      </pivotArea>
    </format>
    <format dxfId="246">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3944"/>
          </reference>
          <reference field="82" count="1" selected="0">
            <x v="2475"/>
          </reference>
          <reference field="85" count="1" selected="0">
            <x v="0"/>
          </reference>
          <reference field="87" count="1" selected="0">
            <x v="3335"/>
          </reference>
          <reference field="88" count="1">
            <x v="2253"/>
          </reference>
        </references>
      </pivotArea>
    </format>
    <format dxfId="245">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3945"/>
          </reference>
          <reference field="82" count="1" selected="0">
            <x v="2476"/>
          </reference>
          <reference field="85" count="1" selected="0">
            <x v="0"/>
          </reference>
          <reference field="87" count="1" selected="0">
            <x v="3336"/>
          </reference>
          <reference field="88" count="1">
            <x v="2254"/>
          </reference>
        </references>
      </pivotArea>
    </format>
    <format dxfId="244">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3928"/>
          </reference>
          <reference field="82" count="1" selected="0">
            <x v="2477"/>
          </reference>
          <reference field="85" count="1" selected="0">
            <x v="0"/>
          </reference>
          <reference field="87" count="1" selected="0">
            <x v="3319"/>
          </reference>
          <reference field="88" count="1">
            <x v="2255"/>
          </reference>
        </references>
      </pivotArea>
    </format>
    <format dxfId="243">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949"/>
          </reference>
          <reference field="82" count="1" selected="0">
            <x v="2484"/>
          </reference>
          <reference field="85" count="1" selected="0">
            <x v="2"/>
          </reference>
          <reference field="87" count="1" selected="0">
            <x v="3342"/>
          </reference>
          <reference field="88" count="1">
            <x v="2262"/>
          </reference>
        </references>
      </pivotArea>
    </format>
    <format dxfId="242">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927"/>
          </reference>
          <reference field="82" count="1" selected="0">
            <x v="2485"/>
          </reference>
          <reference field="85" count="1" selected="0">
            <x v="2"/>
          </reference>
          <reference field="87" count="1" selected="0">
            <x v="3343"/>
          </reference>
          <reference field="88" count="1">
            <x v="2263"/>
          </reference>
        </references>
      </pivotArea>
    </format>
    <format dxfId="241">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3950"/>
          </reference>
          <reference field="82" count="1" selected="0">
            <x v="2486"/>
          </reference>
          <reference field="85" count="1" selected="0">
            <x v="2"/>
          </reference>
          <reference field="87" count="1" selected="0">
            <x v="3344"/>
          </reference>
          <reference field="88" count="1">
            <x v="2264"/>
          </reference>
        </references>
      </pivotArea>
    </format>
    <format dxfId="240">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859"/>
          </reference>
          <reference field="82" count="1" selected="0">
            <x v="2483"/>
          </reference>
          <reference field="85" count="1" selected="0">
            <x v="2"/>
          </reference>
          <reference field="87" count="1" selected="0">
            <x v="3341"/>
          </reference>
          <reference field="88" count="1">
            <x v="2261"/>
          </reference>
        </references>
      </pivotArea>
    </format>
    <format dxfId="239">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3951"/>
          </reference>
          <reference field="82" count="1" selected="0">
            <x v="2487"/>
          </reference>
          <reference field="85" count="1" selected="0">
            <x v="2"/>
          </reference>
          <reference field="87" count="1" selected="0">
            <x v="3345"/>
          </reference>
          <reference field="88" count="1">
            <x v="2265"/>
          </reference>
        </references>
      </pivotArea>
    </format>
    <format dxfId="238">
      <pivotArea dataOnly="0" labelOnly="1" outline="0" fieldPosition="0">
        <references count="14">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237">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975"/>
          </reference>
          <reference field="82" count="1" selected="0">
            <x v="2516"/>
          </reference>
          <reference field="85" count="1" selected="0">
            <x v="7"/>
          </reference>
          <reference field="87" count="1" selected="0">
            <x v="3371"/>
          </reference>
          <reference field="88" count="1">
            <x v="2294"/>
          </reference>
        </references>
      </pivotArea>
    </format>
    <format dxfId="236">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3976"/>
          </reference>
          <reference field="82" count="1" selected="0">
            <x v="2517"/>
          </reference>
          <reference field="85" count="1" selected="0">
            <x v="7"/>
          </reference>
          <reference field="87" count="1" selected="0">
            <x v="3372"/>
          </reference>
          <reference field="88" count="1">
            <x v="2295"/>
          </reference>
        </references>
      </pivotArea>
    </format>
    <format dxfId="235">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3990"/>
          </reference>
          <reference field="82" count="1" selected="0">
            <x v="2545"/>
          </reference>
          <reference field="85" count="1" selected="0">
            <x v="4"/>
          </reference>
          <reference field="87" count="1" selected="0">
            <x v="3397"/>
          </reference>
          <reference field="88" count="1">
            <x v="2326"/>
          </reference>
        </references>
      </pivotArea>
    </format>
    <format dxfId="234">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3991"/>
          </reference>
          <reference field="82" count="1" selected="0">
            <x v="2546"/>
          </reference>
          <reference field="85" count="1" selected="0">
            <x v="4"/>
          </reference>
          <reference field="87" count="1" selected="0">
            <x v="3398"/>
          </reference>
          <reference field="88" count="1">
            <x v="2327"/>
          </reference>
        </references>
      </pivotArea>
    </format>
    <format dxfId="233">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3992"/>
          </reference>
          <reference field="82" count="1" selected="0">
            <x v="2547"/>
          </reference>
          <reference field="85" count="1" selected="0">
            <x v="4"/>
          </reference>
          <reference field="87" count="1" selected="0">
            <x v="3399"/>
          </reference>
          <reference field="88" count="1">
            <x v="2328"/>
          </reference>
        </references>
      </pivotArea>
    </format>
    <format dxfId="232">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3981"/>
          </reference>
          <reference field="82" count="1" selected="0">
            <x v="2523"/>
          </reference>
          <reference field="85" count="1" selected="0">
            <x v="4"/>
          </reference>
          <reference field="87" count="1" selected="0">
            <x v="3377"/>
          </reference>
          <reference field="88" count="1">
            <x v="2301"/>
          </reference>
        </references>
      </pivotArea>
    </format>
    <format dxfId="231">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3912"/>
          </reference>
          <reference field="82" count="1" selected="0">
            <x v="2438"/>
          </reference>
          <reference field="85" count="1" selected="0">
            <x v="4"/>
          </reference>
          <reference field="87" count="1" selected="0">
            <x v="3401"/>
          </reference>
          <reference field="88" count="1">
            <x v="2333"/>
          </reference>
        </references>
      </pivotArea>
    </format>
    <format dxfId="230">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3994"/>
          </reference>
          <reference field="82" count="1" selected="0">
            <x v="2552"/>
          </reference>
          <reference field="85" count="1" selected="0">
            <x v="4"/>
          </reference>
          <reference field="87" count="1" selected="0">
            <x v="3402"/>
          </reference>
          <reference field="88" count="1">
            <x v="2334"/>
          </reference>
        </references>
      </pivotArea>
    </format>
    <format dxfId="229">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3995"/>
          </reference>
          <reference field="82" count="1" selected="0">
            <x v="2553"/>
          </reference>
          <reference field="85" count="1" selected="0">
            <x v="4"/>
          </reference>
          <reference field="87" count="1" selected="0">
            <x v="3404"/>
          </reference>
          <reference field="88" count="1">
            <x v="2335"/>
          </reference>
        </references>
      </pivotArea>
    </format>
    <format dxfId="228">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3953"/>
          </reference>
          <reference field="82" count="1" selected="0">
            <x v="2554"/>
          </reference>
          <reference field="85" count="1" selected="0">
            <x v="4"/>
          </reference>
          <reference field="87" count="1" selected="0">
            <x v="3405"/>
          </reference>
          <reference field="88" count="1">
            <x v="2336"/>
          </reference>
        </references>
      </pivotArea>
    </format>
    <format dxfId="227">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912"/>
          </reference>
          <reference field="82" count="1" selected="0">
            <x v="2549"/>
          </reference>
          <reference field="85" count="1" selected="0">
            <x v="4"/>
          </reference>
          <reference field="87" count="1" selected="0">
            <x v="3401"/>
          </reference>
          <reference field="88" count="1">
            <x v="2330"/>
          </reference>
        </references>
      </pivotArea>
    </format>
    <format dxfId="226">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994"/>
          </reference>
          <reference field="82" count="1" selected="0">
            <x v="2550"/>
          </reference>
          <reference field="85" count="1" selected="0">
            <x v="4"/>
          </reference>
          <reference field="87" count="1" selected="0">
            <x v="3402"/>
          </reference>
          <reference field="88" count="1">
            <x v="2331"/>
          </reference>
        </references>
      </pivotArea>
    </format>
    <format dxfId="225">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954"/>
          </reference>
          <reference field="82" count="1" selected="0">
            <x v="2551"/>
          </reference>
          <reference field="85" count="1" selected="0">
            <x v="4"/>
          </reference>
          <reference field="87" count="1" selected="0">
            <x v="3403"/>
          </reference>
          <reference field="88" count="1">
            <x v="2332"/>
          </reference>
        </references>
      </pivotArea>
    </format>
    <format dxfId="224">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993"/>
          </reference>
          <reference field="82" count="1" selected="0">
            <x v="2548"/>
          </reference>
          <reference field="85" count="1" selected="0">
            <x v="4"/>
          </reference>
          <reference field="87" count="1" selected="0">
            <x v="3400"/>
          </reference>
          <reference field="88" count="1">
            <x v="2329"/>
          </reference>
        </references>
      </pivotArea>
    </format>
    <format dxfId="223">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3866"/>
          </reference>
          <reference field="82" count="1" selected="0">
            <x v="2380"/>
          </reference>
          <reference field="85" count="1" selected="0">
            <x v="7"/>
          </reference>
          <reference field="87" count="1" selected="0">
            <x v="3255"/>
          </reference>
          <reference field="88" count="1">
            <x v="2158"/>
          </reference>
        </references>
      </pivotArea>
    </format>
    <format dxfId="222">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3873"/>
          </reference>
          <reference field="82" count="1" selected="0">
            <x v="2381"/>
          </reference>
          <reference field="85" count="1" selected="0">
            <x v="7"/>
          </reference>
          <reference field="87" count="1" selected="0">
            <x v="3262"/>
          </reference>
          <reference field="88" count="1">
            <x v="2159"/>
          </reference>
        </references>
      </pivotArea>
    </format>
    <format dxfId="221">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963"/>
          </reference>
          <reference field="82" count="1" selected="0">
            <x v="2502"/>
          </reference>
          <reference field="85" count="1" selected="0">
            <x v="2"/>
          </reference>
          <reference field="87" count="1" selected="0">
            <x v="3359"/>
          </reference>
          <reference field="88" count="1">
            <x v="2280"/>
          </reference>
        </references>
      </pivotArea>
    </format>
    <format dxfId="220">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933"/>
          </reference>
          <reference field="82" count="1" selected="0">
            <x v="2560"/>
          </reference>
          <reference field="85" count="1" selected="0">
            <x v="4"/>
          </reference>
          <reference field="87" count="1" selected="0">
            <x v="3408"/>
          </reference>
          <reference field="88" count="1">
            <x v="2342"/>
          </reference>
        </references>
      </pivotArea>
    </format>
    <format dxfId="219">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3931"/>
          </reference>
          <reference field="82" count="1" selected="0">
            <x v="2561"/>
          </reference>
          <reference field="85" count="1" selected="0">
            <x v="4"/>
          </reference>
          <reference field="87" count="1" selected="0">
            <x v="3409"/>
          </reference>
          <reference field="88" count="1">
            <x v="2343"/>
          </reference>
        </references>
      </pivotArea>
    </format>
    <format dxfId="218">
      <pivotArea dataOnly="0" labelOnly="1" outline="0" fieldPosition="0">
        <references count="14">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1030"/>
          </reference>
          <reference field="82" count="1" selected="0">
            <x v="26"/>
          </reference>
          <reference field="85" count="1" selected="0">
            <x v="2"/>
          </reference>
          <reference field="87" count="1" selected="0">
            <x v="264"/>
          </reference>
          <reference field="88" count="1">
            <x v="26"/>
          </reference>
        </references>
      </pivotArea>
    </format>
    <format dxfId="217">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997"/>
          </reference>
          <reference field="82" count="1" selected="0">
            <x v="2563"/>
          </reference>
          <reference field="85" count="1" selected="0">
            <x v="4"/>
          </reference>
          <reference field="87" count="1" selected="0">
            <x v="3411"/>
          </reference>
          <reference field="88" count="1">
            <x v="2345"/>
          </reference>
        </references>
      </pivotArea>
    </format>
    <format dxfId="216">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890"/>
          </reference>
          <reference field="82" count="1" selected="0">
            <x v="2402"/>
          </reference>
          <reference field="85" count="1" selected="0">
            <x v="4"/>
          </reference>
          <reference field="87" count="1" selected="0">
            <x v="3279"/>
          </reference>
          <reference field="88" count="1">
            <x v="2180"/>
          </reference>
        </references>
      </pivotArea>
    </format>
    <format dxfId="215">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885"/>
          </reference>
          <reference field="82" count="1" selected="0">
            <x v="2397"/>
          </reference>
          <reference field="85" count="1" selected="0">
            <x v="4"/>
          </reference>
          <reference field="87" count="1" selected="0">
            <x v="3274"/>
          </reference>
          <reference field="88" count="1">
            <x v="2175"/>
          </reference>
        </references>
      </pivotArea>
    </format>
    <format dxfId="214">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891"/>
          </reference>
          <reference field="82" count="1" selected="0">
            <x v="2403"/>
          </reference>
          <reference field="85" count="1" selected="0">
            <x v="4"/>
          </reference>
          <reference field="87" count="1" selected="0">
            <x v="3280"/>
          </reference>
          <reference field="88" count="1">
            <x v="2181"/>
          </reference>
        </references>
      </pivotArea>
    </format>
    <format dxfId="213">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892"/>
          </reference>
          <reference field="82" count="1" selected="0">
            <x v="2404"/>
          </reference>
          <reference field="85" count="1" selected="0">
            <x v="4"/>
          </reference>
          <reference field="87" count="1" selected="0">
            <x v="3281"/>
          </reference>
          <reference field="88" count="1">
            <x v="2182"/>
          </reference>
        </references>
      </pivotArea>
    </format>
    <format dxfId="212">
      <pivotArea dataOnly="0" labelOnly="1" outline="0" fieldPosition="0">
        <references count="14">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211">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858"/>
          </reference>
          <reference field="82" count="1" selected="0">
            <x v="2362"/>
          </reference>
          <reference field="85" count="1" selected="0">
            <x v="4"/>
          </reference>
          <reference field="87" count="1" selected="0">
            <x v="3387"/>
          </reference>
          <reference field="88" count="1">
            <x v="2311"/>
          </reference>
        </references>
      </pivotArea>
    </format>
    <format dxfId="210">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952"/>
          </reference>
          <reference field="82" count="1" selected="0">
            <x v="2529"/>
          </reference>
          <reference field="85" count="1" selected="0">
            <x v="4"/>
          </reference>
          <reference field="87" count="1" selected="0">
            <x v="3383"/>
          </reference>
          <reference field="88" count="1">
            <x v="2307"/>
          </reference>
        </references>
      </pivotArea>
    </format>
    <format dxfId="209">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917"/>
          </reference>
          <reference field="82" count="1" selected="0">
            <x v="2530"/>
          </reference>
          <reference field="85" count="1" selected="0">
            <x v="4"/>
          </reference>
          <reference field="87" count="1" selected="0">
            <x v="3384"/>
          </reference>
          <reference field="88" count="1">
            <x v="2308"/>
          </reference>
        </references>
      </pivotArea>
    </format>
    <format dxfId="208">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950"/>
          </reference>
          <reference field="82" count="1" selected="0">
            <x v="2532"/>
          </reference>
          <reference field="85" count="1" selected="0">
            <x v="4"/>
          </reference>
          <reference field="87" count="1" selected="0">
            <x v="3386"/>
          </reference>
          <reference field="88" count="1">
            <x v="2310"/>
          </reference>
        </references>
      </pivotArea>
    </format>
    <format dxfId="207">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939"/>
          </reference>
          <reference field="82" count="1" selected="0">
            <x v="2531"/>
          </reference>
          <reference field="85" count="1" selected="0">
            <x v="4"/>
          </reference>
          <reference field="87" count="1" selected="0">
            <x v="3385"/>
          </reference>
          <reference field="88" count="1">
            <x v="2309"/>
          </reference>
        </references>
      </pivotArea>
    </format>
    <format dxfId="206">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890"/>
          </reference>
          <reference field="82" count="1" selected="0">
            <x v="2402"/>
          </reference>
          <reference field="85" count="1" selected="0">
            <x v="4"/>
          </reference>
          <reference field="87" count="1" selected="0">
            <x v="3279"/>
          </reference>
          <reference field="88" count="1">
            <x v="2180"/>
          </reference>
        </references>
      </pivotArea>
    </format>
    <format dxfId="205">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885"/>
          </reference>
          <reference field="82" count="1" selected="0">
            <x v="2397"/>
          </reference>
          <reference field="85" count="1" selected="0">
            <x v="4"/>
          </reference>
          <reference field="87" count="1" selected="0">
            <x v="3274"/>
          </reference>
          <reference field="88" count="1">
            <x v="2175"/>
          </reference>
        </references>
      </pivotArea>
    </format>
    <format dxfId="204">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891"/>
          </reference>
          <reference field="82" count="1" selected="0">
            <x v="2403"/>
          </reference>
          <reference field="85" count="1" selected="0">
            <x v="4"/>
          </reference>
          <reference field="87" count="1" selected="0">
            <x v="3280"/>
          </reference>
          <reference field="88" count="1">
            <x v="2181"/>
          </reference>
        </references>
      </pivotArea>
    </format>
    <format dxfId="203">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892"/>
          </reference>
          <reference field="82" count="1" selected="0">
            <x v="2404"/>
          </reference>
          <reference field="85" count="1" selected="0">
            <x v="4"/>
          </reference>
          <reference field="87" count="1" selected="0">
            <x v="3281"/>
          </reference>
          <reference field="88" count="1">
            <x v="2182"/>
          </reference>
        </references>
      </pivotArea>
    </format>
    <format dxfId="202">
      <pivotArea dataOnly="0" labelOnly="1" outline="0" fieldPosition="0">
        <references count="14">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201">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858"/>
          </reference>
          <reference field="82" count="1" selected="0">
            <x v="2362"/>
          </reference>
          <reference field="85" count="1" selected="0">
            <x v="4"/>
          </reference>
          <reference field="87" count="1" selected="0">
            <x v="3387"/>
          </reference>
          <reference field="88" count="1">
            <x v="2311"/>
          </reference>
        </references>
      </pivotArea>
    </format>
    <format dxfId="200">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952"/>
          </reference>
          <reference field="82" count="1" selected="0">
            <x v="2529"/>
          </reference>
          <reference field="85" count="1" selected="0">
            <x v="4"/>
          </reference>
          <reference field="87" count="1" selected="0">
            <x v="3383"/>
          </reference>
          <reference field="88" count="1">
            <x v="2307"/>
          </reference>
        </references>
      </pivotArea>
    </format>
    <format dxfId="199">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917"/>
          </reference>
          <reference field="82" count="1" selected="0">
            <x v="2530"/>
          </reference>
          <reference field="85" count="1" selected="0">
            <x v="4"/>
          </reference>
          <reference field="87" count="1" selected="0">
            <x v="3384"/>
          </reference>
          <reference field="88" count="1">
            <x v="2308"/>
          </reference>
        </references>
      </pivotArea>
    </format>
    <format dxfId="198">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950"/>
          </reference>
          <reference field="82" count="1" selected="0">
            <x v="2532"/>
          </reference>
          <reference field="85" count="1" selected="0">
            <x v="4"/>
          </reference>
          <reference field="87" count="1" selected="0">
            <x v="3386"/>
          </reference>
          <reference field="88" count="1">
            <x v="2310"/>
          </reference>
        </references>
      </pivotArea>
    </format>
    <format dxfId="197">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939"/>
          </reference>
          <reference field="82" count="1" selected="0">
            <x v="2531"/>
          </reference>
          <reference field="85" count="1" selected="0">
            <x v="4"/>
          </reference>
          <reference field="87" count="1" selected="0">
            <x v="3385"/>
          </reference>
          <reference field="88" count="1">
            <x v="2309"/>
          </reference>
        </references>
      </pivotArea>
    </format>
    <format dxfId="196">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890"/>
          </reference>
          <reference field="82" count="1" selected="0">
            <x v="2402"/>
          </reference>
          <reference field="85" count="1" selected="0">
            <x v="4"/>
          </reference>
          <reference field="87" count="1" selected="0">
            <x v="3279"/>
          </reference>
          <reference field="88" count="1">
            <x v="2180"/>
          </reference>
        </references>
      </pivotArea>
    </format>
    <format dxfId="195">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885"/>
          </reference>
          <reference field="82" count="1" selected="0">
            <x v="2397"/>
          </reference>
          <reference field="85" count="1" selected="0">
            <x v="4"/>
          </reference>
          <reference field="87" count="1" selected="0">
            <x v="3274"/>
          </reference>
          <reference field="88" count="1">
            <x v="2175"/>
          </reference>
        </references>
      </pivotArea>
    </format>
    <format dxfId="194">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891"/>
          </reference>
          <reference field="82" count="1" selected="0">
            <x v="2403"/>
          </reference>
          <reference field="85" count="1" selected="0">
            <x v="4"/>
          </reference>
          <reference field="87" count="1" selected="0">
            <x v="3280"/>
          </reference>
          <reference field="88" count="1">
            <x v="2181"/>
          </reference>
        </references>
      </pivotArea>
    </format>
    <format dxfId="193">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892"/>
          </reference>
          <reference field="82" count="1" selected="0">
            <x v="2404"/>
          </reference>
          <reference field="85" count="1" selected="0">
            <x v="4"/>
          </reference>
          <reference field="87" count="1" selected="0">
            <x v="3281"/>
          </reference>
          <reference field="88" count="1">
            <x v="2182"/>
          </reference>
        </references>
      </pivotArea>
    </format>
    <format dxfId="192">
      <pivotArea dataOnly="0" labelOnly="1" outline="0" fieldPosition="0">
        <references count="14">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191">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858"/>
          </reference>
          <reference field="82" count="1" selected="0">
            <x v="2362"/>
          </reference>
          <reference field="85" count="1" selected="0">
            <x v="4"/>
          </reference>
          <reference field="87" count="1" selected="0">
            <x v="3387"/>
          </reference>
          <reference field="88" count="1">
            <x v="2311"/>
          </reference>
        </references>
      </pivotArea>
    </format>
    <format dxfId="190">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952"/>
          </reference>
          <reference field="82" count="1" selected="0">
            <x v="2529"/>
          </reference>
          <reference field="85" count="1" selected="0">
            <x v="4"/>
          </reference>
          <reference field="87" count="1" selected="0">
            <x v="3383"/>
          </reference>
          <reference field="88" count="1">
            <x v="2307"/>
          </reference>
        </references>
      </pivotArea>
    </format>
    <format dxfId="189">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917"/>
          </reference>
          <reference field="82" count="1" selected="0">
            <x v="2530"/>
          </reference>
          <reference field="85" count="1" selected="0">
            <x v="4"/>
          </reference>
          <reference field="87" count="1" selected="0">
            <x v="3384"/>
          </reference>
          <reference field="88" count="1">
            <x v="2308"/>
          </reference>
        </references>
      </pivotArea>
    </format>
    <format dxfId="188">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950"/>
          </reference>
          <reference field="82" count="1" selected="0">
            <x v="2532"/>
          </reference>
          <reference field="85" count="1" selected="0">
            <x v="4"/>
          </reference>
          <reference field="87" count="1" selected="0">
            <x v="3386"/>
          </reference>
          <reference field="88" count="1">
            <x v="2310"/>
          </reference>
        </references>
      </pivotArea>
    </format>
    <format dxfId="18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939"/>
          </reference>
          <reference field="82" count="1" selected="0">
            <x v="2531"/>
          </reference>
          <reference field="85" count="1" selected="0">
            <x v="4"/>
          </reference>
          <reference field="87" count="1" selected="0">
            <x v="3385"/>
          </reference>
          <reference field="88" count="1">
            <x v="2309"/>
          </reference>
        </references>
      </pivotArea>
    </format>
    <format dxfId="186">
      <pivotArea dataOnly="0" labelOnly="1" outline="0" fieldPosition="0">
        <references count="14">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185">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3996"/>
          </reference>
          <reference field="82" count="1" selected="0">
            <x v="2556"/>
          </reference>
          <reference field="85" count="1" selected="0">
            <x v="4"/>
          </reference>
          <reference field="87" count="1" selected="0">
            <x v="3407"/>
          </reference>
          <reference field="88" count="1">
            <x v="2338"/>
          </reference>
        </references>
      </pivotArea>
    </format>
    <format dxfId="184">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990"/>
          </reference>
          <reference field="82" count="1" selected="0">
            <x v="2559"/>
          </reference>
          <reference field="85" count="1" selected="0">
            <x v="4"/>
          </reference>
          <reference field="87" count="1" selected="0">
            <x v="3397"/>
          </reference>
          <reference field="88" count="1">
            <x v="2341"/>
          </reference>
        </references>
      </pivotArea>
    </format>
    <format dxfId="183">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939"/>
          </reference>
          <reference field="82" count="1" selected="0">
            <x v="2557"/>
          </reference>
          <reference field="85" count="1" selected="0">
            <x v="4"/>
          </reference>
          <reference field="87" count="1" selected="0">
            <x v="3385"/>
          </reference>
          <reference field="88" count="1">
            <x v="2339"/>
          </reference>
        </references>
      </pivotArea>
    </format>
    <format dxfId="182">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989"/>
          </reference>
          <reference field="82" count="1" selected="0">
            <x v="2558"/>
          </reference>
          <reference field="85" count="1" selected="0">
            <x v="4"/>
          </reference>
          <reference field="87" count="1" selected="0">
            <x v="3396"/>
          </reference>
          <reference field="88" count="1">
            <x v="2340"/>
          </reference>
        </references>
      </pivotArea>
    </format>
    <format dxfId="181">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862"/>
          </reference>
          <reference field="82" count="1" selected="0">
            <x v="2366"/>
          </reference>
          <reference field="85" count="1" selected="0">
            <x v="4"/>
          </reference>
          <reference field="87" count="1" selected="0">
            <x v="3392"/>
          </reference>
          <reference field="88" count="1">
            <x v="2316"/>
          </reference>
        </references>
      </pivotArea>
    </format>
    <format dxfId="180">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849"/>
          </reference>
          <reference field="82" count="1" selected="0">
            <x v="2537"/>
          </reference>
          <reference field="85" count="1" selected="0">
            <x v="4"/>
          </reference>
          <reference field="87" count="1" selected="0">
            <x v="3393"/>
          </reference>
          <reference field="88" count="1">
            <x v="2317"/>
          </reference>
        </references>
      </pivotArea>
    </format>
    <format dxfId="179">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988"/>
          </reference>
          <reference field="82" count="1" selected="0">
            <x v="2538"/>
          </reference>
          <reference field="85" count="1" selected="0">
            <x v="4"/>
          </reference>
          <reference field="87" count="1" selected="0">
            <x v="3394"/>
          </reference>
          <reference field="88" count="1">
            <x v="2318"/>
          </reference>
        </references>
      </pivotArea>
    </format>
    <format dxfId="178">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913"/>
          </reference>
          <reference field="82" count="1" selected="0">
            <x v="2539"/>
          </reference>
          <reference field="85" count="1" selected="0">
            <x v="4"/>
          </reference>
          <reference field="87" count="1" selected="0">
            <x v="3395"/>
          </reference>
          <reference field="88" count="1">
            <x v="2319"/>
          </reference>
        </references>
      </pivotArea>
    </format>
    <format dxfId="177">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862"/>
          </reference>
          <reference field="82" count="1" selected="0">
            <x v="2366"/>
          </reference>
          <reference field="85" count="1" selected="0">
            <x v="4"/>
          </reference>
          <reference field="87" count="1" selected="0">
            <x v="3392"/>
          </reference>
          <reference field="88" count="1">
            <x v="2316"/>
          </reference>
        </references>
      </pivotArea>
    </format>
    <format dxfId="176">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849"/>
          </reference>
          <reference field="82" count="1" selected="0">
            <x v="2537"/>
          </reference>
          <reference field="85" count="1" selected="0">
            <x v="4"/>
          </reference>
          <reference field="87" count="1" selected="0">
            <x v="3393"/>
          </reference>
          <reference field="88" count="1">
            <x v="2317"/>
          </reference>
        </references>
      </pivotArea>
    </format>
    <format dxfId="175">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988"/>
          </reference>
          <reference field="82" count="1" selected="0">
            <x v="2538"/>
          </reference>
          <reference field="85" count="1" selected="0">
            <x v="4"/>
          </reference>
          <reference field="87" count="1" selected="0">
            <x v="3394"/>
          </reference>
          <reference field="88" count="1">
            <x v="2318"/>
          </reference>
        </references>
      </pivotArea>
    </format>
    <format dxfId="174">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913"/>
          </reference>
          <reference field="82" count="1" selected="0">
            <x v="2539"/>
          </reference>
          <reference field="85" count="1" selected="0">
            <x v="4"/>
          </reference>
          <reference field="87" count="1" selected="0">
            <x v="3395"/>
          </reference>
          <reference field="88" count="1">
            <x v="2319"/>
          </reference>
        </references>
      </pivotArea>
    </format>
    <format dxfId="173">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3857"/>
          </reference>
          <reference field="82" count="1" selected="0">
            <x v="2526"/>
          </reference>
          <reference field="85" count="1" selected="0">
            <x v="4"/>
          </reference>
          <reference field="87" count="1" selected="0">
            <x v="3380"/>
          </reference>
          <reference field="88" count="1">
            <x v="2304"/>
          </reference>
        </references>
      </pivotArea>
    </format>
    <format dxfId="172">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3984"/>
          </reference>
          <reference field="82" count="1" selected="0">
            <x v="2527"/>
          </reference>
          <reference field="85" count="1" selected="0">
            <x v="4"/>
          </reference>
          <reference field="87" count="1" selected="0">
            <x v="3381"/>
          </reference>
          <reference field="88" count="1">
            <x v="2305"/>
          </reference>
        </references>
      </pivotArea>
    </format>
    <format dxfId="171">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3983"/>
          </reference>
          <reference field="82" count="1" selected="0">
            <x v="2525"/>
          </reference>
          <reference field="85" count="1" selected="0">
            <x v="4"/>
          </reference>
          <reference field="87" count="1" selected="0">
            <x v="3379"/>
          </reference>
          <reference field="88" count="1">
            <x v="2303"/>
          </reference>
        </references>
      </pivotArea>
    </format>
    <format dxfId="170">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3985"/>
          </reference>
          <reference field="82" count="1" selected="0">
            <x v="2528"/>
          </reference>
          <reference field="85" count="1" selected="0">
            <x v="4"/>
          </reference>
          <reference field="87" count="1" selected="0">
            <x v="3382"/>
          </reference>
          <reference field="88" count="1">
            <x v="2306"/>
          </reference>
        </references>
      </pivotArea>
    </format>
    <format dxfId="169">
      <pivotArea dataOnly="0" labelOnly="1" outline="0" fieldPosition="0">
        <references count="14">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selected="0">
            <x v="7"/>
          </reference>
          <reference field="88" count="1">
            <x v="7"/>
          </reference>
        </references>
      </pivotArea>
    </format>
    <format dxfId="168">
      <pivotArea dataOnly="0" labelOnly="1" outline="0" fieldPosition="0">
        <references count="14">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selected="0">
            <x v="6"/>
          </reference>
          <reference field="88" count="1">
            <x v="6"/>
          </reference>
        </references>
      </pivotArea>
    </format>
    <format dxfId="167">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3961"/>
          </reference>
          <reference field="82" count="1" selected="0">
            <x v="2500"/>
          </reference>
          <reference field="85" count="1" selected="0">
            <x v="2"/>
          </reference>
          <reference field="87" count="1" selected="0">
            <x v="3357"/>
          </reference>
          <reference field="88" count="1">
            <x v="2278"/>
          </reference>
        </references>
      </pivotArea>
    </format>
    <format dxfId="166">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3962"/>
          </reference>
          <reference field="82" count="1" selected="0">
            <x v="2501"/>
          </reference>
          <reference field="85" count="1" selected="0">
            <x v="2"/>
          </reference>
          <reference field="87" count="1" selected="0">
            <x v="3358"/>
          </reference>
          <reference field="88" count="1">
            <x v="2279"/>
          </reference>
        </references>
      </pivotArea>
    </format>
    <format dxfId="165">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3960"/>
          </reference>
          <reference field="82" count="1" selected="0">
            <x v="2499"/>
          </reference>
          <reference field="85" count="1" selected="0">
            <x v="2"/>
          </reference>
          <reference field="87" count="1" selected="0">
            <x v="3356"/>
          </reference>
          <reference field="88" count="1">
            <x v="2277"/>
          </reference>
        </references>
      </pivotArea>
    </format>
    <format dxfId="164">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890"/>
          </reference>
          <reference field="82" count="1" selected="0">
            <x v="2402"/>
          </reference>
          <reference field="85" count="1" selected="0">
            <x v="4"/>
          </reference>
          <reference field="87" count="1" selected="0">
            <x v="3279"/>
          </reference>
          <reference field="88" count="1">
            <x v="2180"/>
          </reference>
        </references>
      </pivotArea>
    </format>
    <format dxfId="163">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885"/>
          </reference>
          <reference field="82" count="1" selected="0">
            <x v="2397"/>
          </reference>
          <reference field="85" count="1" selected="0">
            <x v="4"/>
          </reference>
          <reference field="87" count="1" selected="0">
            <x v="3274"/>
          </reference>
          <reference field="88" count="1">
            <x v="2175"/>
          </reference>
        </references>
      </pivotArea>
    </format>
    <format dxfId="162">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891"/>
          </reference>
          <reference field="82" count="1" selected="0">
            <x v="2403"/>
          </reference>
          <reference field="85" count="1" selected="0">
            <x v="4"/>
          </reference>
          <reference field="87" count="1" selected="0">
            <x v="3280"/>
          </reference>
          <reference field="88" count="1">
            <x v="2181"/>
          </reference>
        </references>
      </pivotArea>
    </format>
    <format dxfId="161">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892"/>
          </reference>
          <reference field="82" count="1" selected="0">
            <x v="2404"/>
          </reference>
          <reference field="85" count="1" selected="0">
            <x v="4"/>
          </reference>
          <reference field="87" count="1" selected="0">
            <x v="3281"/>
          </reference>
          <reference field="88" count="1">
            <x v="2182"/>
          </reference>
        </references>
      </pivotArea>
    </format>
    <format dxfId="160">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936"/>
          </reference>
          <reference field="82" count="1" selected="0">
            <x v="2533"/>
          </reference>
          <reference field="85" count="1" selected="0">
            <x v="4"/>
          </reference>
          <reference field="87" count="1" selected="0">
            <x v="3388"/>
          </reference>
          <reference field="88" count="1">
            <x v="2312"/>
          </reference>
        </references>
      </pivotArea>
    </format>
    <format dxfId="159">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987"/>
          </reference>
          <reference field="82" count="1" selected="0">
            <x v="2535"/>
          </reference>
          <reference field="85" count="1" selected="0">
            <x v="4"/>
          </reference>
          <reference field="87" count="1" selected="0">
            <x v="3390"/>
          </reference>
          <reference field="88" count="1">
            <x v="2314"/>
          </reference>
        </references>
      </pivotArea>
    </format>
    <format dxfId="158">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940"/>
          </reference>
          <reference field="82" count="1" selected="0">
            <x v="2536"/>
          </reference>
          <reference field="85" count="1" selected="0">
            <x v="4"/>
          </reference>
          <reference field="87" count="1" selected="0">
            <x v="3391"/>
          </reference>
          <reference field="88" count="1">
            <x v="2315"/>
          </reference>
        </references>
      </pivotArea>
    </format>
    <format dxfId="157">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986"/>
          </reference>
          <reference field="82" count="1" selected="0">
            <x v="2534"/>
          </reference>
          <reference field="85" count="1" selected="0">
            <x v="4"/>
          </reference>
          <reference field="87" count="1" selected="0">
            <x v="3389"/>
          </reference>
          <reference field="88" count="1">
            <x v="2313"/>
          </reference>
        </references>
      </pivotArea>
    </format>
    <format dxfId="156">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936"/>
          </reference>
          <reference field="82" count="1" selected="0">
            <x v="2533"/>
          </reference>
          <reference field="85" count="1" selected="0">
            <x v="4"/>
          </reference>
          <reference field="87" count="1" selected="0">
            <x v="3388"/>
          </reference>
          <reference field="88" count="1">
            <x v="2312"/>
          </reference>
        </references>
      </pivotArea>
    </format>
    <format dxfId="155">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987"/>
          </reference>
          <reference field="82" count="1" selected="0">
            <x v="2535"/>
          </reference>
          <reference field="85" count="1" selected="0">
            <x v="4"/>
          </reference>
          <reference field="87" count="1" selected="0">
            <x v="3390"/>
          </reference>
          <reference field="88" count="1">
            <x v="2314"/>
          </reference>
        </references>
      </pivotArea>
    </format>
    <format dxfId="154">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940"/>
          </reference>
          <reference field="82" count="1" selected="0">
            <x v="2536"/>
          </reference>
          <reference field="85" count="1" selected="0">
            <x v="4"/>
          </reference>
          <reference field="87" count="1" selected="0">
            <x v="3391"/>
          </reference>
          <reference field="88" count="1">
            <x v="2315"/>
          </reference>
        </references>
      </pivotArea>
    </format>
    <format dxfId="153">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986"/>
          </reference>
          <reference field="82" count="1" selected="0">
            <x v="2534"/>
          </reference>
          <reference field="85" count="1" selected="0">
            <x v="4"/>
          </reference>
          <reference field="87" count="1" selected="0">
            <x v="3389"/>
          </reference>
          <reference field="88" count="1">
            <x v="2313"/>
          </reference>
        </references>
      </pivotArea>
    </format>
    <format dxfId="152">
      <pivotArea dataOnly="0" labelOnly="1" outline="0" fieldPosition="0">
        <references count="14">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151">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3854"/>
          </reference>
          <reference field="82" count="1" selected="0">
            <x v="2358"/>
          </reference>
          <reference field="85" count="1" selected="0">
            <x v="3"/>
          </reference>
          <reference field="87" count="1" selected="0">
            <x v="3243"/>
          </reference>
          <reference field="88" count="1">
            <x v="2136"/>
          </reference>
        </references>
      </pivotArea>
    </format>
    <format dxfId="150">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998"/>
          </reference>
          <reference field="82" count="1" selected="0">
            <x v="2565"/>
          </reference>
          <reference field="85" count="1" selected="0">
            <x v="4"/>
          </reference>
          <reference field="87" count="1" selected="0">
            <x v="3413"/>
          </reference>
          <reference field="88" count="1">
            <x v="2348"/>
          </reference>
        </references>
      </pivotArea>
    </format>
    <format dxfId="149">
      <pivotArea dataOnly="0" labelOnly="1" outline="0" fieldPosition="0">
        <references count="14">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1"/>
          </reference>
          <reference field="88" count="1">
            <x v="23"/>
          </reference>
        </references>
      </pivotArea>
    </format>
    <format dxfId="148">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881"/>
          </reference>
          <reference field="82" count="1" selected="0">
            <x v="2392"/>
          </reference>
          <reference field="85" count="1" selected="0">
            <x v="7"/>
          </reference>
          <reference field="87" count="1" selected="0">
            <x v="3270"/>
          </reference>
          <reference field="88" count="1">
            <x v="2170"/>
          </reference>
        </references>
      </pivotArea>
    </format>
    <format dxfId="147">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3855"/>
          </reference>
          <reference field="82" count="1" selected="0">
            <x v="2359"/>
          </reference>
          <reference field="85" count="1" selected="0">
            <x v="3"/>
          </reference>
          <reference field="87" count="1" selected="0">
            <x v="3244"/>
          </reference>
          <reference field="88" count="1">
            <x v="2137"/>
          </reference>
        </references>
      </pivotArea>
    </format>
    <format dxfId="146">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881"/>
          </reference>
          <reference field="82" count="1" selected="0">
            <x v="2393"/>
          </reference>
          <reference field="85" count="1" selected="0">
            <x v="7"/>
          </reference>
          <reference field="87" count="1" selected="0">
            <x v="3270"/>
          </reference>
          <reference field="88" count="1">
            <x v="2171"/>
          </reference>
        </references>
      </pivotArea>
    </format>
    <format dxfId="145">
      <pivotArea dataOnly="0" labelOnly="1" outline="0" fieldPosition="0">
        <references count="14">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3028"/>
          </reference>
          <reference field="82" count="1" selected="0">
            <x v="1453"/>
          </reference>
          <reference field="85" count="1" selected="0">
            <x v="2"/>
          </reference>
          <reference field="87" count="1" selected="0">
            <x v="2389"/>
          </reference>
          <reference field="88" count="1">
            <x v="1226"/>
          </reference>
        </references>
      </pivotArea>
    </format>
    <format dxfId="144">
      <pivotArea dataOnly="0" labelOnly="1" outline="0" fieldPosition="0">
        <references count="14">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selected="0">
            <x v="23"/>
          </reference>
          <reference field="88" count="1">
            <x v="25"/>
          </reference>
        </references>
      </pivotArea>
    </format>
    <format dxfId="143">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000"/>
          </reference>
          <reference field="82" count="1" selected="0">
            <x v="2567"/>
          </reference>
          <reference field="85" count="1" selected="0">
            <x v="7"/>
          </reference>
          <reference field="87" count="1" selected="0">
            <x v="3415"/>
          </reference>
          <reference field="88" count="1">
            <x v="2350"/>
          </reference>
        </references>
      </pivotArea>
    </format>
    <format dxfId="142">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002"/>
          </reference>
          <reference field="82" count="1" selected="0">
            <x v="2569"/>
          </reference>
          <reference field="85" count="1" selected="0">
            <x v="7"/>
          </reference>
          <reference field="87" count="1" selected="0">
            <x v="3417"/>
          </reference>
          <reference field="88" count="1">
            <x v="2352"/>
          </reference>
        </references>
      </pivotArea>
    </format>
    <format dxfId="141">
      <pivotArea dataOnly="0" labelOnly="1" outline="0" fieldPosition="0">
        <references count="14">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selected="0">
            <x v="20"/>
          </reference>
          <reference field="88" count="1">
            <x v="21"/>
          </reference>
        </references>
      </pivotArea>
    </format>
    <format dxfId="140">
      <pivotArea dataOnly="0" labelOnly="1" outline="0" fieldPosition="0">
        <references count="14">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3031"/>
          </reference>
          <reference field="82" count="1" selected="0">
            <x v="1456"/>
          </reference>
          <reference field="85" count="1" selected="0">
            <x v="2"/>
          </reference>
          <reference field="87" count="1" selected="0">
            <x v="2392"/>
          </reference>
          <reference field="88" count="1">
            <x v="1229"/>
          </reference>
        </references>
      </pivotArea>
    </format>
    <format dxfId="139">
      <pivotArea dataOnly="0" labelOnly="1" outline="0" fieldPosition="0">
        <references count="14">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029"/>
          </reference>
          <reference field="82" count="1" selected="0">
            <x v="1454"/>
          </reference>
          <reference field="85" count="1" selected="0">
            <x v="2"/>
          </reference>
          <reference field="87" count="1" selected="0">
            <x v="2390"/>
          </reference>
          <reference field="88" count="1">
            <x v="1227"/>
          </reference>
        </references>
      </pivotArea>
    </format>
    <format dxfId="138">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001"/>
          </reference>
          <reference field="82" count="1" selected="0">
            <x v="2568"/>
          </reference>
          <reference field="85" count="1" selected="0">
            <x v="7"/>
          </reference>
          <reference field="87" count="1" selected="0">
            <x v="3416"/>
          </reference>
          <reference field="88" count="1">
            <x v="2351"/>
          </reference>
        </references>
      </pivotArea>
    </format>
    <format dxfId="137">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3877"/>
          </reference>
          <reference field="82" count="1" selected="0">
            <x v="2385"/>
          </reference>
          <reference field="85" count="1" selected="0">
            <x v="2"/>
          </reference>
          <reference field="87" count="1" selected="0">
            <x v="3266"/>
          </reference>
          <reference field="88" count="1">
            <x v="2163"/>
          </reference>
        </references>
      </pivotArea>
    </format>
    <format dxfId="136">
      <pivotArea dataOnly="0" labelOnly="1" outline="0" fieldPosition="0">
        <references count="14">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4003"/>
          </reference>
          <reference field="82" count="1" selected="0">
            <x v="2570"/>
          </reference>
          <reference field="85" count="1" selected="0">
            <x v="8"/>
          </reference>
          <reference field="87" count="1" selected="0">
            <x v="3418"/>
          </reference>
          <reference field="88" count="1">
            <x v="2353"/>
          </reference>
        </references>
      </pivotArea>
    </format>
    <format dxfId="135">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002"/>
          </reference>
          <reference field="82" count="1" selected="0">
            <x v="2569"/>
          </reference>
          <reference field="85" count="1" selected="0">
            <x v="7"/>
          </reference>
          <reference field="87" count="1" selected="0">
            <x v="3417"/>
          </reference>
          <reference field="88" count="1">
            <x v="2352"/>
          </reference>
        </references>
      </pivotArea>
    </format>
    <format dxfId="134">
      <pivotArea dataOnly="0" labelOnly="1" outline="0" fieldPosition="0">
        <references count="14">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029"/>
          </reference>
          <reference field="82" count="1" selected="0">
            <x v="1454"/>
          </reference>
          <reference field="85" count="1" selected="0">
            <x v="2"/>
          </reference>
          <reference field="87" count="1" selected="0">
            <x v="2390"/>
          </reference>
          <reference field="88" count="1">
            <x v="1227"/>
          </reference>
        </references>
      </pivotArea>
    </format>
    <format dxfId="133">
      <pivotArea dataOnly="0" labelOnly="1" outline="0" fieldPosition="0">
        <references count="14">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5"/>
          </reference>
          <reference field="81" count="1" selected="0">
            <x v="3032"/>
          </reference>
          <reference field="82" count="1" selected="0">
            <x v="1457"/>
          </reference>
          <reference field="85" count="1" selected="0">
            <x v="2"/>
          </reference>
          <reference field="87" count="1" selected="0">
            <x v="2393"/>
          </reference>
          <reference field="88" count="1">
            <x v="1230"/>
          </reference>
        </references>
      </pivotArea>
    </format>
    <format dxfId="132">
      <pivotArea dataOnly="0" labelOnly="1" outline="0" fieldPosition="0">
        <references count="14">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3"/>
          </reference>
          <reference field="81" count="1" selected="0">
            <x v="3030"/>
          </reference>
          <reference field="82" count="1" selected="0">
            <x v="1455"/>
          </reference>
          <reference field="85" count="1" selected="0">
            <x v="2"/>
          </reference>
          <reference field="87" count="1" selected="0">
            <x v="2391"/>
          </reference>
          <reference field="88" count="1">
            <x v="1228"/>
          </reference>
        </references>
      </pivotArea>
    </format>
    <format dxfId="131">
      <pivotArea dataOnly="0" labelOnly="1" outline="0" fieldPosition="0">
        <references count="14">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130">
      <pivotArea dataOnly="0" labelOnly="1" outline="0" fieldPosition="0">
        <references count="14">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129">
      <pivotArea dataOnly="0" labelOnly="1" outline="0" fieldPosition="0">
        <references count="14">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selected="0">
            <x v="20"/>
          </reference>
          <reference field="88" count="1">
            <x v="22"/>
          </reference>
        </references>
      </pivotArea>
    </format>
    <format dxfId="128">
      <pivotArea dataOnly="0" labelOnly="1" outline="0" fieldPosition="0">
        <references count="14">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127">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3853"/>
          </reference>
          <reference field="82" count="1" selected="0">
            <x v="2357"/>
          </reference>
          <reference field="85" count="1" selected="0">
            <x v="3"/>
          </reference>
          <reference field="87" count="1" selected="0">
            <x v="3242"/>
          </reference>
          <reference field="88" count="1">
            <x v="2135"/>
          </reference>
        </references>
      </pivotArea>
    </format>
    <format dxfId="126">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930"/>
          </reference>
          <reference field="82" count="1" selected="0">
            <x v="2562"/>
          </reference>
          <reference field="85" count="1" selected="0">
            <x v="4"/>
          </reference>
          <reference field="87" count="1" selected="0">
            <x v="3410"/>
          </reference>
          <reference field="88" count="1">
            <x v="2344"/>
          </reference>
        </references>
      </pivotArea>
    </format>
    <format dxfId="12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954"/>
          </reference>
          <reference field="82" count="1" selected="0">
            <x v="2492"/>
          </reference>
          <reference field="85" count="1" selected="0">
            <x v="2"/>
          </reference>
          <reference field="87" count="1" selected="0">
            <x v="3350"/>
          </reference>
          <reference field="88" count="1">
            <x v="2270"/>
          </reference>
        </references>
      </pivotArea>
    </format>
    <format dxfId="12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3955"/>
          </reference>
          <reference field="82" count="1" selected="0">
            <x v="2493"/>
          </reference>
          <reference field="85" count="1" selected="0">
            <x v="2"/>
          </reference>
          <reference field="87" count="1" selected="0">
            <x v="3351"/>
          </reference>
          <reference field="88" count="1">
            <x v="2271"/>
          </reference>
        </references>
      </pivotArea>
    </format>
    <format dxfId="12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3960"/>
          </reference>
          <reference field="82" count="1" selected="0">
            <x v="2498"/>
          </reference>
          <reference field="85" count="1" selected="0">
            <x v="2"/>
          </reference>
          <reference field="87" count="1" selected="0">
            <x v="3356"/>
          </reference>
          <reference field="88" count="1">
            <x v="2276"/>
          </reference>
        </references>
      </pivotArea>
    </format>
    <format dxfId="12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3958"/>
          </reference>
          <reference field="82" count="1" selected="0">
            <x v="2496"/>
          </reference>
          <reference field="85" count="1" selected="0">
            <x v="2"/>
          </reference>
          <reference field="87" count="1" selected="0">
            <x v="3354"/>
          </reference>
          <reference field="88" count="1">
            <x v="2274"/>
          </reference>
        </references>
      </pivotArea>
    </format>
    <format dxfId="12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3957"/>
          </reference>
          <reference field="82" count="1" selected="0">
            <x v="2495"/>
          </reference>
          <reference field="85" count="1" selected="0">
            <x v="2"/>
          </reference>
          <reference field="87" count="1" selected="0">
            <x v="3353"/>
          </reference>
          <reference field="88" count="1">
            <x v="2273"/>
          </reference>
        </references>
      </pivotArea>
    </format>
    <format dxfId="12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3956"/>
          </reference>
          <reference field="82" count="1" selected="0">
            <x v="2494"/>
          </reference>
          <reference field="85" count="1" selected="0">
            <x v="2"/>
          </reference>
          <reference field="87" count="1" selected="0">
            <x v="3352"/>
          </reference>
          <reference field="88" count="1">
            <x v="2272"/>
          </reference>
        </references>
      </pivotArea>
    </format>
    <format dxfId="11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953"/>
          </reference>
          <reference field="82" count="1" selected="0">
            <x v="2491"/>
          </reference>
          <reference field="85" count="1" selected="0">
            <x v="2"/>
          </reference>
          <reference field="87" count="1" selected="0">
            <x v="3349"/>
          </reference>
          <reference field="88" count="1">
            <x v="2269"/>
          </reference>
        </references>
      </pivotArea>
    </format>
    <format dxfId="11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3959"/>
          </reference>
          <reference field="82" count="1" selected="0">
            <x v="2497"/>
          </reference>
          <reference field="85" count="1" selected="0">
            <x v="2"/>
          </reference>
          <reference field="87" count="1" selected="0">
            <x v="3355"/>
          </reference>
          <reference field="88" count="1">
            <x v="2275"/>
          </reference>
        </references>
      </pivotArea>
    </format>
    <format dxfId="117">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999"/>
          </reference>
          <reference field="82" count="1" selected="0">
            <x v="2566"/>
          </reference>
          <reference field="85" count="1" selected="0">
            <x v="4"/>
          </reference>
          <reference field="87" count="1" selected="0">
            <x v="3414"/>
          </reference>
          <reference field="88" count="1">
            <x v="2349"/>
          </reference>
        </references>
      </pivotArea>
    </format>
    <format dxfId="116">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3880"/>
          </reference>
          <reference field="82" count="1" selected="0">
            <x v="2391"/>
          </reference>
          <reference field="85" count="1" selected="0">
            <x v="2"/>
          </reference>
          <reference field="87" count="1" selected="0">
            <x v="3269"/>
          </reference>
          <reference field="88" count="1">
            <x v="2169"/>
          </reference>
        </references>
      </pivotArea>
    </format>
    <format dxfId="115">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879"/>
          </reference>
          <reference field="82" count="1" selected="0">
            <x v="2389"/>
          </reference>
          <reference field="85" count="1" selected="0">
            <x v="7"/>
          </reference>
          <reference field="87" count="1" selected="0">
            <x v="3268"/>
          </reference>
          <reference field="88" count="1">
            <x v="2167"/>
          </reference>
        </references>
      </pivotArea>
    </format>
    <format dxfId="114">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954"/>
          </reference>
          <reference field="82" count="1" selected="0">
            <x v="2492"/>
          </reference>
          <reference field="85" count="1" selected="0">
            <x v="2"/>
          </reference>
          <reference field="87" count="1" selected="0">
            <x v="3350"/>
          </reference>
          <reference field="88" count="1">
            <x v="2270"/>
          </reference>
        </references>
      </pivotArea>
    </format>
    <format dxfId="113">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953"/>
          </reference>
          <reference field="82" count="1" selected="0">
            <x v="2491"/>
          </reference>
          <reference field="85" count="1" selected="0">
            <x v="2"/>
          </reference>
          <reference field="87" count="1" selected="0">
            <x v="3349"/>
          </reference>
          <reference field="88" count="1">
            <x v="2269"/>
          </reference>
        </references>
      </pivotArea>
    </format>
    <format dxfId="112">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879"/>
          </reference>
          <reference field="82" count="1" selected="0">
            <x v="2390"/>
          </reference>
          <reference field="85" count="1" selected="0">
            <x v="7"/>
          </reference>
          <reference field="87" count="1" selected="0">
            <x v="3268"/>
          </reference>
          <reference field="88" count="1">
            <x v="2168"/>
          </reference>
        </references>
      </pivotArea>
    </format>
    <format dxfId="111">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914"/>
          </reference>
          <reference field="82" count="1" selected="0">
            <x v="2555"/>
          </reference>
          <reference field="85" count="1" selected="0">
            <x v="4"/>
          </reference>
          <reference field="87" count="1" selected="0">
            <x v="3406"/>
          </reference>
          <reference field="88" count="1">
            <x v="2337"/>
          </reference>
        </references>
      </pivotArea>
    </format>
    <format dxfId="110">
      <pivotArea dataOnly="0" labelOnly="1" outline="0" fieldPosition="0">
        <references count="14">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2"/>
          </reference>
          <reference field="88" count="1">
            <x v="24"/>
          </reference>
        </references>
      </pivotArea>
    </format>
    <format dxfId="109">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972"/>
          </reference>
          <reference field="82" count="1" selected="0">
            <x v="2513"/>
          </reference>
          <reference field="85" count="1" selected="0">
            <x v="7"/>
          </reference>
          <reference field="87" count="1" selected="0">
            <x v="3368"/>
          </reference>
          <reference field="88" count="1">
            <x v="2291"/>
          </reference>
        </references>
      </pivotArea>
    </format>
    <format dxfId="108">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3974"/>
          </reference>
          <reference field="82" count="1" selected="0">
            <x v="2515"/>
          </reference>
          <reference field="85" count="1" selected="0">
            <x v="7"/>
          </reference>
          <reference field="87" count="1" selected="0">
            <x v="3370"/>
          </reference>
          <reference field="88" count="1">
            <x v="2293"/>
          </reference>
        </references>
      </pivotArea>
    </format>
    <format dxfId="107">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3875"/>
          </reference>
          <reference field="82" count="1" selected="0">
            <x v="2383"/>
          </reference>
          <reference field="85" count="1" selected="0">
            <x v="7"/>
          </reference>
          <reference field="87" count="1" selected="0">
            <x v="3264"/>
          </reference>
          <reference field="88" count="1">
            <x v="2161"/>
          </reference>
        </references>
      </pivotArea>
    </format>
    <format dxfId="106">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3874"/>
          </reference>
          <reference field="82" count="1" selected="0">
            <x v="2382"/>
          </reference>
          <reference field="85" count="1" selected="0">
            <x v="7"/>
          </reference>
          <reference field="87" count="1" selected="0">
            <x v="3263"/>
          </reference>
          <reference field="88" count="1">
            <x v="2160"/>
          </reference>
        </references>
      </pivotArea>
    </format>
    <format dxfId="105">
      <pivotArea dataOnly="0" labelOnly="1" outline="0" fieldPosition="0">
        <references count="14">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104">
      <pivotArea dataOnly="0" labelOnly="1" outline="0" fieldPosition="0">
        <references count="14">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103">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987"/>
          </reference>
          <reference field="82" count="1" selected="0">
            <x v="2542"/>
          </reference>
          <reference field="85" count="1" selected="0">
            <x v="4"/>
          </reference>
          <reference field="87" count="1" selected="0">
            <x v="3390"/>
          </reference>
          <reference field="88" count="1">
            <x v="2322"/>
          </reference>
        </references>
      </pivotArea>
    </format>
    <format dxfId="102">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849"/>
          </reference>
          <reference field="82" count="1" selected="0">
            <x v="2352"/>
          </reference>
          <reference field="85" count="1" selected="0">
            <x v="4"/>
          </reference>
          <reference field="87" count="1" selected="0">
            <x v="3393"/>
          </reference>
          <reference field="88" count="1">
            <x v="2323"/>
          </reference>
        </references>
      </pivotArea>
    </format>
    <format dxfId="101">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988"/>
          </reference>
          <reference field="82" count="1" selected="0">
            <x v="2543"/>
          </reference>
          <reference field="85" count="1" selected="0">
            <x v="4"/>
          </reference>
          <reference field="87" count="1" selected="0">
            <x v="3394"/>
          </reference>
          <reference field="88" count="1">
            <x v="2324"/>
          </reference>
        </references>
      </pivotArea>
    </format>
    <format dxfId="100">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913"/>
          </reference>
          <reference field="82" count="1" selected="0">
            <x v="2544"/>
          </reference>
          <reference field="85" count="1" selected="0">
            <x v="4"/>
          </reference>
          <reference field="87" count="1" selected="0">
            <x v="3395"/>
          </reference>
          <reference field="88" count="1">
            <x v="2325"/>
          </reference>
        </references>
      </pivotArea>
    </format>
    <format dxfId="99">
      <pivotArea dataOnly="0" labelOnly="1" outline="0" fieldPosition="0">
        <references count="14">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967"/>
          </reference>
          <reference field="82" count="1" selected="0">
            <x v="2507"/>
          </reference>
          <reference field="85" count="1" selected="0">
            <x v="7"/>
          </reference>
          <reference field="87" count="1" selected="0">
            <x v="3363"/>
          </reference>
          <reference field="88" count="1">
            <x v="2285"/>
          </reference>
        </references>
      </pivotArea>
    </format>
  </formats>
  <pivotTableStyleInfo name="PivotStyleMedium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ivotTable2"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G39:H79" firstHeaderRow="1" firstDataRow="1" firstDataCol="1"/>
  <pivotFields count="3">
    <pivotField showAll="0"/>
    <pivotField axis="axisRow" numFmtId="17" showAll="0">
      <items count="42">
        <item x="0"/>
        <item x="1"/>
        <item x="2"/>
        <item x="3"/>
        <item x="4"/>
        <item x="5"/>
        <item x="6"/>
        <item x="7"/>
        <item x="8"/>
        <item x="9"/>
        <item x="10"/>
        <item x="11"/>
        <item x="12"/>
        <item x="13"/>
        <item x="14"/>
        <item x="15"/>
        <item x="16"/>
        <item h="1" x="40"/>
        <item x="17"/>
        <item x="18"/>
        <item x="19"/>
        <item x="20"/>
        <item x="21"/>
        <item x="22"/>
        <item x="23"/>
        <item x="24"/>
        <item x="25"/>
        <item x="26"/>
        <item x="27"/>
        <item x="28"/>
        <item x="29"/>
        <item x="30"/>
        <item x="31"/>
        <item x="32"/>
        <item x="33"/>
        <item x="34"/>
        <item x="35"/>
        <item x="36"/>
        <item x="37"/>
        <item x="38"/>
        <item x="39"/>
        <item t="default"/>
      </items>
    </pivotField>
    <pivotField dataField="1" numFmtId="4" showAll="0"/>
  </pivotFields>
  <rowFields count="1">
    <field x="1"/>
  </rowFields>
  <rowItems count="40">
    <i>
      <x/>
    </i>
    <i>
      <x v="1"/>
    </i>
    <i>
      <x v="2"/>
    </i>
    <i>
      <x v="3"/>
    </i>
    <i>
      <x v="4"/>
    </i>
    <i>
      <x v="5"/>
    </i>
    <i>
      <x v="6"/>
    </i>
    <i>
      <x v="7"/>
    </i>
    <i>
      <x v="8"/>
    </i>
    <i>
      <x v="9"/>
    </i>
    <i>
      <x v="10"/>
    </i>
    <i>
      <x v="11"/>
    </i>
    <i>
      <x v="12"/>
    </i>
    <i>
      <x v="13"/>
    </i>
    <i>
      <x v="14"/>
    </i>
    <i>
      <x v="15"/>
    </i>
    <i>
      <x v="16"/>
    </i>
    <i>
      <x v="18"/>
    </i>
    <i>
      <x v="19"/>
    </i>
    <i>
      <x v="20"/>
    </i>
    <i>
      <x v="21"/>
    </i>
    <i>
      <x v="22"/>
    </i>
    <i>
      <x v="23"/>
    </i>
    <i>
      <x v="24"/>
    </i>
    <i>
      <x v="25"/>
    </i>
    <i>
      <x v="26"/>
    </i>
    <i>
      <x v="27"/>
    </i>
    <i>
      <x v="28"/>
    </i>
    <i>
      <x v="29"/>
    </i>
    <i>
      <x v="30"/>
    </i>
    <i>
      <x v="31"/>
    </i>
    <i>
      <x v="32"/>
    </i>
    <i>
      <x v="33"/>
    </i>
    <i>
      <x v="34"/>
    </i>
    <i>
      <x v="35"/>
    </i>
    <i>
      <x v="36"/>
    </i>
    <i>
      <x v="37"/>
    </i>
    <i>
      <x v="38"/>
    </i>
    <i>
      <x v="39"/>
    </i>
    <i>
      <x v="40"/>
    </i>
  </rowItems>
  <colItems count="1">
    <i/>
  </colItems>
  <dataFields count="1">
    <dataField name="Sum of Quantity" fld="2" baseField="0" baseItem="0" numFmtId="3"/>
  </dataFields>
  <chartFormats count="1">
    <chartFormat chart="0" format="26" series="1">
      <pivotArea type="data" outline="0" fieldPosition="0">
        <references count="1">
          <reference field="4294967294" count="1" selected="0">
            <x v="0"/>
          </reference>
        </references>
      </pivotArea>
    </chartFormat>
  </chart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4" cacheId="3" applyNumberFormats="0" applyBorderFormats="0" applyFontFormats="0" applyPatternFormats="0" applyAlignmentFormats="0" applyWidthHeightFormats="1" dataCaption="Values" showMissing="0" updatedVersion="8" minRefreshableVersion="3" colGrandTotals="0" itemPrintTitles="1" createdVersion="8" indent="0" outline="1" outlineData="1" multipleFieldFilters="0">
  <location ref="U43:W47" firstHeaderRow="0" firstDataRow="1" firstDataCol="1" rowPageCount="1" colPageCount="1"/>
  <pivotFields count="4">
    <pivotField showAll="0" sortType="descending">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x="36"/>
        <item x="37"/>
        <item x="38"/>
        <item x="39"/>
        <item t="default"/>
      </items>
    </pivotField>
    <pivotField dataField="1" numFmtId="4" showAll="0"/>
    <pivotField axis="axisRow" showAll="0" sortType="descending">
      <items count="6">
        <item x="0"/>
        <item x="2"/>
        <item x="1"/>
        <item x="4"/>
        <item x="3"/>
        <item t="default"/>
      </items>
      <autoSortScope>
        <pivotArea dataOnly="0" outline="0" fieldPosition="0">
          <references count="1">
            <reference field="4294967294" count="1" selected="0">
              <x v="1"/>
            </reference>
          </references>
        </pivotArea>
      </autoSortScope>
    </pivotField>
  </pivotFields>
  <rowFields count="1">
    <field x="3"/>
  </rowFields>
  <rowItems count="4">
    <i>
      <x v="1"/>
    </i>
    <i>
      <x v="2"/>
    </i>
    <i>
      <x/>
    </i>
    <i t="grand">
      <x/>
    </i>
  </rowItems>
  <colFields count="1">
    <field x="-2"/>
  </colFields>
  <colItems count="2">
    <i>
      <x/>
    </i>
    <i i="1">
      <x v="1"/>
    </i>
  </colItems>
  <pageFields count="1">
    <pageField fld="1" hier="-1"/>
  </pageFields>
  <dataFields count="2">
    <dataField name="Qty (kg)" fld="2" baseField="3" baseItem="1" numFmtId="3"/>
    <dataField name="%" fld="2" showDataAs="percentOfTotal" baseField="0" baseItem="0" numFmtId="10"/>
  </dataFields>
  <formats count="1">
    <format dxfId="3">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238E498-8E5D-4563-8DE8-1A2CAD76BCC1}"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A47:AB60" firstHeaderRow="1" firstDataRow="1" firstDataCol="1" rowPageCount="2" colPageCount="1"/>
  <pivotFields count="7">
    <pivotField axis="axisPage" showAll="0">
      <items count="13">
        <item x="0"/>
        <item x="1"/>
        <item x="3"/>
        <item x="2"/>
        <item x="4"/>
        <item x="6"/>
        <item x="7"/>
        <item x="5"/>
        <item x="9"/>
        <item x="8"/>
        <item x="11"/>
        <item x="10"/>
        <item t="default"/>
      </items>
    </pivotField>
    <pivotField axis="axisRow" numFmtId="17" showAll="0">
      <items count="26">
        <item x="0"/>
        <item x="1"/>
        <item x="2"/>
        <item x="3"/>
        <item x="4"/>
        <item x="5"/>
        <item x="6"/>
        <item x="7"/>
        <item x="8"/>
        <item x="9"/>
        <item x="10"/>
        <item x="11"/>
        <item x="12"/>
        <item x="13"/>
        <item x="14"/>
        <item x="15"/>
        <item x="16"/>
        <item x="17"/>
        <item x="18"/>
        <item x="19"/>
        <item x="20"/>
        <item x="21"/>
        <item x="22"/>
        <item x="23"/>
        <item x="24"/>
        <item t="default"/>
      </items>
    </pivotField>
    <pivotField dataField="1" numFmtId="4"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5"/>
        <item x="1"/>
        <item x="2"/>
        <item x="3"/>
        <item x="4"/>
        <item t="default"/>
      </items>
    </pivotField>
    <pivotField axis="axisPage" showAll="0">
      <items count="6">
        <item sd="0" x="0"/>
        <item sd="0" x="1"/>
        <item sd="0" x="2"/>
        <item sd="0" x="3"/>
        <item sd="0" x="4"/>
        <item t="default"/>
      </items>
    </pivotField>
  </pivotFields>
  <rowFields count="2">
    <field x="4"/>
    <field x="1"/>
  </rowFields>
  <rowItems count="13">
    <i>
      <x v="1"/>
    </i>
    <i>
      <x v="2"/>
    </i>
    <i>
      <x v="3"/>
    </i>
    <i>
      <x v="4"/>
    </i>
    <i>
      <x v="5"/>
    </i>
    <i>
      <x v="6"/>
    </i>
    <i>
      <x v="7"/>
    </i>
    <i>
      <x v="8"/>
    </i>
    <i>
      <x v="9"/>
    </i>
    <i>
      <x v="10"/>
    </i>
    <i>
      <x v="11"/>
    </i>
    <i>
      <x v="12"/>
    </i>
    <i t="grand">
      <x/>
    </i>
  </rowItems>
  <colItems count="1">
    <i/>
  </colItems>
  <pageFields count="2">
    <pageField fld="0" hier="-1"/>
    <pageField fld="6" item="2" hier="-1"/>
  </pageFields>
  <dataFields count="1">
    <dataField name="Sum of Quantity" fld="2" baseField="4" baseItem="4" numFmtId="3"/>
  </dataFields>
  <chartFormats count="8">
    <chartFormat chart="0" format="0" series="1">
      <pivotArea type="data" outline="0" fieldPosition="0">
        <references count="2">
          <reference field="4294967294" count="1" selected="0">
            <x v="0"/>
          </reference>
          <reference field="6" count="1" selected="0">
            <x v="1"/>
          </reference>
        </references>
      </pivotArea>
    </chartFormat>
    <chartFormat chart="0" format="1" series="1">
      <pivotArea type="data" outline="0" fieldPosition="0">
        <references count="2">
          <reference field="4294967294" count="1" selected="0">
            <x v="0"/>
          </reference>
          <reference field="6" count="1" selected="0">
            <x v="2"/>
          </reference>
        </references>
      </pivotArea>
    </chartFormat>
    <chartFormat chart="0" format="2" series="1">
      <pivotArea type="data" outline="0" fieldPosition="0">
        <references count="2">
          <reference field="4294967294" count="1" selected="0">
            <x v="0"/>
          </reference>
          <reference field="6" count="1" selected="0">
            <x v="3"/>
          </reference>
        </references>
      </pivotArea>
    </chartFormat>
    <chartFormat chart="0" format="3" series="1">
      <pivotArea type="data" outline="0" fieldPosition="0">
        <references count="1">
          <reference field="4294967294" count="1" selected="0">
            <x v="0"/>
          </reference>
        </references>
      </pivotArea>
    </chartFormat>
    <chartFormat chart="21"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0"/>
          </reference>
        </references>
      </pivotArea>
    </chartFormat>
    <chartFormat chart="23" format="4" series="1">
      <pivotArea type="data" outline="0" fieldPosition="0">
        <references count="1">
          <reference field="4294967294" count="1" selected="0">
            <x v="0"/>
          </reference>
        </references>
      </pivotArea>
    </chartFormat>
    <chartFormat chart="2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ivotTable3" cacheId="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M43:O54" firstHeaderRow="0" firstDataRow="1" firstDataCol="1" rowPageCount="1" colPageCount="1"/>
  <pivotFields count="3">
    <pivotField axis="axisRow" showAll="0" sortType="descending">
      <items count="14">
        <item x="0"/>
        <item x="1"/>
        <item x="3"/>
        <item x="2"/>
        <item x="4"/>
        <item x="6"/>
        <item x="7"/>
        <item x="5"/>
        <item x="9"/>
        <item x="8"/>
        <item x="11"/>
        <item x="10"/>
        <item x="12"/>
        <item t="default"/>
      </items>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x="39"/>
        <item t="default"/>
      </items>
    </pivotField>
    <pivotField dataField="1" numFmtId="4" showAll="0"/>
  </pivotFields>
  <rowFields count="1">
    <field x="0"/>
  </rowFields>
  <rowItems count="11">
    <i>
      <x v="3"/>
    </i>
    <i>
      <x v="8"/>
    </i>
    <i>
      <x v="6"/>
    </i>
    <i>
      <x/>
    </i>
    <i>
      <x v="4"/>
    </i>
    <i>
      <x v="11"/>
    </i>
    <i>
      <x v="9"/>
    </i>
    <i>
      <x v="1"/>
    </i>
    <i>
      <x v="7"/>
    </i>
    <i>
      <x v="5"/>
    </i>
    <i t="grand">
      <x/>
    </i>
  </rowItems>
  <colFields count="1">
    <field x="-2"/>
  </colFields>
  <colItems count="2">
    <i>
      <x/>
    </i>
    <i i="1">
      <x v="1"/>
    </i>
  </colItems>
  <pageFields count="1">
    <pageField fld="1" hier="-1"/>
  </pageFields>
  <dataFields count="2">
    <dataField name="Qty (kg)" fld="2" baseField="0" baseItem="8" numFmtId="3"/>
    <dataField name="%" fld="2" showDataAs="percentOfTotal" baseField="0" baseItem="0" numFmtId="10"/>
  </dataFields>
  <formats count="1">
    <format dxfId="4">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ivotTable1" cacheId="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Q43:S54" firstHeaderRow="0" firstDataRow="1" firstDataCol="1" rowPageCount="1" colPageCount="1"/>
  <pivotFields count="3">
    <pivotField axis="axisRow" showAll="0" sortType="descending">
      <items count="14">
        <item x="0"/>
        <item x="1"/>
        <item x="3"/>
        <item x="2"/>
        <item x="4"/>
        <item x="6"/>
        <item x="7"/>
        <item x="5"/>
        <item x="9"/>
        <item x="8"/>
        <item x="11"/>
        <item x="10"/>
        <item h="1" x="12"/>
        <item t="default"/>
      </items>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x="36"/>
        <item x="37"/>
        <item x="38"/>
        <item x="39"/>
        <item t="default"/>
      </items>
    </pivotField>
    <pivotField dataField="1" numFmtId="4" showAll="0"/>
  </pivotFields>
  <rowFields count="1">
    <field x="0"/>
  </rowFields>
  <rowItems count="11">
    <i>
      <x v="8"/>
    </i>
    <i>
      <x/>
    </i>
    <i>
      <x v="3"/>
    </i>
    <i>
      <x v="6"/>
    </i>
    <i>
      <x v="11"/>
    </i>
    <i>
      <x v="9"/>
    </i>
    <i>
      <x v="7"/>
    </i>
    <i>
      <x v="4"/>
    </i>
    <i>
      <x v="5"/>
    </i>
    <i>
      <x v="1"/>
    </i>
    <i t="grand">
      <x/>
    </i>
  </rowItems>
  <colFields count="1">
    <field x="-2"/>
  </colFields>
  <colItems count="2">
    <i>
      <x/>
    </i>
    <i i="1">
      <x v="1"/>
    </i>
  </colItems>
  <pageFields count="1">
    <pageField fld="1" hier="-1"/>
  </pageFields>
  <dataFields count="2">
    <dataField name="Qty (kg)" fld="2" baseField="0" baseItem="8" numFmtId="3"/>
    <dataField name="%" fld="2" showDataAs="percentOfTotal" baseField="0" baseItem="0" numFmtId="10"/>
  </dataFields>
  <formats count="1">
    <format dxfId="5">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0">
  <rv s="0">
    <v>pt-BR</v>
    <v>avylgh</v>
    <v>268435456</v>
    <v>1</v>
    <v>Da plataforma Refinitiv</v>
    <v>0</v>
    <v>1</v>
    <v>USD/BRL</v>
    <v>3</v>
    <v>4</v>
    <v>Finance</v>
    <v>5</v>
    <v>5.6298000000000004</v>
    <v>4.8848000000000003</v>
    <v>5.1510999999999996</v>
    <v>5.1482000000000001</v>
    <v>USD</v>
    <v>5.1501999999999999</v>
    <v>46211.895868055559</v>
    <v>BRL</v>
    <v>US Dollar/Brazilian Real FX Spot Rate</v>
    <v>5.1505999999999998</v>
    <v>5.1489000000000003</v>
    <v>USDBRL</v>
    <v>Par de Moedas</v>
    <v>USD/BRL</v>
    <v>-1.2999999999999999E-3</v>
    <v>-2.5240000000000001E-4</v>
  </rv>
  <rv s="1">
    <v>0</v>
  </rv>
  <rv s="0">
    <v>pt-BR</v>
    <v>av8tf2</v>
    <v>268435456</v>
    <v>1</v>
    <v>Da plataforma Refinitiv</v>
    <v>0</v>
    <v>1</v>
    <v>EUR/BRL</v>
    <v>3</v>
    <v>4</v>
    <v>Finance</v>
    <v>5</v>
    <v>6.6006999999999998</v>
    <v>5.7222999999999997</v>
    <v>5.8836000000000004</v>
    <v>5.8785999999999996</v>
    <v>EUR</v>
    <v>5.8784000000000001</v>
    <v>46211.935173611113</v>
    <v>BRL</v>
    <v>Euro/Brazilian Real FX Cross Rate</v>
    <v>5.8788999999999998</v>
    <v>5.8780000000000001</v>
    <v>EURBRL</v>
    <v>Par de Moedas</v>
    <v>EUR/BRL</v>
    <v>-4.0000000000000002E-4</v>
    <v>-6.8050000000000001E-5</v>
  </rv>
  <rv s="1">
    <v>2</v>
  </rv>
  <rv s="0">
    <v>pt-BR</v>
    <v>av4vgh</v>
    <v>268435456</v>
    <v>1</v>
    <v>Da plataforma Refinitiv</v>
    <v>0</v>
    <v>1</v>
    <v>CNY/BRL</v>
    <v>3</v>
    <v>4</v>
    <v>Finance</v>
    <v>5</v>
    <v>0.79720000000000002</v>
    <v>0.71719999999999995</v>
    <v>0.7571</v>
    <v>0.75680000000000003</v>
    <v>CNY</v>
    <v>0.75690000000000002</v>
    <v>46211.895879629628</v>
    <v>BRL</v>
    <v>Chinese Renminbi/Brazilian Real FX Cross Rate</v>
    <v>0.75700000000000001</v>
    <v>0.75670000000000004</v>
    <v>CNYBRL</v>
    <v>Par de Moedas</v>
    <v>CNY/BRL</v>
    <v>-2.0000000000000001E-4</v>
    <v>-2.6419999999999997E-4</v>
  </rv>
  <rv s="1">
    <v>4</v>
  </rv>
  <rv s="0">
    <v>pt-BR</v>
    <v>avqpjc</v>
    <v>268435456</v>
    <v>1</v>
    <v>Da plataforma Refinitiv</v>
    <v>0</v>
    <v>1</v>
    <v>RUB/BRL</v>
    <v>3</v>
    <v>4</v>
    <v>Finance</v>
    <v>5</v>
    <v>7.2700000000000001E-2</v>
    <v>6.0400000000000002E-2</v>
    <v>6.7100000000000007E-2</v>
    <v>6.7000000000000004E-2</v>
    <v>RUB</v>
    <v>6.7100000000000007E-2</v>
    <v>46211.895879629628</v>
    <v>BRL</v>
    <v>Russian Rouble/Brazilian Real FX Cross Rate</v>
    <v>6.7100000000000007E-2</v>
    <v>6.7000000000000004E-2</v>
    <v>RUBBRL</v>
    <v>Par de Moedas</v>
    <v>RUB/BRL</v>
    <v>-1E-4</v>
    <v>-1.49E-3</v>
  </rv>
  <rv s="1">
    <v>6</v>
  </rv>
  <rv s="0">
    <v>pt-BR</v>
    <v>av8u5r</v>
    <v>268435456</v>
    <v>1</v>
    <v>Da plataforma Refinitiv</v>
    <v>0</v>
    <v>1</v>
    <v>EUR/CNY</v>
    <v>3</v>
    <v>6</v>
    <v>Finance</v>
    <v>5</v>
    <v>8.4659999999999993</v>
    <v>7.7037000000000004</v>
    <v>7.7698</v>
    <v>7.7680999999999996</v>
    <v>EUR</v>
    <v>7.7644000000000002</v>
    <v>46211.935173611113</v>
    <v>CNY</v>
    <v>Euro/Chinese Renminbi FX Cross Rate</v>
    <v>7.7698</v>
    <v>7.7656999999999998</v>
    <v>EURCNY</v>
    <v>Par de Moedas</v>
    <v>EUR/CNY</v>
    <v>1.2999999999999999E-3</v>
    <v>1.674E-4</v>
  </rv>
  <rv s="1">
    <v>8</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lto"/>
    <k n="Baixo"/>
    <k n="Da moeda" t="s"/>
    <k n="Fechamento anterior"/>
    <k n="Hora da última transação"/>
    <k n="Moeda" t="s"/>
    <k n="Nome" t="s"/>
    <k n="Pendência"/>
    <k n="Preço"/>
    <k n="Símbolo do ticker" t="s"/>
    <k n="Tipo de instrumento" t="s"/>
    <k n="UniqueName" t="s"/>
    <k n="Variação"/>
    <k n="Variação (%)"/>
  </s>
  <s t="_linkedentity">
    <k n="%cvi" t="r"/>
  </s>
</rvStructures>
</file>

<file path=xl/richData/rdsupportingpropertybag.xml><?xml version="1.0" encoding="utf-8"?>
<supportingPropertyBags xmlns="http://schemas.microsoft.com/office/spreadsheetml/2017/richdata2">
  <spbArrays count="1">
    <a count="28">
      <v t="s">%EntityServiceId</v>
      <v t="s">_Format</v>
      <v t="s">%IsRefreshable</v>
      <v t="s">_CanonicalPropertyNames</v>
      <v t="s">%EntityCulture</v>
      <v t="s">%EntityId</v>
      <v t="s">_Icon</v>
      <v t="s">_Display</v>
      <v t="s">Nome</v>
      <v t="s">Preço</v>
      <v t="s">_SubLabel</v>
      <v t="s">Hora da última transação</v>
      <v t="s">Símbolo do ticker</v>
      <v t="s">Variação</v>
      <v t="s">Variação (%)</v>
      <v t="s">Moeda</v>
      <v t="s">Da moeda</v>
      <v t="s">Fechamento anterior</v>
      <v t="s">Pendência</v>
      <v t="s">Alto</v>
      <v t="s">Baixo</v>
      <v t="s">52 semanas de alta</v>
      <v t="s">52 semanas de baixa</v>
      <v t="s">Tipo de instrumento</v>
      <v t="s">_Flags</v>
      <v t="s">UniqueName</v>
      <v t="s">_DisplayString</v>
      <v t="s">%ProviderInfo</v>
    </a>
  </spbArrays>
  <spbData count="7">
    <spb s="0">
      <v>High</v>
      <v>Name</v>
      <v>Low</v>
      <v>Currency</v>
      <v>Price</v>
      <v>From currency</v>
      <v>Change</v>
      <v>Open</v>
      <v>UniqueName</v>
      <v>Change (%)</v>
      <v>%ProviderInfo</v>
      <v>Ticker symbol</v>
      <v>52 week high</v>
      <v>52 week low</v>
      <v>Previous close</v>
      <v>Instrument type</v>
      <v>Last trade time</v>
    </spb>
    <spb s="1">
      <v>0</v>
      <v>Name</v>
    </spb>
    <spb s="2">
      <v>0</v>
      <v>0</v>
      <v>0</v>
    </spb>
    <spb s="3">
      <v>2</v>
      <v>2</v>
    </spb>
    <spb s="4">
      <v>1</v>
      <v>2</v>
      <v>1</v>
      <v>1</v>
      <v>1</v>
      <v>1</v>
      <v>3</v>
      <v>4</v>
      <v>1</v>
      <v>1</v>
      <v>1</v>
      <v>5</v>
    </spb>
    <spb s="5">
      <v>GMT</v>
    </spb>
    <spb s="4">
      <v>6</v>
      <v>2</v>
      <v>6</v>
      <v>6</v>
      <v>6</v>
      <v>6</v>
      <v>3</v>
      <v>4</v>
      <v>6</v>
      <v>6</v>
      <v>6</v>
      <v>5</v>
    </spb>
  </spbData>
</supportingPropertyBags>
</file>

<file path=xl/richData/rdsupportingpropertybagstructure.xml><?xml version="1.0" encoding="utf-8"?>
<spbStructures xmlns="http://schemas.microsoft.com/office/spreadsheetml/2017/richdata2" count="6">
  <s>
    <k n="Alto" t="s"/>
    <k n="Nome" t="s"/>
    <k n="Baixo" t="s"/>
    <k n="Moeda" t="s"/>
    <k n="Preço" t="s"/>
    <k n="Da moeda" t="s"/>
    <k n="Variação" t="s"/>
    <k n="Pendência" t="s"/>
    <k n="UniqueName" t="s"/>
    <k n="Variação (%)" t="s"/>
    <k n="%ProviderInfo" t="s"/>
    <k n="Símbolo do ticker" t="s"/>
    <k n="52 semanas de alta" t="s"/>
    <k n="52 semanas de baixa" t="s"/>
    <k n="Fechamento anterior" t="s"/>
    <k n="Tipo de instrumento" t="s"/>
    <k n="Hora da última transação" t="s"/>
  </s>
  <s>
    <k n="^Order" t="spba"/>
    <k n="TitleProperty" t="s"/>
  </s>
  <s>
    <k n="ShowInCardView" t="b"/>
    <k n="ShowInDotNotation" t="b"/>
    <k n="ShowInAutoComplete" t="b"/>
  </s>
  <s>
    <k n="UniqueName" t="spb"/>
    <k n="`%ProviderInfo" t="spb"/>
  </s>
  <s>
    <k n="Alto" t="i"/>
    <k n="Nome" t="i"/>
    <k n="Baixo" t="i"/>
    <k n="Preço" t="i"/>
    <k n="Variação" t="i"/>
    <k n="Pendência" t="i"/>
    <k n="Variação (%)" t="i"/>
    <k n="`%EntityServiceId" t="i"/>
    <k n="52 semanas de alta" t="i"/>
    <k n="52 semanas de baixa" t="i"/>
    <k n="Fechamento anterior" t="i"/>
    <k n="Hora da última transação" t="i"/>
  </s>
  <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0" formatCode="General"/>
    </x:dxf>
    <x:dxf>
      <x:numFmt numFmtId="14" formatCode="0.00%"/>
    </x:dxf>
    <x:dxf>
      <x:numFmt numFmtId="2" formatCode="0.00"/>
    </x:dxf>
    <x:dxf>
      <x:numFmt numFmtId="27" formatCode="dd/mm/yyyy\ hh:mm"/>
    </x:dxf>
  </dxfs>
  <richProperties>
    <rPr n="NumberFormat" t="s"/>
    <rPr n="IsTitleField" t="b"/>
  </richProperties>
  <richStyles>
    <rSty dxfid="0">
      <rpv i="0">_-[$R$-pt-BR] * #,##0.00_-;-[$R$-pt-BR] * #,##0.00_-;_-[$R$-pt-BR] * "-"??_-;_-@_-</rpv>
    </rSty>
    <rSty>
      <rpv i="1">1</rpv>
    </rSty>
    <rSty dxfid="1"/>
    <rSty dxfid="2">
      <rpv i="0">0.00</rpv>
    </rSty>
    <rSty dxfid="3"/>
    <rSty dxfid="0">
      <rpv i="0" xml:space="preserve">_ [$¥-zh-CN]* #,##0.00_ ;_ [$¥-zh-CN]* -#,##0.00_ ;_ [$¥-zh-CN]* "-"??_ ;_ @_ </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_m21" xr10:uid="{00000000-0013-0000-FFFF-FFFF02000000}" sourceName="g/m2">
  <pivotTables>
    <pivotTable tabId="11" name="PivotTable1"/>
  </pivotTables>
  <data>
    <tabular pivotCacheId="372970320" sortOrder="descending">
      <items count="17">
        <i x="16" s="1"/>
        <i x="15" s="1"/>
        <i x="14" s="1"/>
        <i x="2" s="1"/>
        <i x="12" s="1"/>
        <i x="8" s="1"/>
        <i x="11" s="1"/>
        <i x="3" s="1"/>
        <i x="6" s="1"/>
        <i x="10" s="1"/>
        <i x="9" s="1"/>
        <i x="5" s="1"/>
        <i x="7" s="1"/>
        <i x="4" s="1"/>
        <i x="0" s="1"/>
        <i x="13"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ier1" xr10:uid="{00000000-0013-0000-FFFF-FFFF04000000}" sourceName="Supplier">
  <pivotTables>
    <pivotTable tabId="11" name="PivotTable1"/>
  </pivotTables>
  <data>
    <tabular pivotCacheId="372970320">
      <items count="20">
        <i x="4" s="1"/>
        <i x="12" s="1"/>
        <i x="11" s="1"/>
        <i x="7" s="1"/>
        <i x="13" s="1"/>
        <i x="6" s="1"/>
        <i x="2" s="1"/>
        <i x="8" s="1"/>
        <i x="9" s="1"/>
        <i x="16" s="1"/>
        <i x="0" s="1"/>
        <i x="10" s="1"/>
        <i x="5" s="1"/>
        <i x="1" s="1"/>
        <i x="15" s="1"/>
        <i x="3" s="1"/>
        <i x="14" s="1"/>
        <i x="17" s="1"/>
        <i x="18" s="1"/>
        <i x="19"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t__ton1" xr10:uid="{00000000-0013-0000-FFFF-FFFF05000000}" sourceName="Lot (ton)">
  <pivotTables>
    <pivotTable tabId="11" name="PivotTable1"/>
  </pivotTables>
  <data>
    <tabular pivotCacheId="372970320" sortOrder="descending">
      <items count="23">
        <i x="0" s="1"/>
        <i x="6" s="1"/>
        <i x="7" s="1"/>
        <i x="13" s="1"/>
        <i x="14" s="1"/>
        <i x="5" s="1"/>
        <i x="10" s="1"/>
        <i x="21" s="1"/>
        <i x="15" s="1"/>
        <i x="4" s="1"/>
        <i x="3" s="1"/>
        <i x="20" s="1"/>
        <i x="16" s="1"/>
        <i x="2" s="1"/>
        <i x="17" s="1"/>
        <i x="11" s="1"/>
        <i x="19" s="1"/>
        <i x="8" s="1"/>
        <i x="1" s="1"/>
        <i x="9" s="1"/>
        <i x="12" s="1"/>
        <i x="18" s="1"/>
        <i x="2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per_bonus__t" xr10:uid="{EAD83CEF-C864-4A78-B573-A8854ECA7F89}" sourceName="Paper bonus (t)">
  <pivotTables>
    <pivotTable tabId="11" name="PivotTable1"/>
  </pivotTables>
  <data>
    <tabular pivotCacheId="372970320">
      <items count="6">
        <i x="1" s="1"/>
        <i x="3" s="1"/>
        <i x="4" s="1"/>
        <i x="2" s="1"/>
        <i x="0" s="1"/>
        <i x="5"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cy" xr10:uid="{A6E2F29E-8664-4E5A-B53B-725B7C2F24EF}" sourceName="Currency">
  <pivotTables>
    <pivotTable tabId="11" name="PivotTable1"/>
  </pivotTables>
  <data>
    <tabular pivotCacheId="372970320">
      <items count="6">
        <i x="0" s="1"/>
        <i x="3" s="1"/>
        <i x="2" s="1"/>
        <i x="4" s="1"/>
        <i x="1" s="1"/>
        <i x="5"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dth__mm1" xr10:uid="{00000000-0013-0000-FFFF-FFFF03000000}" sourceName="Width (mm)">
  <pivotTables>
    <pivotTable tabId="11" name="PivotTable1"/>
  </pivotTables>
  <data>
    <tabular pivotCacheId="372970320">
      <items count="25">
        <i x="11" s="1"/>
        <i x="23" s="1"/>
        <i x="5" s="1"/>
        <i x="16" s="1"/>
        <i x="14" s="1"/>
        <i x="10" s="1"/>
        <i x="8" s="1"/>
        <i x="19" s="1"/>
        <i x="7" s="1"/>
        <i x="12" s="1"/>
        <i x="9" s="1"/>
        <i x="6" s="1"/>
        <i x="2" s="1"/>
        <i x="0" s="1"/>
        <i x="3" s="1"/>
        <i x="20" s="1"/>
        <i x="18" s="1"/>
        <i x="21" s="1"/>
        <i x="4" s="1"/>
        <i x="13" s="1"/>
        <i x="1" s="1"/>
        <i x="22" s="1"/>
        <i x="15" s="1"/>
        <i x="17" s="1"/>
        <i x="24"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mpress_Type1" xr10:uid="{00000000-0013-0000-FFFF-FFFF01000000}" sourceName="Impress Type">
  <pivotTables>
    <pivotTable tabId="11" name="PivotTable1"/>
  </pivotTables>
  <data>
    <tabular pivotCacheId="372970320">
      <items count="62">
        <i x="13" s="1"/>
        <i x="12" s="1"/>
        <i x="42" s="1"/>
        <i x="19" s="1"/>
        <i x="40" s="1"/>
        <i x="52" s="1"/>
        <i x="26" s="1"/>
        <i x="53" s="1"/>
        <i x="25" s="1"/>
        <i x="39" s="1"/>
        <i x="41" s="1"/>
        <i x="17" s="1"/>
        <i x="10" s="1"/>
        <i x="46" s="1"/>
        <i x="14" s="1"/>
        <i x="31" s="1"/>
        <i x="32" s="1"/>
        <i x="55" s="1"/>
        <i x="15" s="1"/>
        <i x="11" s="1"/>
        <i x="30" s="1"/>
        <i x="56" s="1"/>
        <i x="21" s="1"/>
        <i x="22" s="1"/>
        <i x="45" s="1"/>
        <i x="27" s="1"/>
        <i x="36" s="1"/>
        <i x="16" s="1"/>
        <i x="38" s="1"/>
        <i x="37" s="1"/>
        <i x="18" s="1"/>
        <i x="33" s="1"/>
        <i x="34" s="1"/>
        <i x="57" s="1"/>
        <i x="29" s="1"/>
        <i x="28" s="1"/>
        <i x="4" s="1"/>
        <i x="47" s="1"/>
        <i x="48" s="1"/>
        <i x="49" s="1"/>
        <i x="50" s="1"/>
        <i x="3" s="1"/>
        <i x="43" s="1"/>
        <i x="35" s="1"/>
        <i x="44" s="1"/>
        <i x="24" s="1"/>
        <i x="20" s="1"/>
        <i x="23" s="1"/>
        <i x="0" s="1"/>
        <i x="8" s="1"/>
        <i x="1" s="1"/>
        <i x="7" s="1"/>
        <i x="9" s="1"/>
        <i x="2" s="1"/>
        <i x="6" s="1"/>
        <i x="5" s="1"/>
        <i x="54" s="1"/>
        <i x="51" s="1"/>
        <i x="60" s="1" nd="1"/>
        <i x="61" s="1" nd="1"/>
        <i x="59" s="1" nd="1"/>
        <i x="5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m2 1" xr10:uid="{00000000-0014-0000-FFFF-FFFF02000000}" cache="Slicer_g_m21" caption="g/m2" rowHeight="234950"/>
  <slicer name="Supplier 1" xr10:uid="{00000000-0014-0000-FFFF-FFFF04000000}" cache="Slicer_Supplier1" caption="Supplier" startItem="2" rowHeight="234950"/>
  <slicer name="Lot (ton)" xr10:uid="{00000000-0014-0000-FFFF-FFFF05000000}" cache="Slicer_Lot__ton1" caption="Lot (ton)" rowHeight="234950"/>
  <slicer name="Paper bonus (t)" xr10:uid="{CEB21580-99CD-45ED-AA48-0474A66C0787}" cache="Slicer_Paper_bonus__t" caption="Paper bonus (t)" rowHeight="234950"/>
  <slicer name="Currency" xr10:uid="{7803B30C-0CAF-42C2-BFE5-C2C19E7B5175}" cache="Slicer_Currency" caption="Currency" rowHeight="234950"/>
  <slicer name="Width (mm) 1" xr10:uid="{00000000-0014-0000-FFFF-FFFF03000000}" cache="Slicer_Width__mm1" caption="Width (mm)" rowHeight="234950"/>
  <slicer name="Impress Type 1" xr10:uid="{00000000-0014-0000-FFFF-FFFF01000000}" cache="Slicer_Impress_Type1" caption="Impress Typ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ED32E4-BFFA-4D65-A3DB-7D97D8C2AD54}" name="Cockpit_Papel" displayName="Cockpit_Papel" ref="A3:CK512" totalsRowShown="0" headerRowDxfId="98" dataDxfId="96" headerRowBorderDxfId="97" tableBorderDxfId="95">
  <autoFilter ref="A3:CK512" xr:uid="{3EED32E4-BFFA-4D65-A3DB-7D97D8C2AD54}"/>
  <tableColumns count="89">
    <tableColumn id="1" xr3:uid="{6B5EE6BB-9873-4849-939B-68D06CD8360A}" name="Material Number" dataDxfId="94"/>
    <tableColumn id="2" xr3:uid="{7B703A40-1D71-45D9-B76B-2CF6E1C1FEAB}" name="Impress Type" dataDxfId="93"/>
    <tableColumn id="3" xr3:uid="{B2ECDDF9-921C-4970-9BCA-91B661ED476B}" name="g/m2" dataDxfId="92"/>
    <tableColumn id="4" xr3:uid="{3ABE8657-B533-4DA9-B927-9A2BAA53A852}" name="Width (mm)" dataDxfId="91"/>
    <tableColumn id="5" xr3:uid="{6AB4676A-F909-4F76-99DF-8075D43D365E}" name="Usage" dataDxfId="90"/>
    <tableColumn id="6" xr3:uid="{50D02A67-645B-4504-9E67-C39D1865DCB6}" name="Supplier" dataDxfId="89"/>
    <tableColumn id="7" xr3:uid="{ACA1748A-7D4C-44F1-A694-BD37015628C9}" name="Product" dataDxfId="88"/>
    <tableColumn id="8" xr3:uid="{7927CDD1-DD87-49C8-BE75-9C58B0C786EB}" name="Color" dataDxfId="87"/>
    <tableColumn id="9" xr3:uid="{C6F97F10-946C-475F-B3E3-5B3E2D7D42B6}" name="Supplier Ref" dataDxfId="86"/>
    <tableColumn id="10" xr3:uid="{247E670D-AB55-4DB2-AD5C-F21E4A3828DE}" name="Reel Weight (t)" dataDxfId="85"/>
    <tableColumn id="11" xr3:uid="{B6E58145-B842-46EA-B8AB-9B4BFCE42C49}" name="Production batch Qualified?" dataDxfId="84"/>
    <tableColumn id="12" xr3:uid="{D5B23DBE-E80D-4B24-B11C-98756420B2B2}" name="Location" dataDxfId="83"/>
    <tableColumn id="13" xr3:uid="{89352E56-2CF1-4460-BBCE-DDE8ABE07317}" name="Payment Terms" dataDxfId="82"/>
    <tableColumn id="14" xr3:uid="{76844BCA-AFBB-44B6-BA91-34948091DA7E}" name="Paper bonus (t)" dataDxfId="81"/>
    <tableColumn id="15" xr3:uid="{BCEBE704-A186-410C-A040-C61EE4A25461}" name="Lead Time" dataDxfId="80"/>
    <tableColumn id="16" xr3:uid="{13FEC75E-58EF-4DAD-A015-B731E1D02288}" name="Stock Allowance(days)" dataDxfId="79"/>
    <tableColumn id="17" xr3:uid="{2EFCAB72-7688-4F0B-9352-C99B61D97CBB}" name="Production Cycling" dataDxfId="78"/>
    <tableColumn id="18" xr3:uid="{60BB02AC-8F93-4042-B924-EB42EDF41159}" name="Incoterm" dataDxfId="77"/>
    <tableColumn id="19" xr3:uid="{D27D073E-E655-4A1A-BE4C-5F9A2048A402}" name="ICMS" dataDxfId="76"/>
    <tableColumn id="20" xr3:uid="{7745D4E9-6C8B-41B3-A3A0-16CAD20D7D69}" name="Incluso" dataDxfId="75"/>
    <tableColumn id="21" xr3:uid="{1230DCC6-E50A-4474-915E-D12B86661010}" name="PIS/COFINS" dataDxfId="74"/>
    <tableColumn id="22" xr3:uid="{D1DDD7A7-3469-41C0-B41A-C357A7D235C9}" name="Price Unit" dataDxfId="73"/>
    <tableColumn id="23" xr3:uid="{775F6D5D-F69E-4646-B072-08AA6AD02754}" name="Lot (ton)" dataDxfId="72"/>
    <tableColumn id="24" xr3:uid="{961F5ECC-508F-402D-92A5-FAA93809CA50}" name="Currency" dataDxfId="71"/>
    <tableColumn id="25" xr3:uid="{E3328AAD-80E5-4911-9306-8A29A4DAE161}" name="jan/23" dataDxfId="70"/>
    <tableColumn id="26" xr3:uid="{017BF9C6-6CE4-4E80-A18B-908E8A56EE15}" name="fev/23" dataDxfId="69"/>
    <tableColumn id="27" xr3:uid="{BDBA50B1-0134-4B84-88A7-A1F8696A6F2D}" name="mar/23" dataDxfId="68"/>
    <tableColumn id="28" xr3:uid="{3FD78BB7-5E23-4BCA-BAAC-2AE9C961D909}" name="abr/23" dataDxfId="67"/>
    <tableColumn id="29" xr3:uid="{DA811CD8-5942-476F-AA61-D494C3FCA619}" name="mai/23" dataDxfId="66"/>
    <tableColumn id="30" xr3:uid="{A46EF834-107F-4A0C-B688-5322D634DBFA}" name="jun/23" dataDxfId="65"/>
    <tableColumn id="31" xr3:uid="{BD24CDF5-1A99-46FF-BFC5-82A2B5C0BEE3}" name="jul/23" dataDxfId="64"/>
    <tableColumn id="32" xr3:uid="{174DEF45-73FB-4297-91AE-DBD5D9E48747}" name="ago/23" dataDxfId="63"/>
    <tableColumn id="33" xr3:uid="{2652A35C-A371-426D-A741-8D2F1749D09E}" name="set/23" dataDxfId="62"/>
    <tableColumn id="34" xr3:uid="{07777D9E-7933-4673-8D50-5516478B7131}" name="out/23" dataDxfId="61"/>
    <tableColumn id="35" xr3:uid="{A7DAC388-40B9-42E7-AEC4-94A0C65C283F}" name="nov/23" dataDxfId="60"/>
    <tableColumn id="36" xr3:uid="{2BB0EAAC-C9E1-4D34-B1C1-E9DFE125E908}" name="dez/23" dataDxfId="59"/>
    <tableColumn id="37" xr3:uid="{D3250C20-FBD8-411C-A4A5-AABD1D3E4666}" name="jan/24" dataDxfId="58"/>
    <tableColumn id="38" xr3:uid="{34D6A4B8-6CDA-46FE-A171-C40064DD7CA1}" name="fev/24" dataDxfId="57"/>
    <tableColumn id="39" xr3:uid="{6BDF088B-FA72-44B0-8887-EE5E7154CC89}" name="mar/24" dataDxfId="56"/>
    <tableColumn id="40" xr3:uid="{429C03A4-B15F-4056-B87E-D5A40C984856}" name="abr/24" dataDxfId="55"/>
    <tableColumn id="41" xr3:uid="{006F9429-691D-4DF4-8AFB-886F0CA84037}" name="mai/24" dataDxfId="54"/>
    <tableColumn id="42" xr3:uid="{49A1BA25-A0A1-41CA-9C4C-802987A171CF}" name="jun/24" dataDxfId="53"/>
    <tableColumn id="43" xr3:uid="{A406545E-44BA-4EEC-ACE9-FDDBB6162989}" name="jul/24" dataDxfId="52"/>
    <tableColumn id="44" xr3:uid="{61553398-53B3-4F9A-BB88-0E718AB6462E}" name="ago/24" dataDxfId="51"/>
    <tableColumn id="45" xr3:uid="{107C90E4-8B21-413A-AC81-6C676A02DF01}" name="set/24" dataDxfId="50"/>
    <tableColumn id="46" xr3:uid="{72DF5827-19B4-4A83-A2DB-D873F4DDADA6}" name="out/24" dataDxfId="49"/>
    <tableColumn id="47" xr3:uid="{780D176B-2872-48F0-9718-4F03836DDC19}" name="nov/24" dataDxfId="48"/>
    <tableColumn id="48" xr3:uid="{002DCA6A-454F-4706-9422-522A73A91209}" name="dez/24" dataDxfId="47"/>
    <tableColumn id="49" xr3:uid="{D92A9786-8061-41BA-AF6C-B49757B31882}" name="jan/25" dataDxfId="46"/>
    <tableColumn id="50" xr3:uid="{2B422E5A-99BF-42D8-8830-7ACBB7CB5AD7}" name="fev/25" dataDxfId="45"/>
    <tableColumn id="51" xr3:uid="{BC7413F6-DEC1-427B-A509-98F58F1EBFB9}" name="mar/25" dataDxfId="44"/>
    <tableColumn id="52" xr3:uid="{8FE9E033-C0F9-45C7-BD23-4C1A49AC5355}" name="abr/25" dataDxfId="43"/>
    <tableColumn id="53" xr3:uid="{6BB510A1-61CB-48A7-9F59-A41573E76071}" name="mai/25" dataDxfId="42"/>
    <tableColumn id="54" xr3:uid="{3990CB95-BDF3-4148-9D1A-248071078E54}" name="jun/25" dataDxfId="41"/>
    <tableColumn id="55" xr3:uid="{D899D94A-E6AD-40E0-8E61-42CF698AF707}" name="jul/25" dataDxfId="40"/>
    <tableColumn id="56" xr3:uid="{784D1EAC-DBA2-4304-AF0B-69F028A27DB7}" name="ago/25" dataDxfId="39"/>
    <tableColumn id="57" xr3:uid="{151D4725-2567-4736-B30B-44B6E37294B0}" name="set/25" dataDxfId="38"/>
    <tableColumn id="58" xr3:uid="{D8FBA032-BD97-4197-B02E-699455E1E091}" name="out/25" dataDxfId="37"/>
    <tableColumn id="59" xr3:uid="{08C9D0E9-5819-4EB7-9F93-2FE3CC18EC97}" name="nov/25" dataDxfId="36"/>
    <tableColumn id="60" xr3:uid="{84062D3C-7B6E-4F0A-B7CA-05EC18FBDB38}" name="dez/25" dataDxfId="35"/>
    <tableColumn id="61" xr3:uid="{A8FD6408-0975-4D94-B5FB-B0FAF5660D1A}" name="jan/26" dataDxfId="34"/>
    <tableColumn id="62" xr3:uid="{72E685F5-D4EB-41E4-9006-4A683673F375}" name="fev/26" dataDxfId="33"/>
    <tableColumn id="63" xr3:uid="{E38ADC30-CED5-4CFA-9C05-9E613D07A23D}" name="mar/26" dataDxfId="32"/>
    <tableColumn id="64" xr3:uid="{B74491F2-9A0E-4D39-B711-615406F11A32}" name="abr/26" dataDxfId="31"/>
    <tableColumn id="65" xr3:uid="{D4E4E51F-A51B-4D66-8C4B-1B31924D755A}" name="mai/26" dataDxfId="30"/>
    <tableColumn id="66" xr3:uid="{6ECA2F12-D410-4DDB-BD74-06E21194CD90}" name="jun/26" dataDxfId="29"/>
    <tableColumn id="67" xr3:uid="{CEC14988-3090-4B4E-9E68-512B422C52E9}" name="jul/26" dataDxfId="28"/>
    <tableColumn id="68" xr3:uid="{536ACBAA-8DCF-48C2-AB41-2539FEA0E170}" name="ago/26" dataDxfId="27"/>
    <tableColumn id="69" xr3:uid="{97E2DA9F-C828-4686-9AEA-DF30309E82CC}" name="set/26" dataDxfId="26"/>
    <tableColumn id="70" xr3:uid="{159657C5-AB59-462B-A456-DA267BE23519}" name="out/26" dataDxfId="25"/>
    <tableColumn id="71" xr3:uid="{F6181D20-8F8C-4A27-9AD8-3E66986FEBE9}" name="nov/26" dataDxfId="24"/>
    <tableColumn id="72" xr3:uid="{3D0E4A8A-55AE-4446-B4CA-7CB1FD69B7A7}" name="dez/26" dataDxfId="23"/>
    <tableColumn id="73" xr3:uid="{33125F01-8628-434E-ADBF-64BBA2F66CDC}" name="Current Price" dataDxfId="22">
      <calculatedColumnFormula array="1">LOOKUP(2,1/(Y4:BT4&lt;&gt;""),Y4:BH4)</calculatedColumnFormula>
    </tableColumn>
    <tableColumn id="74" xr3:uid="{9872F02E-03B9-4D24-BB96-9A40CD53E653}" name="Última Atualização de Preço" dataDxfId="21">
      <calculatedColumnFormula array="1">_xlfn.LET(
    _xlpm.last_col_idx, LOOKUP(2, 1/(Y4:BT4&lt;&gt;""), COLUMN(Y4:BT4) - COLUMN(Y4) + 1),
    _xlpm.header_val, INDEX($Y$3:$BT$3, 1, _xlpm.last_col_idx),
    _xlpm.header_date, IF(ISNUMBER(_xlpm.header_val), _xlpm.header_val, DATEVALUE(_xlpm.header_val)),
    IF(_xlpm.header_date &gt; TODAY(), TODAY(), _xlpm.header_date)
)</calculatedColumnFormula>
    </tableColumn>
    <tableColumn id="75" xr3:uid="{46D8B98D-9C0C-4BD5-996E-06AE92B0A724}" name="YTD" dataDxfId="20">
      <calculatedColumnFormula array="1">(LOOKUP(2,1/(BH4:BT4&lt;&gt;""),BH4:BT4))/(INDEX(BH4:BT4,MATCH(TRUE,INDEX((BH4:BT4&lt;&gt;0),0),0)))-1</calculatedColumnFormula>
    </tableColumn>
    <tableColumn id="76" xr3:uid="{66795EC7-ED7C-48CF-BC4B-04280D66484F}" name="Current Price2" dataDxfId="19">
      <calculatedColumnFormula>BU4/1000</calculatedColumnFormula>
    </tableColumn>
    <tableColumn id="77" xr3:uid="{20E53529-8034-49B9-B00F-87227CCDC7CC}" name="BRL Cost" dataDxfId="18">
      <calculatedColumnFormula>IF(X4="BRL",BX4,IF(X4="EUR",BX4*$CK$2,IF(X4="USD",BX4*$CK$1,IF(X4="CNY",BX4*$CM$1,IF(X4="RUB",BX4*$CM$2,"CRRY#")))))</calculatedColumnFormula>
    </tableColumn>
    <tableColumn id="78" xr3:uid="{D68D1624-B7EE-45B0-924D-C990BAFC324A}" name="International Freight" dataDxfId="17">
      <calculatedColumnFormula>IF(L4="BR",'Impostos e Frete'!$F$6,IF(L4="EU",'Impostos e Frete'!$I$3,IF(L4="CN",'Impostos e Frete'!$I$4,IF(L4="JP",'Impostos e Frete'!$I$5,IF(L4="RU",'Impostos e Frete'!$I$7,"ERRO")))))</calculatedColumnFormula>
    </tableColumn>
    <tableColumn id="79" xr3:uid="{516208A7-FD9E-4C0D-A87A-17C4DE2EDDF2}" name="Import Fees" dataDxfId="16">
      <calculatedColumnFormula>VLOOKUP(L4,'Impostos e Frete'!$A$3:$B$7,2,0)*'Preços e Condições'!BY4</calculatedColumnFormula>
    </tableColumn>
    <tableColumn id="80" xr3:uid="{048F3B12-15E7-4956-BC90-7F760A5A6725}" name="Incoterm Adjust" dataDxfId="15">
      <calculatedColumnFormula>IF(R4="CFR",$CB$2,IF(R4="FOB",0,IF(R4="EXW",$CB$1,"ERRO")))</calculatedColumnFormula>
    </tableColumn>
    <tableColumn id="81" xr3:uid="{D94E324D-A214-44FF-AE5C-06A969036CAB}" name="Freight" dataDxfId="14">
      <calculatedColumnFormula>IF(X4="BRL",'Impostos e Frete'!$B$11,'Impostos e Frete'!$B$12)</calculatedColumnFormula>
    </tableColumn>
    <tableColumn id="82" xr3:uid="{D9773AF4-528A-4BEE-B775-CB50400D7D2F}" name="TCO_x000a_(R$/KG)" dataDxfId="13">
      <calculatedColumnFormula>SUM(BY4:CC4)</calculatedColumnFormula>
    </tableColumn>
    <tableColumn id="83" xr3:uid="{E9FF96FE-8D20-411E-8A02-B199B11073A0}" name="TCO (R$/M2)" dataDxfId="12">
      <calculatedColumnFormula>IF(C4="","erro",(CD4/1000)*C4)</calculatedColumnFormula>
    </tableColumn>
    <tableColumn id="84" xr3:uid="{B1D857C2-41D1-4B06-B152-BDCFCE4E1B4B}" name="Stock Carring (M)" dataDxfId="11">
      <calculatedColumnFormula>VLOOKUP(L4,'Impostos e Frete'!$A$3:$C$7,3,0)</calculatedColumnFormula>
    </tableColumn>
    <tableColumn id="85" xr3:uid="{5966EED7-B188-42B3-8546-40BE71212AD5}" name="Payment Terms3" dataDxfId="10">
      <calculatedColumnFormula>M4</calculatedColumnFormula>
    </tableColumn>
    <tableColumn id="86" xr3:uid="{4780A8A4-A995-4D59-91E8-895A4D783D46}" name="Working days" dataDxfId="9">
      <calculatedColumnFormula>CG4-CF4</calculatedColumnFormula>
    </tableColumn>
    <tableColumn id="87" xr3:uid="{05203BD8-29F2-4130-9A20-C87A74C9842F}" name="Capital Cost" dataDxfId="8">
      <calculatedColumnFormula>CD4*(1+VALUE($CI$2))^((CH4*-1)/30)-CD4</calculatedColumnFormula>
    </tableColumn>
    <tableColumn id="88" xr3:uid="{C56327B0-9BF1-4E69-ABB0-34734849063F}" name="Present Value (R$/KG)" dataDxfId="7">
      <calculatedColumnFormula>CD4+CI4</calculatedColumnFormula>
    </tableColumn>
    <tableColumn id="89" xr3:uid="{1357FD80-E93A-4E81-9C63-FA19DF2E64B9}" name="Present Value (R$/M2)" dataDxfId="6">
      <calculatedColumnFormula>IF(C4="","erro",(CJ4/1000)*C4)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3.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6D3D6-5097-4A64-8520-83533F0F32E6}">
  <sheetPr codeName="Sheet4">
    <tabColor rgb="FF00B050"/>
  </sheetPr>
  <dimension ref="A1:Q32"/>
  <sheetViews>
    <sheetView showGridLines="0" zoomScaleNormal="100" workbookViewId="0">
      <selection activeCell="D6" sqref="D6"/>
    </sheetView>
  </sheetViews>
  <sheetFormatPr defaultColWidth="0" defaultRowHeight="14.4" zeroHeight="1"/>
  <cols>
    <col min="1" max="1" width="1.109375" style="102" customWidth="1"/>
    <col min="2" max="2" width="8.88671875" customWidth="1"/>
    <col min="3" max="3" width="12.88671875" customWidth="1"/>
    <col min="4" max="4" width="13.5546875" customWidth="1"/>
    <col min="5" max="5" width="12.5546875" customWidth="1"/>
    <col min="6" max="6" width="1.5546875" customWidth="1"/>
    <col min="7" max="7" width="1.5546875" style="102" customWidth="1"/>
    <col min="8" max="8" width="92.44140625" customWidth="1"/>
    <col min="9" max="9" width="1.44140625" style="102" customWidth="1"/>
    <col min="10" max="17" width="0" hidden="1" customWidth="1"/>
    <col min="18" max="16384" width="8.88671875" hidden="1"/>
  </cols>
  <sheetData>
    <row r="1" spans="2:16" s="102" customFormat="1" ht="9" customHeight="1" thickBot="1"/>
    <row r="2" spans="2:16" ht="18">
      <c r="B2" s="77" t="s">
        <v>315</v>
      </c>
      <c r="C2" s="78"/>
      <c r="D2" s="78"/>
      <c r="E2" s="78"/>
      <c r="F2" s="79"/>
      <c r="H2" s="97" t="s">
        <v>322</v>
      </c>
    </row>
    <row r="3" spans="2:16">
      <c r="B3" s="80"/>
      <c r="F3" s="81"/>
      <c r="H3" s="98" t="s">
        <v>323</v>
      </c>
    </row>
    <row r="4" spans="2:16">
      <c r="B4" s="82" t="s">
        <v>243</v>
      </c>
      <c r="C4" s="4"/>
      <c r="D4" s="59" t="s">
        <v>312</v>
      </c>
      <c r="F4" s="81"/>
      <c r="H4" s="98" t="s">
        <v>327</v>
      </c>
    </row>
    <row r="5" spans="2:16">
      <c r="B5" s="80" t="s">
        <v>59</v>
      </c>
      <c r="C5" s="51">
        <v>600</v>
      </c>
      <c r="D5" s="83">
        <v>46174</v>
      </c>
      <c r="E5" s="134">
        <f>C5/25000</f>
        <v>2.4E-2</v>
      </c>
      <c r="F5" s="81"/>
      <c r="H5" s="99"/>
    </row>
    <row r="6" spans="2:16">
      <c r="B6" s="80" t="s">
        <v>60</v>
      </c>
      <c r="C6" s="52">
        <v>5500</v>
      </c>
      <c r="D6" s="222" t="s">
        <v>462</v>
      </c>
      <c r="E6" s="135">
        <f>C6/25000</f>
        <v>0.22</v>
      </c>
      <c r="F6" s="81"/>
      <c r="H6" s="100" t="s">
        <v>326</v>
      </c>
    </row>
    <row r="7" spans="2:16">
      <c r="B7" s="80" t="s">
        <v>208</v>
      </c>
      <c r="C7" s="52">
        <f>C6*1.2</f>
        <v>6600</v>
      </c>
      <c r="D7" s="83"/>
      <c r="F7" s="81"/>
      <c r="H7" s="99"/>
    </row>
    <row r="8" spans="2:16">
      <c r="B8" s="80" t="s">
        <v>58</v>
      </c>
      <c r="C8" s="53">
        <v>0</v>
      </c>
      <c r="D8" s="83" t="s">
        <v>324</v>
      </c>
      <c r="F8" s="81"/>
      <c r="H8" s="99"/>
    </row>
    <row r="9" spans="2:16">
      <c r="B9" s="80"/>
      <c r="D9" s="6"/>
      <c r="F9" s="81"/>
      <c r="H9" s="99"/>
    </row>
    <row r="10" spans="2:16">
      <c r="B10" s="80"/>
      <c r="D10" s="6"/>
      <c r="F10" s="81"/>
      <c r="H10" s="99"/>
      <c r="P10" s="4"/>
    </row>
    <row r="11" spans="2:16">
      <c r="B11" s="82" t="s">
        <v>316</v>
      </c>
      <c r="C11" s="4" t="s">
        <v>317</v>
      </c>
      <c r="D11" s="59" t="s">
        <v>312</v>
      </c>
      <c r="F11" s="81"/>
      <c r="H11" s="99"/>
    </row>
    <row r="12" spans="2:16">
      <c r="B12" s="80" t="s">
        <v>59</v>
      </c>
      <c r="C12" s="84">
        <v>0.13</v>
      </c>
      <c r="D12" s="104">
        <f>'[1]Custo por fornecedor'!$G$24</f>
        <v>46183</v>
      </c>
      <c r="E12" s="106" t="s">
        <v>342</v>
      </c>
      <c r="F12" s="81"/>
      <c r="H12" s="107" t="s">
        <v>469</v>
      </c>
    </row>
    <row r="13" spans="2:16">
      <c r="B13" s="80" t="s">
        <v>60</v>
      </c>
      <c r="C13" s="84">
        <v>0.14000000000000001</v>
      </c>
      <c r="D13" s="104">
        <f>'[1]Custo por fornecedor'!$G$24</f>
        <v>46183</v>
      </c>
      <c r="E13" s="106" t="s">
        <v>342</v>
      </c>
      <c r="F13" s="81"/>
      <c r="H13" s="107" t="s">
        <v>469</v>
      </c>
    </row>
    <row r="14" spans="2:16">
      <c r="B14" s="80" t="s">
        <v>208</v>
      </c>
      <c r="C14" s="86">
        <v>0.15</v>
      </c>
      <c r="D14" s="104">
        <f>'[1]Custo por fornecedor'!$G$24</f>
        <v>46183</v>
      </c>
      <c r="E14" s="106" t="s">
        <v>342</v>
      </c>
      <c r="F14" s="81"/>
      <c r="H14" s="107" t="s">
        <v>469</v>
      </c>
    </row>
    <row r="15" spans="2:16">
      <c r="B15" s="80" t="s">
        <v>58</v>
      </c>
      <c r="C15" s="84">
        <v>0</v>
      </c>
      <c r="D15" s="85" t="s">
        <v>325</v>
      </c>
      <c r="E15" s="106" t="s">
        <v>342</v>
      </c>
      <c r="F15" s="81"/>
      <c r="H15" s="107"/>
    </row>
    <row r="16" spans="2:16">
      <c r="B16" s="80" t="s">
        <v>455</v>
      </c>
      <c r="C16" s="84">
        <v>0.15</v>
      </c>
      <c r="D16" s="104">
        <f>'[1]Custo por fornecedor'!$G$24</f>
        <v>46183</v>
      </c>
      <c r="E16" s="106"/>
      <c r="F16" s="81"/>
      <c r="H16" s="107" t="s">
        <v>469</v>
      </c>
    </row>
    <row r="17" spans="2:8">
      <c r="B17" s="80"/>
      <c r="F17" s="81"/>
      <c r="H17" s="99"/>
    </row>
    <row r="18" spans="2:8">
      <c r="B18" s="82" t="s">
        <v>318</v>
      </c>
      <c r="D18" s="87" t="s">
        <v>319</v>
      </c>
      <c r="E18" s="88" t="s">
        <v>312</v>
      </c>
      <c r="F18" s="81"/>
      <c r="H18" s="99"/>
    </row>
    <row r="19" spans="2:8">
      <c r="B19" s="80" t="s">
        <v>227</v>
      </c>
      <c r="D19" s="89">
        <v>2300</v>
      </c>
      <c r="E19" s="105">
        <v>46174</v>
      </c>
      <c r="F19" s="81"/>
      <c r="H19" s="99"/>
    </row>
    <row r="20" spans="2:8">
      <c r="B20" s="80" t="s">
        <v>313</v>
      </c>
      <c r="D20" s="89">
        <v>5000</v>
      </c>
      <c r="E20" s="105">
        <v>46174</v>
      </c>
      <c r="F20" s="81"/>
      <c r="H20" s="99"/>
    </row>
    <row r="21" spans="2:8">
      <c r="B21" s="80"/>
      <c r="F21" s="81"/>
      <c r="H21" s="99"/>
    </row>
    <row r="22" spans="2:8">
      <c r="B22" s="80"/>
      <c r="F22" s="81"/>
      <c r="H22" s="99"/>
    </row>
    <row r="23" spans="2:8">
      <c r="B23" s="82" t="s">
        <v>320</v>
      </c>
      <c r="C23" s="59" t="s">
        <v>341</v>
      </c>
      <c r="D23" s="4" t="s">
        <v>320</v>
      </c>
      <c r="E23" s="59" t="s">
        <v>343</v>
      </c>
      <c r="F23" s="81"/>
      <c r="H23" s="99"/>
    </row>
    <row r="24" spans="2:8">
      <c r="B24" s="90" t="s">
        <v>147</v>
      </c>
      <c r="C24" s="91">
        <v>5</v>
      </c>
      <c r="D24" s="92" t="e" vm="1">
        <v>#VALUE!</v>
      </c>
      <c r="E24" s="93" cm="1">
        <f t="array" aca="1" ref="E24" ca="1">_FV(D24,"Fechamento anterior",TRUE)</f>
        <v>5.1501999999999999</v>
      </c>
      <c r="F24" s="81"/>
      <c r="H24" s="219" t="s">
        <v>456</v>
      </c>
    </row>
    <row r="25" spans="2:8">
      <c r="B25" s="90" t="s">
        <v>148</v>
      </c>
      <c r="C25" s="91">
        <v>5.9</v>
      </c>
      <c r="D25" s="92" t="e" vm="2">
        <v>#VALUE!</v>
      </c>
      <c r="E25" s="93" cm="1">
        <f t="array" aca="1" ref="E25" ca="1">_FV(D25,"Fechamento anterior",TRUE)</f>
        <v>5.8784000000000001</v>
      </c>
      <c r="F25" s="81"/>
      <c r="H25" s="219" t="s">
        <v>456</v>
      </c>
    </row>
    <row r="26" spans="2:8">
      <c r="B26" s="90" t="s">
        <v>245</v>
      </c>
      <c r="C26" s="91">
        <v>0.75</v>
      </c>
      <c r="D26" s="92" t="e" vm="3">
        <v>#VALUE!</v>
      </c>
      <c r="E26" s="93" cm="1">
        <f t="array" aca="1" ref="E26" ca="1">_FV(D26,"Fechamento anterior",TRUE)</f>
        <v>0.75690000000000002</v>
      </c>
      <c r="F26" s="81"/>
      <c r="H26" s="219" t="s">
        <v>456</v>
      </c>
    </row>
    <row r="27" spans="2:8">
      <c r="B27" s="90" t="s">
        <v>454</v>
      </c>
      <c r="C27" s="91">
        <v>7.0000000000000007E-2</v>
      </c>
      <c r="D27" s="92" t="e" vm="4">
        <v>#VALUE!</v>
      </c>
      <c r="E27" s="93" cm="1">
        <f t="array" aca="1" ref="E27" ca="1">_FV(D27,"Fechamento anterior",TRUE)</f>
        <v>6.7100000000000007E-2</v>
      </c>
      <c r="F27" s="81"/>
      <c r="H27" s="219" t="s">
        <v>456</v>
      </c>
    </row>
    <row r="28" spans="2:8">
      <c r="B28" s="80"/>
      <c r="F28" s="81"/>
      <c r="H28" s="99"/>
    </row>
    <row r="29" spans="2:8">
      <c r="B29" s="82" t="s">
        <v>321</v>
      </c>
      <c r="C29" s="30"/>
      <c r="D29" s="101">
        <v>1.4999999999999999E-2</v>
      </c>
      <c r="F29" s="81"/>
      <c r="H29" s="99"/>
    </row>
    <row r="30" spans="2:8" ht="15" thickBot="1">
      <c r="B30" s="94"/>
      <c r="C30" s="95"/>
      <c r="D30" s="95"/>
      <c r="E30" s="95"/>
      <c r="F30" s="96"/>
      <c r="H30" s="103"/>
    </row>
    <row r="31" spans="2:8" s="102" customFormat="1" ht="8.1" customHeight="1"/>
    <row r="32" spans="2:8" hidden="1">
      <c r="B32" s="29"/>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B3:R906"/>
  <sheetViews>
    <sheetView showGridLines="0" tabSelected="1" topLeftCell="A5" zoomScale="90" zoomScaleNormal="90" workbookViewId="0">
      <selection activeCell="K35" sqref="K35"/>
    </sheetView>
  </sheetViews>
  <sheetFormatPr defaultRowHeight="14.4"/>
  <cols>
    <col min="1" max="1" width="3.44140625" customWidth="1"/>
    <col min="2" max="2" width="10.88671875" style="1" customWidth="1"/>
    <col min="3" max="4" width="7.5546875" style="1" customWidth="1"/>
    <col min="5" max="5" width="11.44140625" style="6" customWidth="1"/>
    <col min="6" max="6" width="10" style="42" customWidth="1"/>
    <col min="7" max="7" width="11.109375" style="49" customWidth="1"/>
    <col min="8" max="8" width="9.44140625" style="141" customWidth="1"/>
    <col min="9" max="9" width="7.44140625" style="42" customWidth="1"/>
    <col min="10" max="10" width="10.44140625" style="8" customWidth="1"/>
    <col min="11" max="11" width="9.44140625" style="8" customWidth="1"/>
    <col min="12" max="12" width="9.44140625" style="42" customWidth="1"/>
    <col min="13" max="13" width="9.88671875" style="42" customWidth="1"/>
    <col min="14" max="14" width="9.44140625" style="9" customWidth="1"/>
    <col min="15" max="15" width="9.88671875" style="9" customWidth="1"/>
    <col min="16" max="16" width="13.44140625" style="8" customWidth="1"/>
    <col min="17" max="17" width="4.5546875" style="8" customWidth="1"/>
    <col min="18" max="18" width="1.44140625" style="9" customWidth="1"/>
    <col min="19" max="19" width="1.5546875" customWidth="1"/>
  </cols>
  <sheetData>
    <row r="3" spans="2:18">
      <c r="G3" s="48"/>
      <c r="J3" s="9"/>
      <c r="K3" s="74"/>
    </row>
    <row r="5" spans="2:18" s="2" customFormat="1" ht="43.2">
      <c r="B5" s="136" t="s">
        <v>38</v>
      </c>
      <c r="C5" s="136" t="s">
        <v>347</v>
      </c>
      <c r="D5" s="136" t="s">
        <v>16</v>
      </c>
      <c r="E5" s="136" t="s">
        <v>7</v>
      </c>
      <c r="F5" s="136" t="s">
        <v>45</v>
      </c>
      <c r="G5" s="137" t="s">
        <v>138</v>
      </c>
      <c r="H5" s="140" t="s">
        <v>110</v>
      </c>
      <c r="I5" s="136" t="s">
        <v>140</v>
      </c>
      <c r="J5" s="137" t="s">
        <v>248</v>
      </c>
      <c r="K5" s="137" t="s">
        <v>249</v>
      </c>
      <c r="L5" s="136" t="s">
        <v>32</v>
      </c>
      <c r="M5" s="136" t="s">
        <v>136</v>
      </c>
      <c r="N5" s="137" t="s">
        <v>153</v>
      </c>
      <c r="O5" s="137" t="s">
        <v>154</v>
      </c>
      <c r="P5" s="136" t="s">
        <v>300</v>
      </c>
      <c r="Q5" s="138" t="s">
        <v>369</v>
      </c>
      <c r="R5"/>
    </row>
    <row r="6" spans="2:18">
      <c r="B6" s="229">
        <v>104</v>
      </c>
      <c r="C6" s="6">
        <v>1270</v>
      </c>
      <c r="D6" s="1">
        <v>68</v>
      </c>
      <c r="E6" s="27" t="s">
        <v>2</v>
      </c>
      <c r="F6" s="6" t="s">
        <v>51</v>
      </c>
      <c r="G6" s="7">
        <v>2280</v>
      </c>
      <c r="H6" t="s">
        <v>481</v>
      </c>
      <c r="I6">
        <v>500</v>
      </c>
      <c r="J6">
        <v>15.257523200000001</v>
      </c>
      <c r="K6">
        <v>1.0375115776000001</v>
      </c>
      <c r="L6">
        <v>120</v>
      </c>
      <c r="M6">
        <v>15</v>
      </c>
      <c r="N6">
        <v>15.144363245994818</v>
      </c>
      <c r="O6">
        <v>1.0298167007276475</v>
      </c>
      <c r="P6" s="139">
        <v>46211</v>
      </c>
      <c r="Q6" s="113"/>
      <c r="R6"/>
    </row>
    <row r="7" spans="2:18">
      <c r="B7" s="229">
        <v>104</v>
      </c>
      <c r="C7" s="6">
        <v>1270</v>
      </c>
      <c r="D7" s="1">
        <v>68</v>
      </c>
      <c r="E7" s="27" t="s">
        <v>2</v>
      </c>
      <c r="F7" s="6" t="s">
        <v>51</v>
      </c>
      <c r="G7" s="7">
        <v>2310</v>
      </c>
      <c r="H7" t="s">
        <v>481</v>
      </c>
      <c r="I7">
        <v>150</v>
      </c>
      <c r="J7">
        <v>15.457533200000002</v>
      </c>
      <c r="K7">
        <v>1.0511122576</v>
      </c>
      <c r="L7">
        <v>120</v>
      </c>
      <c r="M7">
        <v>15</v>
      </c>
      <c r="N7">
        <v>15.342889838622344</v>
      </c>
      <c r="O7">
        <v>1.0433165090263194</v>
      </c>
      <c r="P7" s="139">
        <v>46211</v>
      </c>
      <c r="Q7" s="113"/>
      <c r="R7"/>
    </row>
    <row r="8" spans="2:18">
      <c r="B8" s="229">
        <v>104</v>
      </c>
      <c r="C8" s="6">
        <v>1270</v>
      </c>
      <c r="D8" s="1">
        <v>68</v>
      </c>
      <c r="E8" s="27" t="s">
        <v>2</v>
      </c>
      <c r="F8" s="6" t="s">
        <v>51</v>
      </c>
      <c r="G8" s="7">
        <v>2350</v>
      </c>
      <c r="H8" t="s">
        <v>481</v>
      </c>
      <c r="I8">
        <v>70</v>
      </c>
      <c r="J8">
        <v>15.724213200000003</v>
      </c>
      <c r="K8">
        <v>1.0692464976000002</v>
      </c>
      <c r="L8">
        <v>120</v>
      </c>
      <c r="M8">
        <v>15</v>
      </c>
      <c r="N8">
        <v>15.607591962125712</v>
      </c>
      <c r="O8">
        <v>1.0613162534245484</v>
      </c>
      <c r="P8" s="139">
        <v>46211</v>
      </c>
      <c r="Q8" s="113"/>
      <c r="R8"/>
    </row>
    <row r="9" spans="2:18">
      <c r="B9" s="229">
        <v>104</v>
      </c>
      <c r="C9" s="6">
        <v>1270</v>
      </c>
      <c r="D9" s="1">
        <v>68</v>
      </c>
      <c r="E9" s="27" t="s">
        <v>2</v>
      </c>
      <c r="F9" s="6" t="s">
        <v>51</v>
      </c>
      <c r="G9" s="7">
        <v>2430</v>
      </c>
      <c r="H9" t="s">
        <v>481</v>
      </c>
      <c r="I9">
        <v>30</v>
      </c>
      <c r="J9">
        <v>16.2575732</v>
      </c>
      <c r="K9">
        <v>1.1055149775999999</v>
      </c>
      <c r="L9">
        <v>120</v>
      </c>
      <c r="M9">
        <v>15</v>
      </c>
      <c r="N9">
        <v>16.136996209132445</v>
      </c>
      <c r="O9">
        <v>1.0973157422210063</v>
      </c>
      <c r="P9" s="139">
        <v>46211</v>
      </c>
      <c r="Q9" s="113"/>
      <c r="R9"/>
    </row>
    <row r="10" spans="2:18">
      <c r="B10" s="229">
        <v>104</v>
      </c>
      <c r="C10" s="6">
        <v>1270</v>
      </c>
      <c r="D10" s="1">
        <v>68</v>
      </c>
      <c r="E10" s="27" t="s">
        <v>2</v>
      </c>
      <c r="F10" s="6" t="s">
        <v>51</v>
      </c>
      <c r="G10" s="7">
        <v>2330</v>
      </c>
      <c r="H10" t="s">
        <v>481</v>
      </c>
      <c r="I10">
        <v>100</v>
      </c>
      <c r="J10">
        <v>15.590873200000003</v>
      </c>
      <c r="K10">
        <v>1.0601793776000001</v>
      </c>
      <c r="L10">
        <v>120</v>
      </c>
      <c r="M10">
        <v>15</v>
      </c>
      <c r="N10">
        <v>15.475240900374029</v>
      </c>
      <c r="O10">
        <v>1.0523163812254339</v>
      </c>
      <c r="P10" s="139">
        <v>46211</v>
      </c>
      <c r="Q10" s="113"/>
      <c r="R10"/>
    </row>
    <row r="11" spans="2:18">
      <c r="B11" s="229">
        <v>104</v>
      </c>
      <c r="C11" s="6">
        <v>1270</v>
      </c>
      <c r="D11" s="1">
        <v>68</v>
      </c>
      <c r="E11" s="27" t="s">
        <v>2</v>
      </c>
      <c r="F11" s="6" t="s">
        <v>51</v>
      </c>
      <c r="G11" s="7">
        <v>2380</v>
      </c>
      <c r="H11" t="s">
        <v>481</v>
      </c>
      <c r="I11">
        <v>50</v>
      </c>
      <c r="J11">
        <v>15.924223200000002</v>
      </c>
      <c r="K11">
        <v>1.0828471775999999</v>
      </c>
      <c r="L11">
        <v>120</v>
      </c>
      <c r="M11">
        <v>15</v>
      </c>
      <c r="N11">
        <v>15.806118554753237</v>
      </c>
      <c r="O11">
        <v>1.0748160617232201</v>
      </c>
      <c r="P11" s="139">
        <v>46211</v>
      </c>
      <c r="Q11" s="113"/>
      <c r="R11"/>
    </row>
    <row r="12" spans="2:18">
      <c r="B12" s="229">
        <v>104</v>
      </c>
      <c r="C12" s="6">
        <v>1270</v>
      </c>
      <c r="D12" s="1">
        <v>68</v>
      </c>
      <c r="E12" s="27" t="s">
        <v>2</v>
      </c>
      <c r="F12" s="6" t="s">
        <v>51</v>
      </c>
      <c r="G12" s="7">
        <v>2270</v>
      </c>
      <c r="H12" t="s">
        <v>481</v>
      </c>
      <c r="I12">
        <v>600</v>
      </c>
      <c r="J12">
        <v>15.190853200000001</v>
      </c>
      <c r="K12">
        <v>1.0329780176000001</v>
      </c>
      <c r="L12">
        <v>120</v>
      </c>
      <c r="M12">
        <v>15</v>
      </c>
      <c r="N12">
        <v>15.078187715118975</v>
      </c>
      <c r="O12">
        <v>1.0253167646280903</v>
      </c>
      <c r="P12" s="139">
        <v>46211</v>
      </c>
      <c r="Q12" s="113"/>
      <c r="R12"/>
    </row>
    <row r="13" spans="2:18">
      <c r="B13" s="229">
        <v>104</v>
      </c>
      <c r="C13" s="6">
        <v>1270</v>
      </c>
      <c r="D13" s="1">
        <v>68</v>
      </c>
      <c r="E13" s="27" t="s">
        <v>2</v>
      </c>
      <c r="F13" s="6" t="s">
        <v>51</v>
      </c>
      <c r="G13" s="7">
        <v>2290</v>
      </c>
      <c r="H13" t="s">
        <v>481</v>
      </c>
      <c r="I13">
        <v>200</v>
      </c>
      <c r="J13">
        <v>15.324193200000002</v>
      </c>
      <c r="K13">
        <v>1.0420451375999999</v>
      </c>
      <c r="L13">
        <v>120</v>
      </c>
      <c r="M13">
        <v>15</v>
      </c>
      <c r="N13">
        <v>15.21053877687066</v>
      </c>
      <c r="O13">
        <v>1.034316636827205</v>
      </c>
      <c r="P13" s="139">
        <v>46211</v>
      </c>
      <c r="Q13" s="113"/>
      <c r="R13"/>
    </row>
    <row r="14" spans="2:18">
      <c r="B14" s="229">
        <v>104</v>
      </c>
      <c r="C14" s="6">
        <v>1270</v>
      </c>
      <c r="D14" s="1">
        <v>70</v>
      </c>
      <c r="E14" s="5" t="s">
        <v>108</v>
      </c>
      <c r="F14" s="6" t="s">
        <v>51</v>
      </c>
      <c r="G14" s="7">
        <v>2450</v>
      </c>
      <c r="H14">
        <v>500</v>
      </c>
      <c r="I14">
        <v>80</v>
      </c>
      <c r="J14">
        <v>16.5679132</v>
      </c>
      <c r="K14">
        <v>1.1597539239999999</v>
      </c>
      <c r="L14">
        <v>30</v>
      </c>
      <c r="M14">
        <v>-75</v>
      </c>
      <c r="N14">
        <v>17.196216974735027</v>
      </c>
      <c r="O14">
        <v>1.2037351882314518</v>
      </c>
      <c r="P14" s="139">
        <v>46211</v>
      </c>
      <c r="Q14" s="113"/>
      <c r="R14"/>
    </row>
    <row r="15" spans="2:18">
      <c r="B15" s="229">
        <v>104</v>
      </c>
      <c r="C15" s="6">
        <v>1270</v>
      </c>
      <c r="D15" s="1">
        <v>70</v>
      </c>
      <c r="E15" s="5" t="s">
        <v>108</v>
      </c>
      <c r="F15" s="6" t="s">
        <v>51</v>
      </c>
      <c r="G15" s="7">
        <v>2650</v>
      </c>
      <c r="H15">
        <v>500</v>
      </c>
      <c r="I15">
        <v>50</v>
      </c>
      <c r="J15">
        <v>17.901313199999997</v>
      </c>
      <c r="K15">
        <v>1.2530919239999998</v>
      </c>
      <c r="L15">
        <v>30</v>
      </c>
      <c r="M15">
        <v>-75</v>
      </c>
      <c r="N15">
        <v>18.580183406555278</v>
      </c>
      <c r="O15">
        <v>1.3006128384588695</v>
      </c>
      <c r="P15" s="139">
        <v>46211</v>
      </c>
      <c r="Q15" s="113"/>
      <c r="R15"/>
    </row>
    <row r="16" spans="2:18">
      <c r="B16" s="229">
        <v>104</v>
      </c>
      <c r="C16" s="6">
        <v>1270</v>
      </c>
      <c r="D16" s="1">
        <v>70</v>
      </c>
      <c r="E16" s="5" t="s">
        <v>108</v>
      </c>
      <c r="F16" s="6" t="s">
        <v>51</v>
      </c>
      <c r="G16" s="7">
        <v>3150</v>
      </c>
      <c r="H16">
        <v>500</v>
      </c>
      <c r="I16">
        <v>20</v>
      </c>
      <c r="J16">
        <v>21.234813199999998</v>
      </c>
      <c r="K16">
        <v>1.4864369239999997</v>
      </c>
      <c r="L16">
        <v>30</v>
      </c>
      <c r="M16">
        <v>-75</v>
      </c>
      <c r="N16">
        <v>22.040099486105913</v>
      </c>
      <c r="O16">
        <v>1.542806964027414</v>
      </c>
      <c r="P16" s="139">
        <v>46211</v>
      </c>
      <c r="Q16" s="113"/>
      <c r="R16"/>
    </row>
    <row r="17" spans="2:18">
      <c r="B17" s="229">
        <v>104</v>
      </c>
      <c r="C17" s="6">
        <v>1270</v>
      </c>
      <c r="D17" s="1">
        <v>70</v>
      </c>
      <c r="E17" s="5" t="s">
        <v>0</v>
      </c>
      <c r="F17" s="6" t="s">
        <v>267</v>
      </c>
      <c r="G17" s="7">
        <v>11650</v>
      </c>
      <c r="H17" s="110">
        <v>3300</v>
      </c>
      <c r="I17" s="6">
        <v>100</v>
      </c>
      <c r="J17">
        <v>11.172330000000001</v>
      </c>
      <c r="K17">
        <v>0.78206310000000012</v>
      </c>
      <c r="L17">
        <v>90</v>
      </c>
      <c r="M17">
        <v>-30</v>
      </c>
      <c r="N17">
        <v>11.339914949999999</v>
      </c>
      <c r="O17">
        <v>0.79379404649999985</v>
      </c>
      <c r="P17" s="139">
        <v>46023</v>
      </c>
      <c r="Q17" s="113"/>
      <c r="R17"/>
    </row>
    <row r="18" spans="2:18">
      <c r="B18" s="229">
        <v>104</v>
      </c>
      <c r="C18" s="6">
        <v>1270</v>
      </c>
      <c r="D18" s="1">
        <v>70</v>
      </c>
      <c r="E18" s="5" t="s">
        <v>0</v>
      </c>
      <c r="F18" s="6" t="s">
        <v>51</v>
      </c>
      <c r="G18" s="7">
        <v>1760</v>
      </c>
      <c r="H18" s="110">
        <v>400</v>
      </c>
      <c r="I18">
        <v>100</v>
      </c>
      <c r="J18">
        <v>13.049340000000001</v>
      </c>
      <c r="K18">
        <v>0.91345380000000009</v>
      </c>
      <c r="L18">
        <v>90</v>
      </c>
      <c r="M18">
        <v>-30</v>
      </c>
      <c r="N18">
        <v>13.245080099999999</v>
      </c>
      <c r="O18">
        <v>0.92715560699999988</v>
      </c>
      <c r="P18" s="139">
        <v>45717</v>
      </c>
      <c r="Q18" s="113"/>
      <c r="R18"/>
    </row>
    <row r="19" spans="2:18">
      <c r="B19" s="229">
        <v>104</v>
      </c>
      <c r="C19" s="6">
        <v>1270</v>
      </c>
      <c r="D19" s="1">
        <v>70</v>
      </c>
      <c r="E19" s="27" t="s">
        <v>47</v>
      </c>
      <c r="F19" s="6" t="s">
        <v>51</v>
      </c>
      <c r="G19" s="7">
        <v>2460</v>
      </c>
      <c r="H19">
        <v>300</v>
      </c>
      <c r="I19">
        <v>50</v>
      </c>
      <c r="J19">
        <v>16.634583200000002</v>
      </c>
      <c r="K19">
        <v>1.164420824</v>
      </c>
      <c r="L19">
        <v>120</v>
      </c>
      <c r="M19">
        <v>15</v>
      </c>
      <c r="N19">
        <v>16.511210051872826</v>
      </c>
      <c r="O19">
        <v>1.155784703631098</v>
      </c>
      <c r="P19" s="139">
        <v>46211</v>
      </c>
      <c r="Q19" s="113"/>
      <c r="R19"/>
    </row>
    <row r="20" spans="2:18">
      <c r="B20" s="229">
        <v>104</v>
      </c>
      <c r="C20" s="6">
        <v>1270</v>
      </c>
      <c r="D20" s="1">
        <v>70</v>
      </c>
      <c r="E20" s="27" t="s">
        <v>47</v>
      </c>
      <c r="F20" s="6" t="s">
        <v>51</v>
      </c>
      <c r="G20" s="7">
        <v>2510</v>
      </c>
      <c r="H20">
        <v>300</v>
      </c>
      <c r="I20">
        <v>30</v>
      </c>
      <c r="J20">
        <v>16.967933199999997</v>
      </c>
      <c r="K20">
        <v>1.1877553239999998</v>
      </c>
      <c r="L20">
        <v>120</v>
      </c>
      <c r="M20">
        <v>15</v>
      </c>
      <c r="N20">
        <v>16.842087706252034</v>
      </c>
      <c r="O20">
        <v>1.1789461394376424</v>
      </c>
      <c r="P20" s="139">
        <v>46211</v>
      </c>
      <c r="Q20" s="113"/>
      <c r="R20"/>
    </row>
    <row r="21" spans="2:18">
      <c r="B21" s="229">
        <v>104</v>
      </c>
      <c r="C21" s="6">
        <v>1270</v>
      </c>
      <c r="D21" s="1">
        <v>70</v>
      </c>
      <c r="E21" s="27" t="s">
        <v>47</v>
      </c>
      <c r="F21" s="6" t="s">
        <v>51</v>
      </c>
      <c r="G21" s="7">
        <v>2560</v>
      </c>
      <c r="H21">
        <v>300</v>
      </c>
      <c r="I21">
        <v>20</v>
      </c>
      <c r="J21">
        <v>17.3012832</v>
      </c>
      <c r="K21">
        <v>1.2110898240000001</v>
      </c>
      <c r="L21">
        <v>120</v>
      </c>
      <c r="M21">
        <v>15</v>
      </c>
      <c r="N21">
        <v>17.172965360631245</v>
      </c>
      <c r="O21">
        <v>1.2021075752441872</v>
      </c>
      <c r="P21" s="139">
        <v>46211</v>
      </c>
      <c r="Q21" s="113"/>
      <c r="R21"/>
    </row>
    <row r="22" spans="2:18">
      <c r="B22" s="229">
        <v>104</v>
      </c>
      <c r="C22" s="6">
        <v>1270</v>
      </c>
      <c r="D22" s="1">
        <v>70</v>
      </c>
      <c r="E22" s="27" t="s">
        <v>47</v>
      </c>
      <c r="F22" s="6" t="s">
        <v>51</v>
      </c>
      <c r="G22" s="7">
        <v>2640</v>
      </c>
      <c r="H22">
        <v>300</v>
      </c>
      <c r="I22">
        <v>10</v>
      </c>
      <c r="J22">
        <v>17.834643200000002</v>
      </c>
      <c r="K22">
        <v>1.2484250240000003</v>
      </c>
      <c r="L22">
        <v>120</v>
      </c>
      <c r="M22">
        <v>15</v>
      </c>
      <c r="N22">
        <v>17.702369607637984</v>
      </c>
      <c r="O22">
        <v>1.2391658725346588</v>
      </c>
      <c r="P22" s="139">
        <v>46211</v>
      </c>
      <c r="Q22" s="113"/>
      <c r="R22"/>
    </row>
    <row r="23" spans="2:18">
      <c r="B23" s="229">
        <v>104</v>
      </c>
      <c r="C23" s="6">
        <v>1270</v>
      </c>
      <c r="D23" s="1">
        <v>80</v>
      </c>
      <c r="E23" s="5" t="s">
        <v>0</v>
      </c>
      <c r="F23" s="6" t="s">
        <v>267</v>
      </c>
      <c r="G23" s="7">
        <v>11650</v>
      </c>
      <c r="H23" s="110">
        <v>3300</v>
      </c>
      <c r="I23" s="6">
        <v>100</v>
      </c>
      <c r="J23">
        <v>11.172330000000001</v>
      </c>
      <c r="K23">
        <v>0.89378640000000009</v>
      </c>
      <c r="L23">
        <v>90</v>
      </c>
      <c r="M23">
        <v>-30</v>
      </c>
      <c r="N23">
        <v>11.339914949999999</v>
      </c>
      <c r="O23">
        <v>0.90719319599999992</v>
      </c>
      <c r="P23" s="139">
        <v>46023</v>
      </c>
      <c r="Q23" s="113"/>
      <c r="R23"/>
    </row>
    <row r="24" spans="2:18">
      <c r="B24" s="229">
        <v>104</v>
      </c>
      <c r="C24" s="6">
        <v>1270</v>
      </c>
      <c r="D24" s="1">
        <v>80</v>
      </c>
      <c r="E24" s="5" t="s">
        <v>0</v>
      </c>
      <c r="F24" s="6" t="s">
        <v>51</v>
      </c>
      <c r="G24" s="7">
        <v>1730</v>
      </c>
      <c r="H24" s="110">
        <v>400</v>
      </c>
      <c r="I24">
        <v>100</v>
      </c>
      <c r="J24">
        <v>12.84756</v>
      </c>
      <c r="K24">
        <v>1.0278048</v>
      </c>
      <c r="L24">
        <v>90</v>
      </c>
      <c r="M24">
        <v>-30</v>
      </c>
      <c r="N24">
        <v>13.040273399999998</v>
      </c>
      <c r="O24">
        <v>1.0432218719999999</v>
      </c>
      <c r="P24" s="139">
        <v>45717</v>
      </c>
      <c r="Q24" s="113"/>
      <c r="R24"/>
    </row>
    <row r="25" spans="2:18">
      <c r="B25" s="229">
        <v>104</v>
      </c>
      <c r="C25" s="6">
        <v>1845</v>
      </c>
      <c r="D25" s="1">
        <v>80</v>
      </c>
      <c r="E25" s="5" t="s">
        <v>1</v>
      </c>
      <c r="F25" s="6" t="s">
        <v>46</v>
      </c>
      <c r="G25" s="7">
        <v>15045</v>
      </c>
      <c r="H25" t="s">
        <v>481</v>
      </c>
      <c r="I25">
        <v>40</v>
      </c>
      <c r="J25">
        <v>15.244999999999999</v>
      </c>
      <c r="K25">
        <v>1.2196</v>
      </c>
      <c r="L25">
        <v>0</v>
      </c>
      <c r="M25">
        <v>-45</v>
      </c>
      <c r="N25">
        <v>15.589295599086871</v>
      </c>
      <c r="O25">
        <v>1.2471436479269495</v>
      </c>
      <c r="P25" s="139">
        <v>46211</v>
      </c>
      <c r="Q25" s="113"/>
      <c r="R25"/>
    </row>
    <row r="26" spans="2:18">
      <c r="B26" s="229">
        <v>104</v>
      </c>
      <c r="C26" s="6">
        <v>1855</v>
      </c>
      <c r="D26" s="1">
        <v>78</v>
      </c>
      <c r="E26" s="5" t="s">
        <v>108</v>
      </c>
      <c r="F26" s="6" t="s">
        <v>51</v>
      </c>
      <c r="G26" s="7">
        <v>1650</v>
      </c>
      <c r="H26">
        <v>500</v>
      </c>
      <c r="I26">
        <v>80</v>
      </c>
      <c r="J26">
        <v>11.234313199999999</v>
      </c>
      <c r="K26">
        <v>0.87627642959999985</v>
      </c>
      <c r="L26">
        <v>30</v>
      </c>
      <c r="M26">
        <v>-75</v>
      </c>
      <c r="N26">
        <v>11.66035124745401</v>
      </c>
      <c r="O26">
        <v>0.90950739730141272</v>
      </c>
      <c r="P26" s="139">
        <v>46211</v>
      </c>
      <c r="Q26" s="113"/>
      <c r="R26"/>
    </row>
    <row r="27" spans="2:18">
      <c r="B27" s="229">
        <v>104</v>
      </c>
      <c r="C27" s="6">
        <v>1855</v>
      </c>
      <c r="D27" s="1">
        <v>78</v>
      </c>
      <c r="E27" s="5" t="s">
        <v>108</v>
      </c>
      <c r="F27" s="6" t="s">
        <v>51</v>
      </c>
      <c r="G27" s="7">
        <v>1850</v>
      </c>
      <c r="H27" s="143">
        <v>500</v>
      </c>
      <c r="I27">
        <v>50</v>
      </c>
      <c r="J27">
        <v>12.567713200000002</v>
      </c>
      <c r="K27">
        <v>0.9802816296000002</v>
      </c>
      <c r="L27">
        <v>30</v>
      </c>
      <c r="M27">
        <v>-75</v>
      </c>
      <c r="N27">
        <v>13.044317679274267</v>
      </c>
      <c r="O27">
        <v>1.0174567789833928</v>
      </c>
      <c r="P27" s="139">
        <v>46211</v>
      </c>
      <c r="Q27" s="113"/>
      <c r="R27"/>
    </row>
    <row r="28" spans="2:18">
      <c r="B28" s="229">
        <v>104</v>
      </c>
      <c r="C28" s="6">
        <v>1855</v>
      </c>
      <c r="D28" s="1">
        <v>78</v>
      </c>
      <c r="E28" s="5" t="s">
        <v>108</v>
      </c>
      <c r="F28" s="6" t="s">
        <v>51</v>
      </c>
      <c r="G28" s="7">
        <v>2350</v>
      </c>
      <c r="H28">
        <v>500</v>
      </c>
      <c r="I28">
        <v>20</v>
      </c>
      <c r="J28">
        <v>15.901213200000003</v>
      </c>
      <c r="K28">
        <v>1.2402946296000004</v>
      </c>
      <c r="L28">
        <v>30</v>
      </c>
      <c r="M28">
        <v>-75</v>
      </c>
      <c r="N28">
        <v>16.504233758824903</v>
      </c>
      <c r="O28">
        <v>1.2873302331883423</v>
      </c>
      <c r="P28" s="139">
        <v>46211</v>
      </c>
      <c r="Q28" s="113"/>
      <c r="R28"/>
    </row>
    <row r="29" spans="2:18">
      <c r="B29" s="229">
        <v>104</v>
      </c>
      <c r="C29" s="6">
        <v>1855</v>
      </c>
      <c r="D29" s="1">
        <v>78</v>
      </c>
      <c r="E29" s="5" t="s">
        <v>108</v>
      </c>
      <c r="F29" s="6" t="s">
        <v>51</v>
      </c>
      <c r="G29" s="7">
        <v>1660</v>
      </c>
      <c r="H29">
        <v>500</v>
      </c>
      <c r="I29" s="6">
        <v>200</v>
      </c>
      <c r="J29">
        <v>11.300983200000001</v>
      </c>
      <c r="K29">
        <v>0.88147668960000014</v>
      </c>
      <c r="L29">
        <v>30</v>
      </c>
      <c r="M29">
        <v>-75</v>
      </c>
      <c r="N29">
        <v>11.729549569045025</v>
      </c>
      <c r="O29">
        <v>0.91490486638551194</v>
      </c>
      <c r="P29" s="139">
        <v>45992</v>
      </c>
      <c r="Q29" s="113"/>
      <c r="R29"/>
    </row>
    <row r="30" spans="2:18">
      <c r="B30" s="229">
        <v>104</v>
      </c>
      <c r="C30" s="6">
        <v>1855</v>
      </c>
      <c r="D30" s="1">
        <v>80</v>
      </c>
      <c r="E30" s="5" t="s">
        <v>0</v>
      </c>
      <c r="F30" s="6" t="s">
        <v>267</v>
      </c>
      <c r="G30" s="7">
        <v>11650</v>
      </c>
      <c r="H30" s="110">
        <v>3300</v>
      </c>
      <c r="I30" s="6">
        <v>100</v>
      </c>
      <c r="J30">
        <v>11.172330000000001</v>
      </c>
      <c r="K30">
        <v>0.89378640000000009</v>
      </c>
      <c r="L30">
        <v>90</v>
      </c>
      <c r="M30">
        <v>-30</v>
      </c>
      <c r="N30">
        <v>11.339914949999999</v>
      </c>
      <c r="O30">
        <v>0.90719319599999992</v>
      </c>
      <c r="P30" s="139">
        <v>46023</v>
      </c>
      <c r="Q30" s="113"/>
      <c r="R30"/>
    </row>
    <row r="31" spans="2:18">
      <c r="B31" s="229">
        <v>104</v>
      </c>
      <c r="C31" s="6">
        <v>1855</v>
      </c>
      <c r="D31" s="1">
        <v>80</v>
      </c>
      <c r="E31" s="5" t="s">
        <v>0</v>
      </c>
      <c r="F31" s="6" t="s">
        <v>51</v>
      </c>
      <c r="G31" s="7">
        <v>1730</v>
      </c>
      <c r="H31" s="110">
        <v>400</v>
      </c>
      <c r="I31">
        <v>100</v>
      </c>
      <c r="J31">
        <v>12.84756</v>
      </c>
      <c r="K31">
        <v>1.0278048</v>
      </c>
      <c r="L31">
        <v>90</v>
      </c>
      <c r="M31">
        <v>-30</v>
      </c>
      <c r="N31">
        <v>13.040273399999998</v>
      </c>
      <c r="O31">
        <v>1.0432218719999999</v>
      </c>
      <c r="P31" s="139">
        <v>45717</v>
      </c>
      <c r="Q31" s="113"/>
      <c r="R31"/>
    </row>
    <row r="32" spans="2:18">
      <c r="B32" s="229">
        <v>104</v>
      </c>
      <c r="C32" s="6">
        <v>1860</v>
      </c>
      <c r="D32" s="1">
        <v>78</v>
      </c>
      <c r="E32" s="5" t="s">
        <v>108</v>
      </c>
      <c r="F32" s="6" t="s">
        <v>51</v>
      </c>
      <c r="G32" s="7">
        <v>1650</v>
      </c>
      <c r="H32">
        <v>500</v>
      </c>
      <c r="I32">
        <v>80</v>
      </c>
      <c r="J32">
        <v>11.234313199999999</v>
      </c>
      <c r="K32">
        <v>0.87627642959999985</v>
      </c>
      <c r="L32">
        <v>30</v>
      </c>
      <c r="M32">
        <v>-75</v>
      </c>
      <c r="N32">
        <v>11.66035124745401</v>
      </c>
      <c r="O32">
        <v>0.90950739730141272</v>
      </c>
      <c r="P32" s="139">
        <v>46211</v>
      </c>
      <c r="Q32" s="113"/>
      <c r="R32"/>
    </row>
    <row r="33" spans="2:17" customFormat="1">
      <c r="B33" s="229">
        <v>104</v>
      </c>
      <c r="C33" s="6">
        <v>1860</v>
      </c>
      <c r="D33" s="1">
        <v>78</v>
      </c>
      <c r="E33" s="5" t="s">
        <v>108</v>
      </c>
      <c r="F33" s="6" t="s">
        <v>51</v>
      </c>
      <c r="G33" s="7">
        <v>1850</v>
      </c>
      <c r="H33" s="7">
        <v>500</v>
      </c>
      <c r="I33">
        <v>50</v>
      </c>
      <c r="J33">
        <v>12.567713200000002</v>
      </c>
      <c r="K33">
        <v>0.9802816296000002</v>
      </c>
      <c r="L33">
        <v>30</v>
      </c>
      <c r="M33">
        <v>-75</v>
      </c>
      <c r="N33">
        <v>13.044317679274267</v>
      </c>
      <c r="O33">
        <v>1.0174567789833928</v>
      </c>
      <c r="P33" s="139">
        <v>46211</v>
      </c>
      <c r="Q33" s="113"/>
    </row>
    <row r="34" spans="2:17" customFormat="1">
      <c r="B34" s="229">
        <v>104</v>
      </c>
      <c r="C34" s="6">
        <v>1860</v>
      </c>
      <c r="D34" s="1">
        <v>78</v>
      </c>
      <c r="E34" s="5" t="s">
        <v>108</v>
      </c>
      <c r="F34" s="6" t="s">
        <v>51</v>
      </c>
      <c r="G34" s="7">
        <v>2350</v>
      </c>
      <c r="H34">
        <v>500</v>
      </c>
      <c r="I34">
        <v>20</v>
      </c>
      <c r="J34">
        <v>15.901213200000003</v>
      </c>
      <c r="K34">
        <v>1.2402946296000004</v>
      </c>
      <c r="L34">
        <v>30</v>
      </c>
      <c r="M34">
        <v>-75</v>
      </c>
      <c r="N34">
        <v>16.504233758824903</v>
      </c>
      <c r="O34">
        <v>1.2873302331883423</v>
      </c>
      <c r="P34" s="139">
        <v>46211</v>
      </c>
      <c r="Q34" s="113"/>
    </row>
    <row r="35" spans="2:17" customFormat="1">
      <c r="B35" s="229">
        <v>104</v>
      </c>
      <c r="C35" s="6">
        <v>1860</v>
      </c>
      <c r="D35" s="1">
        <v>78</v>
      </c>
      <c r="E35" s="5" t="s">
        <v>108</v>
      </c>
      <c r="F35" s="6" t="s">
        <v>51</v>
      </c>
      <c r="G35" s="7">
        <v>1660</v>
      </c>
      <c r="H35">
        <v>500</v>
      </c>
      <c r="I35" s="6">
        <v>200</v>
      </c>
      <c r="J35">
        <v>11.300983200000001</v>
      </c>
      <c r="K35">
        <v>0.88147668960000014</v>
      </c>
      <c r="L35">
        <v>30</v>
      </c>
      <c r="M35">
        <v>-75</v>
      </c>
      <c r="N35">
        <v>11.729549569045025</v>
      </c>
      <c r="O35">
        <v>0.91490486638551194</v>
      </c>
      <c r="P35" s="139">
        <v>45992</v>
      </c>
      <c r="Q35" s="113"/>
    </row>
    <row r="36" spans="2:17" customFormat="1">
      <c r="B36" s="229">
        <v>104</v>
      </c>
      <c r="C36" s="6">
        <v>1860</v>
      </c>
      <c r="D36" s="1">
        <v>80</v>
      </c>
      <c r="E36" s="5" t="s">
        <v>1</v>
      </c>
      <c r="F36" s="6" t="s">
        <v>46</v>
      </c>
      <c r="G36" s="7">
        <v>15045</v>
      </c>
      <c r="H36" t="s">
        <v>481</v>
      </c>
      <c r="I36">
        <v>40</v>
      </c>
      <c r="J36">
        <v>15.244999999999999</v>
      </c>
      <c r="K36">
        <v>1.2196</v>
      </c>
      <c r="L36">
        <v>0</v>
      </c>
      <c r="M36">
        <v>-45</v>
      </c>
      <c r="N36">
        <v>15.589295599086871</v>
      </c>
      <c r="O36">
        <v>1.2471436479269495</v>
      </c>
      <c r="P36" s="139">
        <v>46211</v>
      </c>
      <c r="Q36" s="113"/>
    </row>
    <row r="37" spans="2:17" customFormat="1">
      <c r="B37" s="229">
        <v>104</v>
      </c>
      <c r="C37" s="6">
        <v>1860</v>
      </c>
      <c r="D37" s="1">
        <v>80</v>
      </c>
      <c r="E37" s="5" t="s">
        <v>0</v>
      </c>
      <c r="F37" s="6" t="s">
        <v>267</v>
      </c>
      <c r="G37" s="7">
        <v>11650</v>
      </c>
      <c r="H37" s="110">
        <v>3300</v>
      </c>
      <c r="I37" s="6">
        <v>100</v>
      </c>
      <c r="J37">
        <v>11.172330000000001</v>
      </c>
      <c r="K37">
        <v>0.89378640000000009</v>
      </c>
      <c r="L37">
        <v>90</v>
      </c>
      <c r="M37">
        <v>-30</v>
      </c>
      <c r="N37">
        <v>11.339914949999999</v>
      </c>
      <c r="O37">
        <v>0.90719319599999992</v>
      </c>
      <c r="P37" s="139">
        <v>46023</v>
      </c>
      <c r="Q37" s="113"/>
    </row>
    <row r="38" spans="2:17" customFormat="1">
      <c r="B38" s="229">
        <v>104</v>
      </c>
      <c r="C38" s="6">
        <v>1860</v>
      </c>
      <c r="D38" s="1">
        <v>80</v>
      </c>
      <c r="E38" s="5" t="s">
        <v>0</v>
      </c>
      <c r="F38" s="6" t="s">
        <v>51</v>
      </c>
      <c r="G38" s="7">
        <v>1730</v>
      </c>
      <c r="H38" s="110">
        <v>400</v>
      </c>
      <c r="I38">
        <v>100</v>
      </c>
      <c r="J38">
        <v>12.84756</v>
      </c>
      <c r="K38">
        <v>1.0278048</v>
      </c>
      <c r="L38">
        <v>90</v>
      </c>
      <c r="M38">
        <v>-30</v>
      </c>
      <c r="N38">
        <v>13.040273399999998</v>
      </c>
      <c r="O38">
        <v>1.0432218719999999</v>
      </c>
      <c r="P38" s="139">
        <v>45717</v>
      </c>
      <c r="Q38" s="113"/>
    </row>
    <row r="39" spans="2:17" customFormat="1">
      <c r="B39" s="229">
        <v>104</v>
      </c>
      <c r="C39" s="6">
        <v>1870</v>
      </c>
      <c r="D39" s="1">
        <v>70</v>
      </c>
      <c r="E39" s="27" t="s">
        <v>3</v>
      </c>
      <c r="F39" s="6" t="s">
        <v>267</v>
      </c>
      <c r="G39" s="7">
        <v>11700</v>
      </c>
      <c r="H39" s="110">
        <v>3300</v>
      </c>
      <c r="I39">
        <v>100</v>
      </c>
      <c r="J39">
        <v>11.215079999999999</v>
      </c>
      <c r="K39">
        <v>0.78505559999999996</v>
      </c>
      <c r="L39">
        <v>90</v>
      </c>
      <c r="M39">
        <v>-30</v>
      </c>
      <c r="N39">
        <v>11.383306199999998</v>
      </c>
      <c r="O39">
        <v>0.79683143399999989</v>
      </c>
      <c r="P39" s="139">
        <v>45962</v>
      </c>
      <c r="Q39" s="113"/>
    </row>
    <row r="40" spans="2:17" customFormat="1">
      <c r="B40" s="229">
        <v>104</v>
      </c>
      <c r="C40" s="6">
        <v>1870</v>
      </c>
      <c r="D40" s="1">
        <v>70</v>
      </c>
      <c r="E40" s="27" t="s">
        <v>3</v>
      </c>
      <c r="F40" s="6" t="s">
        <v>51</v>
      </c>
      <c r="G40" s="7">
        <v>1800</v>
      </c>
      <c r="H40" s="110">
        <v>400</v>
      </c>
      <c r="I40">
        <v>100</v>
      </c>
      <c r="J40">
        <v>13.318380000000001</v>
      </c>
      <c r="K40">
        <v>0.93228660000000008</v>
      </c>
      <c r="L40">
        <v>90</v>
      </c>
      <c r="M40">
        <v>-30</v>
      </c>
      <c r="N40">
        <v>13.518155699999999</v>
      </c>
      <c r="O40">
        <v>0.94627089899999994</v>
      </c>
      <c r="P40" s="139">
        <v>45444</v>
      </c>
      <c r="Q40" s="113"/>
    </row>
    <row r="41" spans="2:17" customFormat="1">
      <c r="B41" s="229">
        <v>104</v>
      </c>
      <c r="C41" s="6">
        <v>1870</v>
      </c>
      <c r="D41" s="1">
        <v>70</v>
      </c>
      <c r="E41" s="5" t="s">
        <v>108</v>
      </c>
      <c r="F41" s="6" t="s">
        <v>51</v>
      </c>
      <c r="G41" s="7">
        <v>2160</v>
      </c>
      <c r="H41" s="110">
        <v>500</v>
      </c>
      <c r="I41" s="6">
        <v>200</v>
      </c>
      <c r="J41">
        <v>14.634483200000002</v>
      </c>
      <c r="K41">
        <v>1.024413824</v>
      </c>
      <c r="L41">
        <v>30</v>
      </c>
      <c r="M41">
        <v>-75</v>
      </c>
      <c r="N41">
        <v>15.189465648595659</v>
      </c>
      <c r="O41">
        <v>1.0632625954016961</v>
      </c>
      <c r="P41" s="139">
        <v>45778</v>
      </c>
      <c r="Q41" s="113"/>
    </row>
    <row r="42" spans="2:17" customFormat="1">
      <c r="B42" s="229">
        <v>104</v>
      </c>
      <c r="C42" s="6">
        <v>1870</v>
      </c>
      <c r="D42" s="1">
        <v>70</v>
      </c>
      <c r="E42" s="5" t="s">
        <v>108</v>
      </c>
      <c r="F42" s="6" t="s">
        <v>51</v>
      </c>
      <c r="G42" s="7">
        <v>2250</v>
      </c>
      <c r="H42">
        <v>500</v>
      </c>
      <c r="I42">
        <v>80</v>
      </c>
      <c r="J42">
        <v>15.2345132</v>
      </c>
      <c r="K42">
        <v>1.066415924</v>
      </c>
      <c r="L42">
        <v>30</v>
      </c>
      <c r="M42">
        <v>-75</v>
      </c>
      <c r="N42">
        <v>15.812250542914773</v>
      </c>
      <c r="O42">
        <v>1.106857538004034</v>
      </c>
      <c r="P42" s="139">
        <v>46211</v>
      </c>
      <c r="Q42" s="113"/>
    </row>
    <row r="43" spans="2:17" customFormat="1">
      <c r="B43" s="229">
        <v>104</v>
      </c>
      <c r="C43" s="6">
        <v>1870</v>
      </c>
      <c r="D43" s="1">
        <v>70</v>
      </c>
      <c r="E43" s="5" t="s">
        <v>108</v>
      </c>
      <c r="F43" s="6" t="s">
        <v>51</v>
      </c>
      <c r="G43" s="7">
        <v>2450</v>
      </c>
      <c r="H43">
        <v>500</v>
      </c>
      <c r="I43">
        <v>50</v>
      </c>
      <c r="J43">
        <v>16.5679132</v>
      </c>
      <c r="K43">
        <v>1.1597539239999999</v>
      </c>
      <c r="L43">
        <v>30</v>
      </c>
      <c r="M43">
        <v>-75</v>
      </c>
      <c r="N43">
        <v>17.196216974735027</v>
      </c>
      <c r="O43">
        <v>1.2037351882314518</v>
      </c>
      <c r="P43" s="139">
        <v>46211</v>
      </c>
      <c r="Q43" s="113"/>
    </row>
    <row r="44" spans="2:17" customFormat="1">
      <c r="B44" s="229">
        <v>104</v>
      </c>
      <c r="C44" s="6">
        <v>1870</v>
      </c>
      <c r="D44" s="1">
        <v>70</v>
      </c>
      <c r="E44" s="5" t="s">
        <v>108</v>
      </c>
      <c r="F44" s="6" t="s">
        <v>51</v>
      </c>
      <c r="G44" s="7">
        <v>2950</v>
      </c>
      <c r="H44">
        <v>500</v>
      </c>
      <c r="I44">
        <v>20</v>
      </c>
      <c r="J44">
        <v>19.9014132</v>
      </c>
      <c r="K44">
        <v>1.393098924</v>
      </c>
      <c r="L44">
        <v>30</v>
      </c>
      <c r="M44">
        <v>-75</v>
      </c>
      <c r="N44">
        <v>20.656133054285661</v>
      </c>
      <c r="O44">
        <v>1.4459293137999962</v>
      </c>
      <c r="P44" s="139">
        <v>46211</v>
      </c>
      <c r="Q44" s="113"/>
    </row>
    <row r="45" spans="2:17" customFormat="1">
      <c r="B45" s="229">
        <v>104</v>
      </c>
      <c r="C45" s="6">
        <v>1870</v>
      </c>
      <c r="D45" s="1">
        <v>70</v>
      </c>
      <c r="E45" s="5" t="s">
        <v>1</v>
      </c>
      <c r="F45" s="6" t="s">
        <v>46</v>
      </c>
      <c r="G45" s="7">
        <v>15045</v>
      </c>
      <c r="H45" t="s">
        <v>481</v>
      </c>
      <c r="I45">
        <v>70</v>
      </c>
      <c r="J45">
        <v>15.244999999999999</v>
      </c>
      <c r="K45">
        <v>1.06715</v>
      </c>
      <c r="L45">
        <v>0</v>
      </c>
      <c r="M45">
        <v>-45</v>
      </c>
      <c r="N45">
        <v>15.589295599086871</v>
      </c>
      <c r="O45">
        <v>1.0912506919360809</v>
      </c>
      <c r="P45" s="139">
        <v>46211</v>
      </c>
      <c r="Q45" s="113"/>
    </row>
    <row r="46" spans="2:17" customFormat="1">
      <c r="B46" s="229">
        <v>104</v>
      </c>
      <c r="C46" s="6">
        <v>1870</v>
      </c>
      <c r="D46" s="1">
        <v>70</v>
      </c>
      <c r="E46" s="5" t="s">
        <v>0</v>
      </c>
      <c r="F46" s="6" t="s">
        <v>267</v>
      </c>
      <c r="G46" s="7">
        <v>11650</v>
      </c>
      <c r="H46" s="110">
        <v>3300</v>
      </c>
      <c r="I46" s="6">
        <v>100</v>
      </c>
      <c r="J46">
        <v>11.172330000000001</v>
      </c>
      <c r="K46">
        <v>0.78206310000000012</v>
      </c>
      <c r="L46">
        <v>90</v>
      </c>
      <c r="M46">
        <v>-30</v>
      </c>
      <c r="N46">
        <v>11.339914949999999</v>
      </c>
      <c r="O46">
        <v>0.79379404649999985</v>
      </c>
      <c r="P46" s="139">
        <v>46023</v>
      </c>
      <c r="Q46" s="113"/>
    </row>
    <row r="47" spans="2:17" customFormat="1">
      <c r="B47" s="229">
        <v>104</v>
      </c>
      <c r="C47" s="6">
        <v>1870</v>
      </c>
      <c r="D47" s="1">
        <v>70</v>
      </c>
      <c r="E47" s="5" t="s">
        <v>0</v>
      </c>
      <c r="F47" s="6" t="s">
        <v>51</v>
      </c>
      <c r="G47" s="7">
        <v>1760</v>
      </c>
      <c r="H47" s="110">
        <v>400</v>
      </c>
      <c r="I47">
        <v>100</v>
      </c>
      <c r="J47">
        <v>13.049340000000001</v>
      </c>
      <c r="K47">
        <v>0.91345380000000009</v>
      </c>
      <c r="L47">
        <v>90</v>
      </c>
      <c r="M47">
        <v>-30</v>
      </c>
      <c r="N47">
        <v>13.245080099999999</v>
      </c>
      <c r="O47">
        <v>0.92715560699999988</v>
      </c>
      <c r="P47" s="139">
        <v>45717</v>
      </c>
      <c r="Q47" s="113"/>
    </row>
    <row r="48" spans="2:17" customFormat="1">
      <c r="B48" s="229">
        <v>104</v>
      </c>
      <c r="C48" s="6">
        <v>1870</v>
      </c>
      <c r="D48" s="1">
        <v>70</v>
      </c>
      <c r="E48" s="27" t="s">
        <v>47</v>
      </c>
      <c r="F48" s="6" t="s">
        <v>51</v>
      </c>
      <c r="G48" s="7">
        <v>2460</v>
      </c>
      <c r="H48">
        <v>300</v>
      </c>
      <c r="I48">
        <v>50</v>
      </c>
      <c r="J48">
        <v>16.634583200000002</v>
      </c>
      <c r="K48">
        <v>1.164420824</v>
      </c>
      <c r="L48">
        <v>120</v>
      </c>
      <c r="M48">
        <v>15</v>
      </c>
      <c r="N48">
        <v>16.511210051872826</v>
      </c>
      <c r="O48">
        <v>1.155784703631098</v>
      </c>
      <c r="P48" s="139">
        <v>46211</v>
      </c>
      <c r="Q48" s="113"/>
    </row>
    <row r="49" spans="2:17" customFormat="1">
      <c r="B49" s="229">
        <v>104</v>
      </c>
      <c r="C49" s="6">
        <v>1870</v>
      </c>
      <c r="D49" s="1">
        <v>70</v>
      </c>
      <c r="E49" s="27" t="s">
        <v>47</v>
      </c>
      <c r="F49" s="6" t="s">
        <v>51</v>
      </c>
      <c r="G49" s="7">
        <v>2510</v>
      </c>
      <c r="H49">
        <v>300</v>
      </c>
      <c r="I49">
        <v>30</v>
      </c>
      <c r="J49">
        <v>16.967933199999997</v>
      </c>
      <c r="K49">
        <v>1.1877553239999998</v>
      </c>
      <c r="L49">
        <v>120</v>
      </c>
      <c r="M49">
        <v>15</v>
      </c>
      <c r="N49">
        <v>16.842087706252034</v>
      </c>
      <c r="O49">
        <v>1.1789461394376424</v>
      </c>
      <c r="P49" s="139">
        <v>46211</v>
      </c>
      <c r="Q49" s="113"/>
    </row>
    <row r="50" spans="2:17" customFormat="1">
      <c r="B50" s="229">
        <v>104</v>
      </c>
      <c r="C50" s="6">
        <v>1870</v>
      </c>
      <c r="D50" s="1">
        <v>70</v>
      </c>
      <c r="E50" s="27" t="s">
        <v>47</v>
      </c>
      <c r="F50" s="6" t="s">
        <v>51</v>
      </c>
      <c r="G50" s="7">
        <v>2560</v>
      </c>
      <c r="H50">
        <v>300</v>
      </c>
      <c r="I50">
        <v>20</v>
      </c>
      <c r="J50">
        <v>17.3012832</v>
      </c>
      <c r="K50">
        <v>1.2110898240000001</v>
      </c>
      <c r="L50">
        <v>120</v>
      </c>
      <c r="M50">
        <v>15</v>
      </c>
      <c r="N50">
        <v>17.172965360631245</v>
      </c>
      <c r="O50">
        <v>1.2021075752441872</v>
      </c>
      <c r="P50" s="139">
        <v>46211</v>
      </c>
      <c r="Q50" s="113"/>
    </row>
    <row r="51" spans="2:17" customFormat="1">
      <c r="B51" s="229">
        <v>104</v>
      </c>
      <c r="C51" s="6">
        <v>1870</v>
      </c>
      <c r="D51" s="1">
        <v>70</v>
      </c>
      <c r="E51" s="27" t="s">
        <v>47</v>
      </c>
      <c r="F51" s="6" t="s">
        <v>51</v>
      </c>
      <c r="G51" s="7">
        <v>2640</v>
      </c>
      <c r="H51">
        <v>300</v>
      </c>
      <c r="I51">
        <v>10</v>
      </c>
      <c r="J51">
        <v>17.834643200000002</v>
      </c>
      <c r="K51">
        <v>1.2484250240000003</v>
      </c>
      <c r="L51">
        <v>120</v>
      </c>
      <c r="M51">
        <v>15</v>
      </c>
      <c r="N51">
        <v>17.702369607637984</v>
      </c>
      <c r="O51">
        <v>1.2391658725346588</v>
      </c>
      <c r="P51" s="139">
        <v>46211</v>
      </c>
      <c r="Q51" s="113"/>
    </row>
    <row r="52" spans="2:17" customFormat="1">
      <c r="B52" s="229">
        <v>104</v>
      </c>
      <c r="C52" s="6">
        <v>1870</v>
      </c>
      <c r="D52" s="1">
        <v>70</v>
      </c>
      <c r="E52" s="27" t="s">
        <v>240</v>
      </c>
      <c r="F52" s="6" t="s">
        <v>267</v>
      </c>
      <c r="G52" s="7">
        <v>12000</v>
      </c>
      <c r="H52" s="110">
        <v>3300</v>
      </c>
      <c r="I52" s="6" t="s">
        <v>481</v>
      </c>
      <c r="J52">
        <v>11.471579999999999</v>
      </c>
      <c r="K52">
        <v>0.80301059999999991</v>
      </c>
      <c r="L52">
        <v>90</v>
      </c>
      <c r="M52">
        <v>-30</v>
      </c>
      <c r="N52">
        <v>11.643653699999998</v>
      </c>
      <c r="O52">
        <v>0.81505575899999982</v>
      </c>
      <c r="P52" s="139">
        <v>46023</v>
      </c>
      <c r="Q52" s="113"/>
    </row>
    <row r="53" spans="2:17" customFormat="1">
      <c r="B53" s="229">
        <v>104</v>
      </c>
      <c r="C53" s="6">
        <v>1870</v>
      </c>
      <c r="D53" s="1">
        <v>78</v>
      </c>
      <c r="E53" s="5" t="s">
        <v>108</v>
      </c>
      <c r="F53" s="6" t="s">
        <v>51</v>
      </c>
      <c r="G53" s="7">
        <v>1650</v>
      </c>
      <c r="H53">
        <v>500</v>
      </c>
      <c r="I53">
        <v>80</v>
      </c>
      <c r="J53">
        <v>11.234313199999999</v>
      </c>
      <c r="K53">
        <v>0.87627642959999985</v>
      </c>
      <c r="L53">
        <v>30</v>
      </c>
      <c r="M53">
        <v>-75</v>
      </c>
      <c r="N53">
        <v>11.66035124745401</v>
      </c>
      <c r="O53">
        <v>0.90950739730141272</v>
      </c>
      <c r="P53" s="139">
        <v>46211</v>
      </c>
      <c r="Q53" s="113"/>
    </row>
    <row r="54" spans="2:17" customFormat="1">
      <c r="B54" s="229">
        <v>104</v>
      </c>
      <c r="C54" s="6">
        <v>1870</v>
      </c>
      <c r="D54" s="1">
        <v>78</v>
      </c>
      <c r="E54" s="5" t="s">
        <v>108</v>
      </c>
      <c r="F54" s="6" t="s">
        <v>51</v>
      </c>
      <c r="G54" s="7">
        <v>1850</v>
      </c>
      <c r="H54" s="7">
        <v>500</v>
      </c>
      <c r="I54">
        <v>50</v>
      </c>
      <c r="J54">
        <v>12.567713200000002</v>
      </c>
      <c r="K54">
        <v>0.9802816296000002</v>
      </c>
      <c r="L54">
        <v>30</v>
      </c>
      <c r="M54">
        <v>-75</v>
      </c>
      <c r="N54">
        <v>13.044317679274267</v>
      </c>
      <c r="O54">
        <v>1.0174567789833928</v>
      </c>
      <c r="P54" s="139">
        <v>46211</v>
      </c>
      <c r="Q54" s="113"/>
    </row>
    <row r="55" spans="2:17" customFormat="1">
      <c r="B55" s="229">
        <v>104</v>
      </c>
      <c r="C55" s="6">
        <v>1870</v>
      </c>
      <c r="D55" s="1">
        <v>78</v>
      </c>
      <c r="E55" s="5" t="s">
        <v>108</v>
      </c>
      <c r="F55" s="6" t="s">
        <v>51</v>
      </c>
      <c r="G55" s="7">
        <v>2350</v>
      </c>
      <c r="H55">
        <v>500</v>
      </c>
      <c r="I55">
        <v>20</v>
      </c>
      <c r="J55">
        <v>15.901213200000003</v>
      </c>
      <c r="K55">
        <v>1.2402946296000004</v>
      </c>
      <c r="L55">
        <v>30</v>
      </c>
      <c r="M55">
        <v>-75</v>
      </c>
      <c r="N55">
        <v>16.504233758824903</v>
      </c>
      <c r="O55">
        <v>1.2873302331883423</v>
      </c>
      <c r="P55" s="139">
        <v>46211</v>
      </c>
      <c r="Q55" s="113"/>
    </row>
    <row r="56" spans="2:17" customFormat="1">
      <c r="B56" s="229">
        <v>104</v>
      </c>
      <c r="C56" s="6">
        <v>1870</v>
      </c>
      <c r="D56" s="1">
        <v>78</v>
      </c>
      <c r="E56" s="5" t="s">
        <v>108</v>
      </c>
      <c r="F56" s="6" t="s">
        <v>51</v>
      </c>
      <c r="G56" s="7">
        <v>1660</v>
      </c>
      <c r="H56">
        <v>500</v>
      </c>
      <c r="I56" s="6">
        <v>200</v>
      </c>
      <c r="J56">
        <v>11.300983200000001</v>
      </c>
      <c r="K56">
        <v>0.88147668960000014</v>
      </c>
      <c r="L56">
        <v>30</v>
      </c>
      <c r="M56">
        <v>-75</v>
      </c>
      <c r="N56">
        <v>11.729549569045025</v>
      </c>
      <c r="O56">
        <v>0.91490486638551194</v>
      </c>
      <c r="P56" s="139">
        <v>45992</v>
      </c>
      <c r="Q56" s="113"/>
    </row>
    <row r="57" spans="2:17" customFormat="1">
      <c r="B57" s="229">
        <v>104</v>
      </c>
      <c r="C57" s="6">
        <v>1870</v>
      </c>
      <c r="D57" s="1">
        <v>80</v>
      </c>
      <c r="E57" s="27" t="s">
        <v>3</v>
      </c>
      <c r="F57" s="6" t="s">
        <v>267</v>
      </c>
      <c r="G57" s="7">
        <v>11700</v>
      </c>
      <c r="H57" s="143">
        <v>3300</v>
      </c>
      <c r="I57" s="6">
        <v>100</v>
      </c>
      <c r="J57">
        <v>11.215079999999999</v>
      </c>
      <c r="K57">
        <v>0.89720639999999996</v>
      </c>
      <c r="L57">
        <v>90</v>
      </c>
      <c r="M57">
        <v>-30</v>
      </c>
      <c r="N57">
        <v>11.383306199999998</v>
      </c>
      <c r="O57">
        <v>0.91066449599999988</v>
      </c>
      <c r="P57" s="139">
        <v>45962</v>
      </c>
      <c r="Q57" s="113"/>
    </row>
    <row r="58" spans="2:17" customFormat="1">
      <c r="B58" s="229">
        <v>104</v>
      </c>
      <c r="C58" s="6">
        <v>1870</v>
      </c>
      <c r="D58" s="1">
        <v>80</v>
      </c>
      <c r="E58" s="27" t="s">
        <v>2</v>
      </c>
      <c r="F58" s="6" t="s">
        <v>51</v>
      </c>
      <c r="G58" s="7">
        <v>2280</v>
      </c>
      <c r="H58" t="s">
        <v>481</v>
      </c>
      <c r="I58">
        <v>500</v>
      </c>
      <c r="J58">
        <v>15.257523200000001</v>
      </c>
      <c r="K58">
        <v>1.220601856</v>
      </c>
      <c r="L58">
        <v>120</v>
      </c>
      <c r="M58">
        <v>15</v>
      </c>
      <c r="N58">
        <v>15.144363245994818</v>
      </c>
      <c r="O58">
        <v>1.2115490596795855</v>
      </c>
      <c r="P58" s="139">
        <v>46211</v>
      </c>
      <c r="Q58" s="113"/>
    </row>
    <row r="59" spans="2:17" customFormat="1">
      <c r="B59" s="229">
        <v>104</v>
      </c>
      <c r="C59" s="6">
        <v>1870</v>
      </c>
      <c r="D59" s="1">
        <v>80</v>
      </c>
      <c r="E59" s="27" t="s">
        <v>2</v>
      </c>
      <c r="F59" s="6" t="s">
        <v>51</v>
      </c>
      <c r="G59" s="7">
        <v>2310</v>
      </c>
      <c r="H59" t="s">
        <v>481</v>
      </c>
      <c r="I59">
        <v>150</v>
      </c>
      <c r="J59">
        <v>15.457533200000002</v>
      </c>
      <c r="K59">
        <v>1.2366026560000001</v>
      </c>
      <c r="L59">
        <v>120</v>
      </c>
      <c r="M59">
        <v>15</v>
      </c>
      <c r="N59">
        <v>15.342889838622344</v>
      </c>
      <c r="O59">
        <v>1.2274311870897874</v>
      </c>
      <c r="P59" s="139">
        <v>46211</v>
      </c>
      <c r="Q59" s="113"/>
    </row>
    <row r="60" spans="2:17" customFormat="1">
      <c r="B60" s="229">
        <v>104</v>
      </c>
      <c r="C60" s="6">
        <v>1870</v>
      </c>
      <c r="D60" s="1">
        <v>80</v>
      </c>
      <c r="E60" s="27" t="s">
        <v>2</v>
      </c>
      <c r="F60" s="6" t="s">
        <v>51</v>
      </c>
      <c r="G60" s="7">
        <v>2350</v>
      </c>
      <c r="H60" t="s">
        <v>481</v>
      </c>
      <c r="I60">
        <v>70</v>
      </c>
      <c r="J60">
        <v>15.724213200000003</v>
      </c>
      <c r="K60">
        <v>1.2579370560000003</v>
      </c>
      <c r="L60">
        <v>120</v>
      </c>
      <c r="M60">
        <v>15</v>
      </c>
      <c r="N60">
        <v>15.607591962125712</v>
      </c>
      <c r="O60">
        <v>1.2486073569700569</v>
      </c>
      <c r="P60" s="139">
        <v>46211</v>
      </c>
      <c r="Q60" s="113"/>
    </row>
    <row r="61" spans="2:17" customFormat="1">
      <c r="B61" s="229">
        <v>104</v>
      </c>
      <c r="C61" s="6">
        <v>1870</v>
      </c>
      <c r="D61" s="1">
        <v>80</v>
      </c>
      <c r="E61" s="27" t="s">
        <v>2</v>
      </c>
      <c r="F61" s="6" t="s">
        <v>51</v>
      </c>
      <c r="G61" s="7">
        <v>2430</v>
      </c>
      <c r="H61" t="s">
        <v>481</v>
      </c>
      <c r="I61">
        <v>30</v>
      </c>
      <c r="J61">
        <v>16.2575732</v>
      </c>
      <c r="K61">
        <v>1.300605856</v>
      </c>
      <c r="L61">
        <v>120</v>
      </c>
      <c r="M61">
        <v>15</v>
      </c>
      <c r="N61">
        <v>16.136996209132445</v>
      </c>
      <c r="O61">
        <v>1.2909596967305956</v>
      </c>
      <c r="P61" s="139">
        <v>46211</v>
      </c>
      <c r="Q61" s="113"/>
    </row>
    <row r="62" spans="2:17" customFormat="1">
      <c r="B62" s="229">
        <v>104</v>
      </c>
      <c r="C62" s="6">
        <v>1870</v>
      </c>
      <c r="D62" s="1">
        <v>80</v>
      </c>
      <c r="E62" s="27" t="s">
        <v>2</v>
      </c>
      <c r="F62" s="6" t="s">
        <v>51</v>
      </c>
      <c r="G62" s="7">
        <v>2330</v>
      </c>
      <c r="H62" t="s">
        <v>481</v>
      </c>
      <c r="I62">
        <v>100</v>
      </c>
      <c r="J62">
        <v>15.590873200000003</v>
      </c>
      <c r="K62">
        <v>1.2472698560000002</v>
      </c>
      <c r="L62">
        <v>120</v>
      </c>
      <c r="M62">
        <v>15</v>
      </c>
      <c r="N62">
        <v>15.475240900374029</v>
      </c>
      <c r="O62">
        <v>1.2380192720299223</v>
      </c>
      <c r="P62" s="139">
        <v>46211</v>
      </c>
      <c r="Q62" s="113"/>
    </row>
    <row r="63" spans="2:17" customFormat="1">
      <c r="B63" s="229">
        <v>104</v>
      </c>
      <c r="C63" s="6">
        <v>1870</v>
      </c>
      <c r="D63" s="1">
        <v>80</v>
      </c>
      <c r="E63" s="27" t="s">
        <v>2</v>
      </c>
      <c r="F63" s="6" t="s">
        <v>51</v>
      </c>
      <c r="G63" s="7">
        <v>2380</v>
      </c>
      <c r="H63" t="s">
        <v>481</v>
      </c>
      <c r="I63">
        <v>50</v>
      </c>
      <c r="J63">
        <v>15.924223200000002</v>
      </c>
      <c r="K63">
        <v>1.2739378560000001</v>
      </c>
      <c r="L63">
        <v>120</v>
      </c>
      <c r="M63">
        <v>15</v>
      </c>
      <c r="N63">
        <v>15.806118554753237</v>
      </c>
      <c r="O63">
        <v>1.264489484380259</v>
      </c>
      <c r="P63" s="139">
        <v>46211</v>
      </c>
      <c r="Q63" s="113"/>
    </row>
    <row r="64" spans="2:17" customFormat="1">
      <c r="B64" s="229">
        <v>104</v>
      </c>
      <c r="C64" s="6">
        <v>1870</v>
      </c>
      <c r="D64" s="1">
        <v>80</v>
      </c>
      <c r="E64" s="27" t="s">
        <v>2</v>
      </c>
      <c r="F64" s="6" t="s">
        <v>51</v>
      </c>
      <c r="G64" s="7">
        <v>2270</v>
      </c>
      <c r="H64" t="s">
        <v>481</v>
      </c>
      <c r="I64">
        <v>600</v>
      </c>
      <c r="J64">
        <v>15.190853200000001</v>
      </c>
      <c r="K64">
        <v>1.2152682560000001</v>
      </c>
      <c r="L64">
        <v>120</v>
      </c>
      <c r="M64">
        <v>15</v>
      </c>
      <c r="N64">
        <v>15.078187715118975</v>
      </c>
      <c r="O64">
        <v>1.2062550172095181</v>
      </c>
      <c r="P64" s="139">
        <v>46211</v>
      </c>
      <c r="Q64" s="113"/>
    </row>
    <row r="65" spans="2:17" customFormat="1">
      <c r="B65" s="229">
        <v>104</v>
      </c>
      <c r="C65" s="6">
        <v>1870</v>
      </c>
      <c r="D65" s="1">
        <v>80</v>
      </c>
      <c r="E65" s="27" t="s">
        <v>2</v>
      </c>
      <c r="F65" s="6" t="s">
        <v>51</v>
      </c>
      <c r="G65" s="7">
        <v>2290</v>
      </c>
      <c r="H65" t="s">
        <v>481</v>
      </c>
      <c r="I65">
        <v>200</v>
      </c>
      <c r="J65">
        <v>15.324193200000002</v>
      </c>
      <c r="K65">
        <v>1.225935456</v>
      </c>
      <c r="L65">
        <v>120</v>
      </c>
      <c r="M65">
        <v>15</v>
      </c>
      <c r="N65">
        <v>15.21053877687066</v>
      </c>
      <c r="O65">
        <v>1.2168431021496529</v>
      </c>
      <c r="P65" s="139">
        <v>46211</v>
      </c>
      <c r="Q65" s="113"/>
    </row>
    <row r="66" spans="2:17" customFormat="1">
      <c r="B66" s="229">
        <v>104</v>
      </c>
      <c r="C66" s="6">
        <v>1870</v>
      </c>
      <c r="D66" s="1">
        <v>80</v>
      </c>
      <c r="E66" s="27" t="s">
        <v>240</v>
      </c>
      <c r="F66" s="6" t="s">
        <v>267</v>
      </c>
      <c r="G66" s="7">
        <v>12000</v>
      </c>
      <c r="H66" s="110">
        <v>3300</v>
      </c>
      <c r="I66" s="6" t="s">
        <v>481</v>
      </c>
      <c r="J66">
        <v>11.471579999999999</v>
      </c>
      <c r="K66">
        <v>0.91772639999999983</v>
      </c>
      <c r="L66">
        <v>90</v>
      </c>
      <c r="M66">
        <v>-30</v>
      </c>
      <c r="N66">
        <v>11.643653699999998</v>
      </c>
      <c r="O66">
        <v>0.93149229599999983</v>
      </c>
      <c r="P66" s="139">
        <v>46023</v>
      </c>
      <c r="Q66" s="113"/>
    </row>
    <row r="67" spans="2:17" customFormat="1">
      <c r="B67" s="229">
        <v>104</v>
      </c>
      <c r="C67" s="6">
        <v>2120</v>
      </c>
      <c r="D67" s="1">
        <v>70</v>
      </c>
      <c r="E67" s="5" t="s">
        <v>1</v>
      </c>
      <c r="F67" s="6" t="s">
        <v>46</v>
      </c>
      <c r="G67" s="7">
        <v>15045</v>
      </c>
      <c r="H67" t="s">
        <v>481</v>
      </c>
      <c r="I67">
        <v>70</v>
      </c>
      <c r="J67">
        <v>15.244999999999999</v>
      </c>
      <c r="K67">
        <v>1.06715</v>
      </c>
      <c r="L67">
        <v>0</v>
      </c>
      <c r="M67">
        <v>-45</v>
      </c>
      <c r="N67">
        <v>15.589295599086871</v>
      </c>
      <c r="O67">
        <v>1.0912506919360809</v>
      </c>
      <c r="P67" s="139">
        <v>46211</v>
      </c>
      <c r="Q67" s="113"/>
    </row>
    <row r="68" spans="2:17" customFormat="1">
      <c r="B68" s="229">
        <v>104</v>
      </c>
      <c r="C68" s="6">
        <v>2160</v>
      </c>
      <c r="D68" s="1">
        <v>70</v>
      </c>
      <c r="E68" s="5" t="s">
        <v>0</v>
      </c>
      <c r="F68" s="6" t="s">
        <v>267</v>
      </c>
      <c r="G68" s="7">
        <v>11650</v>
      </c>
      <c r="H68" s="110">
        <v>3300</v>
      </c>
      <c r="I68" s="6">
        <v>100</v>
      </c>
      <c r="J68">
        <v>11.172330000000001</v>
      </c>
      <c r="K68">
        <v>0.78206310000000012</v>
      </c>
      <c r="L68">
        <v>90</v>
      </c>
      <c r="M68">
        <v>-30</v>
      </c>
      <c r="N68">
        <v>11.339914949999999</v>
      </c>
      <c r="O68">
        <v>0.79379404649999985</v>
      </c>
      <c r="P68" s="139">
        <v>46023</v>
      </c>
      <c r="Q68" s="113"/>
    </row>
    <row r="69" spans="2:17" customFormat="1">
      <c r="B69" s="229">
        <v>104</v>
      </c>
      <c r="C69" s="6">
        <v>2160</v>
      </c>
      <c r="D69" s="1">
        <v>70</v>
      </c>
      <c r="E69" s="5" t="s">
        <v>0</v>
      </c>
      <c r="F69" s="6" t="s">
        <v>51</v>
      </c>
      <c r="G69" s="7">
        <v>1760</v>
      </c>
      <c r="H69" s="110">
        <v>400</v>
      </c>
      <c r="I69">
        <v>100</v>
      </c>
      <c r="J69">
        <v>13.049340000000001</v>
      </c>
      <c r="K69">
        <v>0.91345380000000009</v>
      </c>
      <c r="L69">
        <v>90</v>
      </c>
      <c r="M69">
        <v>-30</v>
      </c>
      <c r="N69">
        <v>13.245080099999999</v>
      </c>
      <c r="O69">
        <v>0.92715560699999988</v>
      </c>
      <c r="P69" s="139">
        <v>45717</v>
      </c>
      <c r="Q69" s="113"/>
    </row>
    <row r="70" spans="2:17" customFormat="1">
      <c r="B70" s="229">
        <v>104</v>
      </c>
      <c r="C70" s="6">
        <v>2175</v>
      </c>
      <c r="D70" s="1">
        <v>70</v>
      </c>
      <c r="E70" s="5" t="s">
        <v>108</v>
      </c>
      <c r="F70" s="6" t="s">
        <v>51</v>
      </c>
      <c r="G70" s="7">
        <v>2250</v>
      </c>
      <c r="H70">
        <v>500</v>
      </c>
      <c r="I70">
        <v>80</v>
      </c>
      <c r="J70">
        <v>15.2345132</v>
      </c>
      <c r="K70">
        <v>1.066415924</v>
      </c>
      <c r="L70">
        <v>30</v>
      </c>
      <c r="M70">
        <v>-75</v>
      </c>
      <c r="N70">
        <v>15.812250542914773</v>
      </c>
      <c r="O70">
        <v>1.106857538004034</v>
      </c>
      <c r="P70" s="139">
        <v>46211</v>
      </c>
      <c r="Q70" s="113"/>
    </row>
    <row r="71" spans="2:17" customFormat="1">
      <c r="B71" s="229">
        <v>104</v>
      </c>
      <c r="C71" s="6">
        <v>2175</v>
      </c>
      <c r="D71" s="1">
        <v>70</v>
      </c>
      <c r="E71" s="5" t="s">
        <v>108</v>
      </c>
      <c r="F71" s="6" t="s">
        <v>51</v>
      </c>
      <c r="G71" s="7">
        <v>2450</v>
      </c>
      <c r="H71">
        <v>500</v>
      </c>
      <c r="I71">
        <v>50</v>
      </c>
      <c r="J71">
        <v>16.5679132</v>
      </c>
      <c r="K71">
        <v>1.1597539239999999</v>
      </c>
      <c r="L71">
        <v>30</v>
      </c>
      <c r="M71">
        <v>-75</v>
      </c>
      <c r="N71">
        <v>17.196216974735027</v>
      </c>
      <c r="O71">
        <v>1.2037351882314518</v>
      </c>
      <c r="P71" s="139">
        <v>46211</v>
      </c>
      <c r="Q71" s="113"/>
    </row>
    <row r="72" spans="2:17" customFormat="1">
      <c r="B72" s="229">
        <v>104</v>
      </c>
      <c r="C72" s="6">
        <v>2175</v>
      </c>
      <c r="D72" s="1">
        <v>70</v>
      </c>
      <c r="E72" s="5" t="s">
        <v>108</v>
      </c>
      <c r="F72" s="6" t="s">
        <v>51</v>
      </c>
      <c r="G72" s="7">
        <v>2950</v>
      </c>
      <c r="H72">
        <v>500</v>
      </c>
      <c r="I72">
        <v>20</v>
      </c>
      <c r="J72">
        <v>19.9014132</v>
      </c>
      <c r="K72">
        <v>1.393098924</v>
      </c>
      <c r="L72">
        <v>30</v>
      </c>
      <c r="M72">
        <v>-75</v>
      </c>
      <c r="N72">
        <v>20.656133054285661</v>
      </c>
      <c r="O72">
        <v>1.4459293137999962</v>
      </c>
      <c r="P72" s="139">
        <v>46211</v>
      </c>
      <c r="Q72" s="113"/>
    </row>
    <row r="73" spans="2:17" customFormat="1">
      <c r="B73" s="229">
        <v>104</v>
      </c>
      <c r="C73" s="6">
        <v>2175</v>
      </c>
      <c r="D73" s="1">
        <v>70</v>
      </c>
      <c r="E73" s="5" t="s">
        <v>1</v>
      </c>
      <c r="F73" s="6" t="s">
        <v>46</v>
      </c>
      <c r="G73" s="7">
        <v>15045</v>
      </c>
      <c r="H73" t="s">
        <v>481</v>
      </c>
      <c r="I73">
        <v>70</v>
      </c>
      <c r="J73">
        <v>15.244999999999999</v>
      </c>
      <c r="K73">
        <v>1.06715</v>
      </c>
      <c r="L73">
        <v>0</v>
      </c>
      <c r="M73">
        <v>-45</v>
      </c>
      <c r="N73">
        <v>15.589295599086871</v>
      </c>
      <c r="O73">
        <v>1.0912506919360809</v>
      </c>
      <c r="P73" s="139">
        <v>46211</v>
      </c>
      <c r="Q73" s="113"/>
    </row>
    <row r="74" spans="2:17" customFormat="1">
      <c r="B74" s="229">
        <v>104</v>
      </c>
      <c r="C74" s="6">
        <v>2175</v>
      </c>
      <c r="D74" s="1">
        <v>70</v>
      </c>
      <c r="E74" s="5" t="s">
        <v>0</v>
      </c>
      <c r="F74" s="6" t="s">
        <v>267</v>
      </c>
      <c r="G74" s="7">
        <v>11650</v>
      </c>
      <c r="H74" s="110">
        <v>3300</v>
      </c>
      <c r="I74" s="6">
        <v>100</v>
      </c>
      <c r="J74">
        <v>11.172330000000001</v>
      </c>
      <c r="K74">
        <v>0.78206310000000012</v>
      </c>
      <c r="L74">
        <v>90</v>
      </c>
      <c r="M74">
        <v>-30</v>
      </c>
      <c r="N74">
        <v>11.339914949999999</v>
      </c>
      <c r="O74">
        <v>0.79379404649999985</v>
      </c>
      <c r="P74" s="139">
        <v>46023</v>
      </c>
      <c r="Q74" s="113"/>
    </row>
    <row r="75" spans="2:17" customFormat="1">
      <c r="B75" s="229">
        <v>104</v>
      </c>
      <c r="C75" s="6">
        <v>2175</v>
      </c>
      <c r="D75" s="1">
        <v>70</v>
      </c>
      <c r="E75" s="5" t="s">
        <v>0</v>
      </c>
      <c r="F75" s="6" t="s">
        <v>51</v>
      </c>
      <c r="G75" s="7">
        <v>1760</v>
      </c>
      <c r="H75" s="110">
        <v>400</v>
      </c>
      <c r="I75">
        <v>100</v>
      </c>
      <c r="J75">
        <v>13.049340000000001</v>
      </c>
      <c r="K75">
        <v>0.91345380000000009</v>
      </c>
      <c r="L75">
        <v>90</v>
      </c>
      <c r="M75">
        <v>-30</v>
      </c>
      <c r="N75">
        <v>13.245080099999999</v>
      </c>
      <c r="O75">
        <v>0.92715560699999988</v>
      </c>
      <c r="P75" s="139">
        <v>45717</v>
      </c>
      <c r="Q75" s="113"/>
    </row>
    <row r="76" spans="2:17" customFormat="1">
      <c r="B76" s="229">
        <v>104</v>
      </c>
      <c r="C76" s="6">
        <v>2175</v>
      </c>
      <c r="D76" s="1">
        <v>70</v>
      </c>
      <c r="E76" s="27" t="s">
        <v>47</v>
      </c>
      <c r="F76" s="6" t="s">
        <v>51</v>
      </c>
      <c r="G76" s="7">
        <v>2460</v>
      </c>
      <c r="H76">
        <v>300</v>
      </c>
      <c r="I76">
        <v>50</v>
      </c>
      <c r="J76">
        <v>16.634583200000002</v>
      </c>
      <c r="K76">
        <v>1.164420824</v>
      </c>
      <c r="L76">
        <v>120</v>
      </c>
      <c r="M76">
        <v>15</v>
      </c>
      <c r="N76">
        <v>16.511210051872826</v>
      </c>
      <c r="O76">
        <v>1.155784703631098</v>
      </c>
      <c r="P76" s="139">
        <v>46211</v>
      </c>
      <c r="Q76" s="113"/>
    </row>
    <row r="77" spans="2:17" customFormat="1">
      <c r="B77" s="229">
        <v>104</v>
      </c>
      <c r="C77" s="6">
        <v>2175</v>
      </c>
      <c r="D77" s="1">
        <v>70</v>
      </c>
      <c r="E77" s="27" t="s">
        <v>47</v>
      </c>
      <c r="F77" s="6" t="s">
        <v>51</v>
      </c>
      <c r="G77" s="7">
        <v>2510</v>
      </c>
      <c r="H77">
        <v>300</v>
      </c>
      <c r="I77">
        <v>30</v>
      </c>
      <c r="J77">
        <v>16.967933199999997</v>
      </c>
      <c r="K77">
        <v>1.1877553239999998</v>
      </c>
      <c r="L77">
        <v>120</v>
      </c>
      <c r="M77">
        <v>15</v>
      </c>
      <c r="N77">
        <v>16.842087706252034</v>
      </c>
      <c r="O77">
        <v>1.1789461394376424</v>
      </c>
      <c r="P77" s="139">
        <v>46211</v>
      </c>
      <c r="Q77" s="113"/>
    </row>
    <row r="78" spans="2:17" customFormat="1">
      <c r="B78" s="229">
        <v>104</v>
      </c>
      <c r="C78" s="6">
        <v>2175</v>
      </c>
      <c r="D78" s="1">
        <v>70</v>
      </c>
      <c r="E78" s="27" t="s">
        <v>47</v>
      </c>
      <c r="F78" s="6" t="s">
        <v>51</v>
      </c>
      <c r="G78" s="7">
        <v>2560</v>
      </c>
      <c r="H78">
        <v>300</v>
      </c>
      <c r="I78">
        <v>20</v>
      </c>
      <c r="J78">
        <v>17.3012832</v>
      </c>
      <c r="K78">
        <v>1.2110898240000001</v>
      </c>
      <c r="L78">
        <v>120</v>
      </c>
      <c r="M78">
        <v>15</v>
      </c>
      <c r="N78">
        <v>17.172965360631245</v>
      </c>
      <c r="O78">
        <v>1.2021075752441872</v>
      </c>
      <c r="P78" s="139">
        <v>46211</v>
      </c>
      <c r="Q78" s="113"/>
    </row>
    <row r="79" spans="2:17" customFormat="1">
      <c r="B79" s="229">
        <v>104</v>
      </c>
      <c r="C79" s="6">
        <v>2175</v>
      </c>
      <c r="D79" s="1">
        <v>70</v>
      </c>
      <c r="E79" s="27" t="s">
        <v>47</v>
      </c>
      <c r="F79" s="6" t="s">
        <v>51</v>
      </c>
      <c r="G79" s="7">
        <v>2640</v>
      </c>
      <c r="H79">
        <v>300</v>
      </c>
      <c r="I79">
        <v>10</v>
      </c>
      <c r="J79">
        <v>17.834643200000002</v>
      </c>
      <c r="K79">
        <v>1.2484250240000003</v>
      </c>
      <c r="L79">
        <v>120</v>
      </c>
      <c r="M79">
        <v>15</v>
      </c>
      <c r="N79">
        <v>17.702369607637984</v>
      </c>
      <c r="O79">
        <v>1.2391658725346588</v>
      </c>
      <c r="P79" s="139">
        <v>46211</v>
      </c>
      <c r="Q79" s="113"/>
    </row>
    <row r="80" spans="2:17" customFormat="1">
      <c r="B80" s="229">
        <v>104</v>
      </c>
      <c r="C80" s="6">
        <v>2175</v>
      </c>
      <c r="D80" s="1">
        <v>80</v>
      </c>
      <c r="E80" s="5" t="s">
        <v>0</v>
      </c>
      <c r="F80" s="6" t="s">
        <v>267</v>
      </c>
      <c r="G80" s="7">
        <v>11650</v>
      </c>
      <c r="H80" s="110">
        <v>3300</v>
      </c>
      <c r="I80" s="6">
        <v>100</v>
      </c>
      <c r="J80">
        <v>11.172330000000001</v>
      </c>
      <c r="K80">
        <v>0.89378640000000009</v>
      </c>
      <c r="L80">
        <v>90</v>
      </c>
      <c r="M80">
        <v>-30</v>
      </c>
      <c r="N80">
        <v>11.339914949999999</v>
      </c>
      <c r="O80">
        <v>0.90719319599999992</v>
      </c>
      <c r="P80" s="139">
        <v>46023</v>
      </c>
      <c r="Q80" s="113"/>
    </row>
    <row r="81" spans="2:17" customFormat="1">
      <c r="B81" s="229">
        <v>104</v>
      </c>
      <c r="C81" s="6">
        <v>2175</v>
      </c>
      <c r="D81" s="1">
        <v>80</v>
      </c>
      <c r="E81" s="5" t="s">
        <v>0</v>
      </c>
      <c r="F81" s="6" t="s">
        <v>51</v>
      </c>
      <c r="G81" s="7">
        <v>1730</v>
      </c>
      <c r="H81" s="110">
        <v>400</v>
      </c>
      <c r="I81">
        <v>100</v>
      </c>
      <c r="J81">
        <v>12.84756</v>
      </c>
      <c r="K81">
        <v>1.0278048</v>
      </c>
      <c r="L81">
        <v>90</v>
      </c>
      <c r="M81">
        <v>-30</v>
      </c>
      <c r="N81">
        <v>13.040273399999998</v>
      </c>
      <c r="O81">
        <v>1.0432218719999999</v>
      </c>
      <c r="P81" s="139">
        <v>45717</v>
      </c>
      <c r="Q81" s="113"/>
    </row>
    <row r="82" spans="2:17" customFormat="1">
      <c r="B82" s="229">
        <v>104</v>
      </c>
      <c r="C82" s="6" t="s">
        <v>481</v>
      </c>
      <c r="Q82" s="113"/>
    </row>
    <row r="83" spans="2:17" customFormat="1">
      <c r="B83" s="229">
        <v>104</v>
      </c>
      <c r="C83" s="6">
        <v>1550</v>
      </c>
      <c r="D83" s="1">
        <v>78</v>
      </c>
      <c r="E83" s="5" t="s">
        <v>108</v>
      </c>
      <c r="F83" s="6" t="s">
        <v>51</v>
      </c>
      <c r="G83" s="7">
        <v>1850</v>
      </c>
      <c r="H83">
        <v>500</v>
      </c>
      <c r="I83">
        <v>80</v>
      </c>
      <c r="J83">
        <v>12.567713200000002</v>
      </c>
      <c r="K83">
        <v>0.9802816296000002</v>
      </c>
      <c r="L83">
        <v>30</v>
      </c>
      <c r="M83">
        <v>-75</v>
      </c>
      <c r="N83">
        <v>13.044317679274267</v>
      </c>
      <c r="O83">
        <v>1.0174567789833928</v>
      </c>
      <c r="P83" s="139">
        <v>46211</v>
      </c>
      <c r="Q83" s="113"/>
    </row>
    <row r="84" spans="2:17" customFormat="1">
      <c r="B84" s="229">
        <v>128</v>
      </c>
      <c r="C84" s="6">
        <v>1860</v>
      </c>
      <c r="D84" s="1">
        <v>65</v>
      </c>
      <c r="E84" s="27" t="s">
        <v>3</v>
      </c>
      <c r="F84" s="6" t="s">
        <v>267</v>
      </c>
      <c r="G84" s="7">
        <v>12100</v>
      </c>
      <c r="H84">
        <v>3300</v>
      </c>
      <c r="I84" s="6">
        <v>100</v>
      </c>
      <c r="J84">
        <v>11.557079999999999</v>
      </c>
      <c r="K84">
        <v>0.75121019999999994</v>
      </c>
      <c r="L84">
        <v>90</v>
      </c>
      <c r="M84">
        <v>-30</v>
      </c>
      <c r="N84">
        <v>11.730436199999998</v>
      </c>
      <c r="O84">
        <v>0.76247835299999989</v>
      </c>
      <c r="P84" s="139">
        <v>45809</v>
      </c>
      <c r="Q84" s="113"/>
    </row>
    <row r="85" spans="2:17" customFormat="1">
      <c r="B85" s="229">
        <v>128</v>
      </c>
      <c r="C85" s="6">
        <v>1870</v>
      </c>
      <c r="D85" s="1">
        <v>65</v>
      </c>
      <c r="E85" s="27" t="s">
        <v>3</v>
      </c>
      <c r="F85" s="6" t="s">
        <v>267</v>
      </c>
      <c r="G85" s="7">
        <v>12100</v>
      </c>
      <c r="H85" s="110">
        <v>3300</v>
      </c>
      <c r="I85" s="6">
        <v>100</v>
      </c>
      <c r="J85">
        <v>11.557079999999999</v>
      </c>
      <c r="K85">
        <v>0.75121019999999994</v>
      </c>
      <c r="L85">
        <v>90</v>
      </c>
      <c r="M85">
        <v>-30</v>
      </c>
      <c r="N85">
        <v>11.730436199999998</v>
      </c>
      <c r="O85">
        <v>0.76247835299999989</v>
      </c>
      <c r="P85" s="139">
        <v>45809</v>
      </c>
      <c r="Q85" s="113"/>
    </row>
    <row r="86" spans="2:17" customFormat="1">
      <c r="B86" s="229">
        <v>128</v>
      </c>
      <c r="C86" s="6">
        <v>1870</v>
      </c>
      <c r="D86" s="1">
        <v>65</v>
      </c>
      <c r="E86" s="27" t="s">
        <v>3</v>
      </c>
      <c r="F86" s="6" t="s">
        <v>51</v>
      </c>
      <c r="G86" s="7">
        <v>1600</v>
      </c>
      <c r="H86" s="110">
        <v>400</v>
      </c>
      <c r="I86">
        <v>100</v>
      </c>
      <c r="J86">
        <v>11.973180000000001</v>
      </c>
      <c r="K86">
        <v>0.77825670000000013</v>
      </c>
      <c r="L86">
        <v>90</v>
      </c>
      <c r="M86">
        <v>-30</v>
      </c>
      <c r="N86">
        <v>12.1527777</v>
      </c>
      <c r="O86">
        <v>0.78993055049999994</v>
      </c>
      <c r="P86" s="139">
        <v>45444</v>
      </c>
      <c r="Q86" s="113"/>
    </row>
    <row r="87" spans="2:17" customFormat="1">
      <c r="B87" s="229">
        <v>128</v>
      </c>
      <c r="C87" s="6">
        <v>1870</v>
      </c>
      <c r="D87" s="1">
        <v>65</v>
      </c>
      <c r="E87" s="5" t="s">
        <v>0</v>
      </c>
      <c r="F87" s="6" t="s">
        <v>267</v>
      </c>
      <c r="G87" s="7">
        <v>10950</v>
      </c>
      <c r="H87" s="110">
        <v>3300</v>
      </c>
      <c r="I87" s="6">
        <v>100</v>
      </c>
      <c r="J87">
        <v>10.573829999999997</v>
      </c>
      <c r="K87">
        <v>0.68729894999999985</v>
      </c>
      <c r="L87">
        <v>90</v>
      </c>
      <c r="M87">
        <v>-30</v>
      </c>
      <c r="N87">
        <v>10.732437449999995</v>
      </c>
      <c r="O87">
        <v>0.69760843424999963</v>
      </c>
      <c r="P87" s="139">
        <v>46023</v>
      </c>
      <c r="Q87" s="113"/>
    </row>
    <row r="88" spans="2:17" customFormat="1">
      <c r="B88" s="229">
        <v>128</v>
      </c>
      <c r="C88" s="6">
        <v>1870</v>
      </c>
      <c r="D88" s="1">
        <v>65</v>
      </c>
      <c r="E88" s="5" t="s">
        <v>0</v>
      </c>
      <c r="F88" s="6" t="s">
        <v>51</v>
      </c>
      <c r="G88" s="7">
        <v>1620</v>
      </c>
      <c r="H88" s="110">
        <v>400</v>
      </c>
      <c r="I88">
        <v>100</v>
      </c>
      <c r="J88">
        <v>12.107700000000003</v>
      </c>
      <c r="K88">
        <v>0.78700050000000021</v>
      </c>
      <c r="L88">
        <v>90</v>
      </c>
      <c r="M88">
        <v>-30</v>
      </c>
      <c r="N88">
        <v>12.289315500000003</v>
      </c>
      <c r="O88">
        <v>0.79880550750000012</v>
      </c>
      <c r="P88" s="139">
        <v>45717</v>
      </c>
      <c r="Q88" s="113"/>
    </row>
    <row r="89" spans="2:17" customFormat="1">
      <c r="B89" s="229">
        <v>128</v>
      </c>
      <c r="C89" s="6">
        <v>1870</v>
      </c>
      <c r="D89" s="1">
        <v>65</v>
      </c>
      <c r="E89" s="27" t="s">
        <v>240</v>
      </c>
      <c r="F89" s="6" t="s">
        <v>267</v>
      </c>
      <c r="G89" s="7">
        <v>11500</v>
      </c>
      <c r="H89" s="110">
        <v>3300</v>
      </c>
      <c r="I89" s="6" t="s">
        <v>481</v>
      </c>
      <c r="J89">
        <v>11.044079999999999</v>
      </c>
      <c r="K89">
        <v>0.71786519999999998</v>
      </c>
      <c r="L89">
        <v>90</v>
      </c>
      <c r="M89">
        <v>-30</v>
      </c>
      <c r="N89">
        <v>11.209741199999998</v>
      </c>
      <c r="O89">
        <v>0.72863317799999983</v>
      </c>
      <c r="P89" s="139">
        <v>46023</v>
      </c>
      <c r="Q89" s="113"/>
    </row>
    <row r="90" spans="2:17" customFormat="1">
      <c r="B90" s="229">
        <v>128</v>
      </c>
      <c r="C90" s="6">
        <v>2175</v>
      </c>
      <c r="D90" s="1">
        <v>65</v>
      </c>
      <c r="E90" s="5" t="s">
        <v>0</v>
      </c>
      <c r="F90" s="6" t="s">
        <v>267</v>
      </c>
      <c r="G90" s="7">
        <v>10950</v>
      </c>
      <c r="H90" s="110">
        <v>3300</v>
      </c>
      <c r="I90" s="6">
        <v>100</v>
      </c>
      <c r="J90">
        <v>10.573829999999997</v>
      </c>
      <c r="K90">
        <v>0.68729894999999985</v>
      </c>
      <c r="L90">
        <v>90</v>
      </c>
      <c r="M90">
        <v>-30</v>
      </c>
      <c r="N90">
        <v>10.732437449999995</v>
      </c>
      <c r="O90">
        <v>0.69760843424999963</v>
      </c>
      <c r="P90" s="139">
        <v>46023</v>
      </c>
      <c r="Q90" s="113"/>
    </row>
    <row r="91" spans="2:17" customFormat="1">
      <c r="B91" s="229">
        <v>128</v>
      </c>
      <c r="C91" s="6" t="s">
        <v>481</v>
      </c>
      <c r="Q91" s="113"/>
    </row>
    <row r="92" spans="2:17" customFormat="1">
      <c r="B92" s="229">
        <v>244</v>
      </c>
      <c r="C92" s="6">
        <v>1270</v>
      </c>
      <c r="D92" s="1">
        <v>65</v>
      </c>
      <c r="E92" s="5" t="s">
        <v>108</v>
      </c>
      <c r="F92" s="6" t="s">
        <v>51</v>
      </c>
      <c r="G92" s="7">
        <v>2470</v>
      </c>
      <c r="H92">
        <v>500</v>
      </c>
      <c r="I92">
        <v>50</v>
      </c>
      <c r="J92">
        <v>16.7012532</v>
      </c>
      <c r="K92">
        <v>1.0855814579999998</v>
      </c>
      <c r="L92">
        <v>30</v>
      </c>
      <c r="M92">
        <v>-75</v>
      </c>
      <c r="N92">
        <v>17.33461361791705</v>
      </c>
      <c r="O92">
        <v>1.1267498851646083</v>
      </c>
      <c r="P92" s="139">
        <v>46211</v>
      </c>
      <c r="Q92" s="113"/>
    </row>
    <row r="93" spans="2:17" customFormat="1">
      <c r="B93" s="229">
        <v>244</v>
      </c>
      <c r="C93" s="6">
        <v>1270</v>
      </c>
      <c r="D93" s="1">
        <v>65</v>
      </c>
      <c r="E93" s="5" t="s">
        <v>108</v>
      </c>
      <c r="F93" s="6" t="s">
        <v>51</v>
      </c>
      <c r="G93" s="7">
        <v>2770</v>
      </c>
      <c r="H93">
        <v>500</v>
      </c>
      <c r="I93">
        <v>20</v>
      </c>
      <c r="J93">
        <v>18.7013532</v>
      </c>
      <c r="K93">
        <v>1.215587958</v>
      </c>
      <c r="L93">
        <v>30</v>
      </c>
      <c r="M93">
        <v>-75</v>
      </c>
      <c r="N93">
        <v>19.410563265647433</v>
      </c>
      <c r="O93">
        <v>1.2616866122670831</v>
      </c>
      <c r="P93" s="139">
        <v>46211</v>
      </c>
      <c r="Q93" s="113"/>
    </row>
    <row r="94" spans="2:17" customFormat="1">
      <c r="B94" s="229">
        <v>244</v>
      </c>
      <c r="C94" s="6">
        <v>1270</v>
      </c>
      <c r="D94" s="1">
        <v>65</v>
      </c>
      <c r="E94" s="5" t="s">
        <v>108</v>
      </c>
      <c r="F94" s="6" t="s">
        <v>51</v>
      </c>
      <c r="G94" s="7">
        <v>2270</v>
      </c>
      <c r="H94">
        <v>500</v>
      </c>
      <c r="I94">
        <v>80</v>
      </c>
      <c r="J94">
        <v>15.367853200000001</v>
      </c>
      <c r="K94">
        <v>0.998910458</v>
      </c>
      <c r="L94">
        <v>30</v>
      </c>
      <c r="M94">
        <v>-75</v>
      </c>
      <c r="N94">
        <v>15.950647186096798</v>
      </c>
      <c r="O94">
        <v>1.036792067096292</v>
      </c>
      <c r="P94" s="139">
        <v>46211</v>
      </c>
      <c r="Q94" s="113"/>
    </row>
    <row r="95" spans="2:17" customFormat="1">
      <c r="B95" s="229">
        <v>244</v>
      </c>
      <c r="C95" s="6">
        <v>1870</v>
      </c>
      <c r="D95" s="1">
        <v>65</v>
      </c>
      <c r="E95" s="27" t="s">
        <v>3</v>
      </c>
      <c r="F95" s="6" t="s">
        <v>267</v>
      </c>
      <c r="G95" s="7">
        <v>13500</v>
      </c>
      <c r="H95" s="110">
        <v>3300</v>
      </c>
      <c r="I95" s="6">
        <v>100</v>
      </c>
      <c r="J95">
        <v>12.75408</v>
      </c>
      <c r="K95">
        <v>0.82901519999999995</v>
      </c>
      <c r="L95">
        <v>90</v>
      </c>
      <c r="M95">
        <v>-30</v>
      </c>
      <c r="N95">
        <v>12.9453912</v>
      </c>
      <c r="O95">
        <v>0.84145042800000003</v>
      </c>
      <c r="P95" s="139">
        <v>45809</v>
      </c>
      <c r="Q95" s="113"/>
    </row>
    <row r="96" spans="2:17" customFormat="1">
      <c r="B96" s="229">
        <v>244</v>
      </c>
      <c r="C96" s="6">
        <v>1870</v>
      </c>
      <c r="D96" s="1">
        <v>65</v>
      </c>
      <c r="E96" s="27" t="s">
        <v>3</v>
      </c>
      <c r="F96" s="6" t="s">
        <v>51</v>
      </c>
      <c r="G96" s="7">
        <v>1800</v>
      </c>
      <c r="H96" s="110">
        <v>400</v>
      </c>
      <c r="I96">
        <v>100</v>
      </c>
      <c r="J96">
        <v>13.318380000000001</v>
      </c>
      <c r="K96">
        <v>0.86569470000000004</v>
      </c>
      <c r="L96">
        <v>90</v>
      </c>
      <c r="M96">
        <v>-30</v>
      </c>
      <c r="N96">
        <v>13.518155699999999</v>
      </c>
      <c r="O96">
        <v>0.87868012049999999</v>
      </c>
      <c r="P96" s="139">
        <v>45323</v>
      </c>
      <c r="Q96" s="113"/>
    </row>
    <row r="97" spans="2:17" customFormat="1">
      <c r="B97" s="229">
        <v>244</v>
      </c>
      <c r="C97" s="6">
        <v>1870</v>
      </c>
      <c r="D97" s="1">
        <v>65</v>
      </c>
      <c r="E97" s="27" t="s">
        <v>2</v>
      </c>
      <c r="F97" t="s">
        <v>51</v>
      </c>
      <c r="G97" s="7">
        <v>2320</v>
      </c>
      <c r="H97" t="s">
        <v>481</v>
      </c>
      <c r="I97">
        <v>50</v>
      </c>
      <c r="J97">
        <v>15.524203200000001</v>
      </c>
      <c r="K97">
        <v>1.009073208</v>
      </c>
      <c r="L97">
        <v>120</v>
      </c>
      <c r="M97">
        <v>15</v>
      </c>
      <c r="N97">
        <v>15.409065369498185</v>
      </c>
      <c r="O97">
        <v>1.0015892490173821</v>
      </c>
      <c r="P97" s="139">
        <v>46211</v>
      </c>
      <c r="Q97" s="113"/>
    </row>
    <row r="98" spans="2:17" customFormat="1">
      <c r="B98" s="229">
        <v>244</v>
      </c>
      <c r="C98" s="6">
        <v>1870</v>
      </c>
      <c r="D98" s="1">
        <v>65</v>
      </c>
      <c r="E98" s="27" t="s">
        <v>2</v>
      </c>
      <c r="F98" t="s">
        <v>51</v>
      </c>
      <c r="G98" s="7">
        <v>2370</v>
      </c>
      <c r="H98" s="7" t="s">
        <v>481</v>
      </c>
      <c r="I98">
        <v>30</v>
      </c>
      <c r="J98">
        <v>15.857553200000003</v>
      </c>
      <c r="K98">
        <v>1.0307409580000002</v>
      </c>
      <c r="L98">
        <v>120</v>
      </c>
      <c r="M98">
        <v>15</v>
      </c>
      <c r="N98">
        <v>15.739943023877396</v>
      </c>
      <c r="O98">
        <v>1.0230962965520307</v>
      </c>
      <c r="P98" s="139">
        <v>46211</v>
      </c>
      <c r="Q98" s="113"/>
    </row>
    <row r="99" spans="2:17" customFormat="1">
      <c r="B99" s="229">
        <v>244</v>
      </c>
      <c r="C99" s="6">
        <v>1870</v>
      </c>
      <c r="D99" s="1">
        <v>65</v>
      </c>
      <c r="E99" s="27" t="s">
        <v>2</v>
      </c>
      <c r="F99" t="s">
        <v>51</v>
      </c>
      <c r="G99" s="7">
        <v>2270</v>
      </c>
      <c r="H99" t="s">
        <v>481</v>
      </c>
      <c r="I99">
        <v>100</v>
      </c>
      <c r="J99">
        <v>15.190853200000001</v>
      </c>
      <c r="K99">
        <v>0.98740545800000012</v>
      </c>
      <c r="L99">
        <v>120</v>
      </c>
      <c r="M99">
        <v>15</v>
      </c>
      <c r="N99">
        <v>15.078187715118975</v>
      </c>
      <c r="O99">
        <v>0.9800822014827334</v>
      </c>
      <c r="P99" s="139">
        <v>46211</v>
      </c>
      <c r="Q99" s="113"/>
    </row>
    <row r="100" spans="2:17" customFormat="1">
      <c r="B100" s="229">
        <v>244</v>
      </c>
      <c r="C100" s="6">
        <v>1870</v>
      </c>
      <c r="D100" s="1">
        <v>65</v>
      </c>
      <c r="E100" s="27" t="s">
        <v>2</v>
      </c>
      <c r="F100" t="s">
        <v>51</v>
      </c>
      <c r="G100" s="7">
        <v>2290</v>
      </c>
      <c r="H100" t="s">
        <v>481</v>
      </c>
      <c r="I100">
        <v>70</v>
      </c>
      <c r="J100">
        <v>15.324193200000002</v>
      </c>
      <c r="K100">
        <v>0.99607255800000005</v>
      </c>
      <c r="L100">
        <v>120</v>
      </c>
      <c r="M100">
        <v>15</v>
      </c>
      <c r="N100">
        <v>15.21053877687066</v>
      </c>
      <c r="O100">
        <v>0.9886850204965929</v>
      </c>
      <c r="P100" s="139">
        <v>46211</v>
      </c>
      <c r="Q100" s="113"/>
    </row>
    <row r="101" spans="2:17" customFormat="1">
      <c r="B101" s="229">
        <v>244</v>
      </c>
      <c r="C101" s="6">
        <v>1870</v>
      </c>
      <c r="D101" s="1">
        <v>65</v>
      </c>
      <c r="E101" s="5" t="s">
        <v>108</v>
      </c>
      <c r="F101" s="6" t="s">
        <v>51</v>
      </c>
      <c r="G101" s="7">
        <v>2770</v>
      </c>
      <c r="H101">
        <v>500</v>
      </c>
      <c r="I101">
        <v>20</v>
      </c>
      <c r="J101">
        <v>18.7013532</v>
      </c>
      <c r="K101">
        <v>1.215587958</v>
      </c>
      <c r="L101">
        <v>30</v>
      </c>
      <c r="M101">
        <v>-75</v>
      </c>
      <c r="N101">
        <v>19.410563265647433</v>
      </c>
      <c r="O101">
        <v>1.2616866122670831</v>
      </c>
      <c r="P101" s="139">
        <v>46211</v>
      </c>
      <c r="Q101" s="113"/>
    </row>
    <row r="102" spans="2:17" customFormat="1">
      <c r="B102" s="229">
        <v>244</v>
      </c>
      <c r="C102" s="6">
        <v>1870</v>
      </c>
      <c r="D102" s="1">
        <v>65</v>
      </c>
      <c r="E102" s="5" t="s">
        <v>108</v>
      </c>
      <c r="F102" s="6" t="s">
        <v>51</v>
      </c>
      <c r="G102" s="7">
        <v>2070</v>
      </c>
      <c r="H102">
        <v>500</v>
      </c>
      <c r="I102">
        <v>80</v>
      </c>
      <c r="J102">
        <v>14.0344532</v>
      </c>
      <c r="K102">
        <v>0.91223945799999995</v>
      </c>
      <c r="L102">
        <v>30</v>
      </c>
      <c r="M102">
        <v>-75</v>
      </c>
      <c r="N102">
        <v>14.566680754276543</v>
      </c>
      <c r="O102">
        <v>0.94683424902797531</v>
      </c>
      <c r="P102" s="139">
        <v>46211</v>
      </c>
      <c r="Q102" s="113"/>
    </row>
    <row r="103" spans="2:17" customFormat="1">
      <c r="B103" s="229">
        <v>244</v>
      </c>
      <c r="C103" s="6">
        <v>1870</v>
      </c>
      <c r="D103" s="1">
        <v>65</v>
      </c>
      <c r="E103" s="5" t="s">
        <v>108</v>
      </c>
      <c r="F103" s="6" t="s">
        <v>51</v>
      </c>
      <c r="G103" s="7">
        <v>2270</v>
      </c>
      <c r="H103">
        <v>500</v>
      </c>
      <c r="I103">
        <v>50</v>
      </c>
      <c r="J103">
        <v>15.367853200000001</v>
      </c>
      <c r="K103">
        <v>0.998910458</v>
      </c>
      <c r="L103">
        <v>30</v>
      </c>
      <c r="M103">
        <v>-75</v>
      </c>
      <c r="N103">
        <v>15.950647186096798</v>
      </c>
      <c r="O103">
        <v>1.036792067096292</v>
      </c>
      <c r="P103" s="139">
        <v>46211</v>
      </c>
      <c r="Q103" s="113"/>
    </row>
    <row r="104" spans="2:17" customFormat="1">
      <c r="B104" s="229">
        <v>244</v>
      </c>
      <c r="C104" s="6">
        <v>1870</v>
      </c>
      <c r="D104" s="1">
        <v>65</v>
      </c>
      <c r="E104" s="5" t="s">
        <v>0</v>
      </c>
      <c r="F104" s="6" t="s">
        <v>267</v>
      </c>
      <c r="G104" s="7">
        <v>13000</v>
      </c>
      <c r="H104" s="110">
        <v>3300</v>
      </c>
      <c r="I104" s="6">
        <v>100</v>
      </c>
      <c r="J104">
        <v>12.32658</v>
      </c>
      <c r="K104">
        <v>0.80122769999999999</v>
      </c>
      <c r="L104">
        <v>90</v>
      </c>
      <c r="M104">
        <v>-30</v>
      </c>
      <c r="N104">
        <v>12.511478699999998</v>
      </c>
      <c r="O104">
        <v>0.81324611549999992</v>
      </c>
      <c r="P104" s="139">
        <v>45992</v>
      </c>
      <c r="Q104" s="113"/>
    </row>
    <row r="105" spans="2:17" customFormat="1">
      <c r="B105" s="229">
        <v>244</v>
      </c>
      <c r="C105" s="6" t="s">
        <v>481</v>
      </c>
      <c r="Q105" s="113"/>
    </row>
    <row r="106" spans="2:17" customFormat="1">
      <c r="B106" s="229">
        <v>248</v>
      </c>
      <c r="C106" s="6">
        <v>1270</v>
      </c>
      <c r="D106" s="1">
        <v>65</v>
      </c>
      <c r="E106" s="27" t="s">
        <v>3</v>
      </c>
      <c r="F106" s="6" t="s">
        <v>51</v>
      </c>
      <c r="G106" s="7">
        <v>1530</v>
      </c>
      <c r="H106" s="110">
        <v>400</v>
      </c>
      <c r="I106" s="6">
        <v>100</v>
      </c>
      <c r="J106">
        <v>11.502360000000001</v>
      </c>
      <c r="K106">
        <v>0.74765340000000013</v>
      </c>
      <c r="L106">
        <v>90</v>
      </c>
      <c r="M106">
        <v>-30</v>
      </c>
      <c r="N106">
        <v>11.6748954</v>
      </c>
      <c r="O106">
        <v>0.75886820100000008</v>
      </c>
      <c r="P106" s="139">
        <v>45809</v>
      </c>
      <c r="Q106" s="113"/>
    </row>
    <row r="107" spans="2:17" customFormat="1">
      <c r="B107" s="229">
        <v>248</v>
      </c>
      <c r="C107" s="6">
        <v>1270</v>
      </c>
      <c r="D107" s="1">
        <v>65</v>
      </c>
      <c r="E107" s="5" t="s">
        <v>108</v>
      </c>
      <c r="F107" s="6" t="s">
        <v>51</v>
      </c>
      <c r="G107" s="7">
        <v>3430</v>
      </c>
      <c r="H107">
        <v>500</v>
      </c>
      <c r="I107">
        <v>20</v>
      </c>
      <c r="J107">
        <v>23.101573200000001</v>
      </c>
      <c r="K107">
        <v>1.5016022579999999</v>
      </c>
      <c r="L107">
        <v>30</v>
      </c>
      <c r="M107">
        <v>-75</v>
      </c>
      <c r="N107">
        <v>23.977652490654272</v>
      </c>
      <c r="O107">
        <v>1.5585474118925278</v>
      </c>
      <c r="P107" s="139">
        <v>46211</v>
      </c>
      <c r="Q107" s="113"/>
    </row>
    <row r="108" spans="2:17" customFormat="1">
      <c r="B108" s="229">
        <v>248</v>
      </c>
      <c r="C108" s="6">
        <v>1270</v>
      </c>
      <c r="D108" s="1">
        <v>65</v>
      </c>
      <c r="E108" s="5" t="s">
        <v>108</v>
      </c>
      <c r="F108" s="6" t="s">
        <v>51</v>
      </c>
      <c r="G108" s="7">
        <v>2730</v>
      </c>
      <c r="H108">
        <v>500</v>
      </c>
      <c r="I108">
        <v>80</v>
      </c>
      <c r="J108">
        <v>18.434673199999999</v>
      </c>
      <c r="K108">
        <v>1.1982537579999999</v>
      </c>
      <c r="L108">
        <v>30</v>
      </c>
      <c r="M108">
        <v>-75</v>
      </c>
      <c r="N108">
        <v>19.133769979283379</v>
      </c>
      <c r="O108">
        <v>1.2436950486534195</v>
      </c>
      <c r="P108" s="139">
        <v>46211</v>
      </c>
      <c r="Q108" s="113"/>
    </row>
    <row r="109" spans="2:17" customFormat="1">
      <c r="B109" s="229">
        <v>248</v>
      </c>
      <c r="C109" s="6">
        <v>1270</v>
      </c>
      <c r="D109" s="1">
        <v>65</v>
      </c>
      <c r="E109" s="5" t="s">
        <v>108</v>
      </c>
      <c r="F109" s="6" t="s">
        <v>51</v>
      </c>
      <c r="G109" s="7">
        <v>2930</v>
      </c>
      <c r="H109">
        <v>500</v>
      </c>
      <c r="I109">
        <v>50</v>
      </c>
      <c r="J109">
        <v>19.768073200000003</v>
      </c>
      <c r="K109">
        <v>1.2849247580000003</v>
      </c>
      <c r="L109">
        <v>30</v>
      </c>
      <c r="M109">
        <v>-75</v>
      </c>
      <c r="N109">
        <v>20.517736411103638</v>
      </c>
      <c r="O109">
        <v>1.3336528667217364</v>
      </c>
      <c r="P109" s="139">
        <v>46211</v>
      </c>
      <c r="Q109" s="113"/>
    </row>
    <row r="110" spans="2:17" customFormat="1">
      <c r="B110" s="229">
        <v>248</v>
      </c>
      <c r="C110" s="6">
        <v>1870</v>
      </c>
      <c r="D110" s="1">
        <v>65</v>
      </c>
      <c r="E110" s="27" t="s">
        <v>3</v>
      </c>
      <c r="F110" s="6" t="s">
        <v>267</v>
      </c>
      <c r="G110" s="7">
        <v>12300</v>
      </c>
      <c r="H110" s="110">
        <v>3300</v>
      </c>
      <c r="I110" s="6">
        <v>100</v>
      </c>
      <c r="J110">
        <v>11.728080000000002</v>
      </c>
      <c r="K110">
        <v>0.76232520000000015</v>
      </c>
      <c r="L110">
        <v>90</v>
      </c>
      <c r="M110">
        <v>-30</v>
      </c>
      <c r="N110">
        <v>11.904001200000002</v>
      </c>
      <c r="O110">
        <v>0.77376007800000013</v>
      </c>
      <c r="P110" s="139">
        <v>46023</v>
      </c>
      <c r="Q110" s="113"/>
    </row>
    <row r="111" spans="2:17" customFormat="1">
      <c r="B111" s="229">
        <v>248</v>
      </c>
      <c r="C111" s="6">
        <v>1870</v>
      </c>
      <c r="D111" s="1">
        <v>65</v>
      </c>
      <c r="E111" s="27" t="s">
        <v>3</v>
      </c>
      <c r="F111" s="6" t="s">
        <v>51</v>
      </c>
      <c r="G111" s="7">
        <v>1530</v>
      </c>
      <c r="H111" s="110">
        <v>400</v>
      </c>
      <c r="I111" s="6">
        <v>100</v>
      </c>
      <c r="J111">
        <v>11.502360000000001</v>
      </c>
      <c r="K111">
        <v>0.74765340000000013</v>
      </c>
      <c r="L111">
        <v>90</v>
      </c>
      <c r="M111">
        <v>-30</v>
      </c>
      <c r="N111">
        <v>11.6748954</v>
      </c>
      <c r="O111">
        <v>0.75886820100000008</v>
      </c>
      <c r="P111" s="139">
        <v>45809</v>
      </c>
      <c r="Q111" s="113"/>
    </row>
    <row r="112" spans="2:17" customFormat="1">
      <c r="B112" s="229">
        <v>248</v>
      </c>
      <c r="C112" s="6">
        <v>1870</v>
      </c>
      <c r="D112" s="1">
        <v>65</v>
      </c>
      <c r="E112" s="27" t="s">
        <v>2</v>
      </c>
      <c r="F112" t="s">
        <v>51</v>
      </c>
      <c r="G112" s="7">
        <v>2350</v>
      </c>
      <c r="H112" t="s">
        <v>481</v>
      </c>
      <c r="I112">
        <v>100</v>
      </c>
      <c r="J112">
        <v>15.724213200000003</v>
      </c>
      <c r="K112">
        <v>1.0220738580000002</v>
      </c>
      <c r="L112">
        <v>120</v>
      </c>
      <c r="M112">
        <v>15</v>
      </c>
      <c r="N112">
        <v>15.607591962125712</v>
      </c>
      <c r="O112">
        <v>1.0144934775381713</v>
      </c>
      <c r="P112" s="139">
        <v>46174</v>
      </c>
      <c r="Q112" s="113"/>
    </row>
    <row r="113" spans="2:17" customFormat="1">
      <c r="B113" s="229">
        <v>248</v>
      </c>
      <c r="C113" s="6">
        <v>1870</v>
      </c>
      <c r="D113" s="1">
        <v>65</v>
      </c>
      <c r="E113" s="27" t="s">
        <v>2</v>
      </c>
      <c r="F113" t="s">
        <v>51</v>
      </c>
      <c r="G113" s="7">
        <v>2370</v>
      </c>
      <c r="H113" s="7" t="s">
        <v>481</v>
      </c>
      <c r="I113">
        <v>70</v>
      </c>
      <c r="J113">
        <v>15.857553200000003</v>
      </c>
      <c r="K113">
        <v>1.0307409580000002</v>
      </c>
      <c r="L113">
        <v>120</v>
      </c>
      <c r="M113">
        <v>15</v>
      </c>
      <c r="N113">
        <v>15.739943023877396</v>
      </c>
      <c r="O113">
        <v>1.0230962965520307</v>
      </c>
      <c r="P113" s="139">
        <v>46174</v>
      </c>
      <c r="Q113" s="113"/>
    </row>
    <row r="114" spans="2:17" customFormat="1">
      <c r="B114" s="229">
        <v>248</v>
      </c>
      <c r="C114" s="6">
        <v>1870</v>
      </c>
      <c r="D114" s="1">
        <v>65</v>
      </c>
      <c r="E114" s="27" t="s">
        <v>2</v>
      </c>
      <c r="F114" t="s">
        <v>51</v>
      </c>
      <c r="G114" s="7">
        <v>2400</v>
      </c>
      <c r="H114" t="s">
        <v>481</v>
      </c>
      <c r="I114">
        <v>50</v>
      </c>
      <c r="J114">
        <v>16.057563200000001</v>
      </c>
      <c r="K114">
        <v>1.0437416079999999</v>
      </c>
      <c r="L114">
        <v>120</v>
      </c>
      <c r="M114">
        <v>15</v>
      </c>
      <c r="N114">
        <v>15.93846961650492</v>
      </c>
      <c r="O114">
        <v>1.0360005250728199</v>
      </c>
      <c r="P114" s="139">
        <v>46174</v>
      </c>
      <c r="Q114" s="113"/>
    </row>
    <row r="115" spans="2:17" customFormat="1">
      <c r="B115" s="229">
        <v>248</v>
      </c>
      <c r="C115" s="6">
        <v>1870</v>
      </c>
      <c r="D115" s="1">
        <v>65</v>
      </c>
      <c r="E115" s="27" t="s">
        <v>2</v>
      </c>
      <c r="F115" t="s">
        <v>51</v>
      </c>
      <c r="G115" s="7">
        <v>2450</v>
      </c>
      <c r="H115" t="s">
        <v>481</v>
      </c>
      <c r="I115">
        <v>30</v>
      </c>
      <c r="J115">
        <v>16.3909132</v>
      </c>
      <c r="K115">
        <v>1.0654093579999999</v>
      </c>
      <c r="L115">
        <v>120</v>
      </c>
      <c r="M115">
        <v>15</v>
      </c>
      <c r="N115">
        <v>16.269347270884129</v>
      </c>
      <c r="O115">
        <v>1.0575075726074683</v>
      </c>
      <c r="P115" s="139">
        <v>46174</v>
      </c>
      <c r="Q115" s="113"/>
    </row>
    <row r="116" spans="2:17" customFormat="1">
      <c r="B116" s="229">
        <v>248</v>
      </c>
      <c r="C116" s="6">
        <v>1870</v>
      </c>
      <c r="D116" s="1">
        <v>65</v>
      </c>
      <c r="E116" s="5" t="s">
        <v>108</v>
      </c>
      <c r="F116" s="6" t="s">
        <v>51</v>
      </c>
      <c r="G116" s="7">
        <v>2530</v>
      </c>
      <c r="H116">
        <v>500</v>
      </c>
      <c r="I116">
        <v>80</v>
      </c>
      <c r="J116">
        <v>17.101273199999998</v>
      </c>
      <c r="K116">
        <v>1.1115827579999999</v>
      </c>
      <c r="L116">
        <v>30</v>
      </c>
      <c r="M116">
        <v>-75</v>
      </c>
      <c r="N116">
        <v>17.749803547463127</v>
      </c>
      <c r="O116">
        <v>1.1537372305851032</v>
      </c>
      <c r="P116" s="139">
        <v>46211</v>
      </c>
      <c r="Q116" s="113"/>
    </row>
    <row r="117" spans="2:17" customFormat="1">
      <c r="B117" s="229">
        <v>248</v>
      </c>
      <c r="C117" s="6">
        <v>1870</v>
      </c>
      <c r="D117" s="1">
        <v>65</v>
      </c>
      <c r="E117" s="5" t="s">
        <v>108</v>
      </c>
      <c r="F117" s="6" t="s">
        <v>51</v>
      </c>
      <c r="G117" s="7">
        <v>2730</v>
      </c>
      <c r="H117">
        <v>500</v>
      </c>
      <c r="I117">
        <v>50</v>
      </c>
      <c r="J117">
        <v>18.434673199999999</v>
      </c>
      <c r="K117">
        <v>1.1982537579999999</v>
      </c>
      <c r="L117">
        <v>30</v>
      </c>
      <c r="M117">
        <v>-75</v>
      </c>
      <c r="N117">
        <v>19.133769979283379</v>
      </c>
      <c r="O117">
        <v>1.2436950486534195</v>
      </c>
      <c r="P117" s="139">
        <v>46211</v>
      </c>
      <c r="Q117" s="113"/>
    </row>
    <row r="118" spans="2:17" customFormat="1">
      <c r="B118" s="229">
        <v>248</v>
      </c>
      <c r="C118" s="6">
        <v>1870</v>
      </c>
      <c r="D118" s="1">
        <v>65</v>
      </c>
      <c r="E118" s="5" t="s">
        <v>108</v>
      </c>
      <c r="F118" s="6" t="s">
        <v>51</v>
      </c>
      <c r="G118" s="7">
        <v>3230</v>
      </c>
      <c r="H118">
        <v>500</v>
      </c>
      <c r="I118">
        <v>20</v>
      </c>
      <c r="J118">
        <v>21.7681732</v>
      </c>
      <c r="K118">
        <v>1.414931258</v>
      </c>
      <c r="L118">
        <v>30</v>
      </c>
      <c r="M118">
        <v>-75</v>
      </c>
      <c r="N118">
        <v>22.593686058834017</v>
      </c>
      <c r="O118">
        <v>1.4685895938242111</v>
      </c>
      <c r="P118" s="139">
        <v>46211</v>
      </c>
      <c r="Q118" s="113"/>
    </row>
    <row r="119" spans="2:17" customFormat="1">
      <c r="B119" s="229">
        <v>248</v>
      </c>
      <c r="C119" s="6">
        <v>1870</v>
      </c>
      <c r="D119" s="1">
        <v>65</v>
      </c>
      <c r="E119" s="5" t="s">
        <v>0</v>
      </c>
      <c r="F119" s="6" t="s">
        <v>51</v>
      </c>
      <c r="G119" s="7">
        <v>1800</v>
      </c>
      <c r="H119" s="110">
        <v>400</v>
      </c>
      <c r="I119" s="6">
        <v>100</v>
      </c>
      <c r="J119">
        <v>13.318380000000001</v>
      </c>
      <c r="K119">
        <v>0.86569470000000004</v>
      </c>
      <c r="L119">
        <v>90</v>
      </c>
      <c r="M119">
        <v>-30</v>
      </c>
      <c r="N119">
        <v>13.518155699999999</v>
      </c>
      <c r="O119">
        <v>0.87868012049999999</v>
      </c>
      <c r="P119" s="139">
        <v>45901</v>
      </c>
      <c r="Q119" s="113"/>
    </row>
    <row r="120" spans="2:17" customFormat="1">
      <c r="B120" s="229">
        <v>248</v>
      </c>
      <c r="C120" s="6" t="s">
        <v>481</v>
      </c>
      <c r="Q120" s="113"/>
    </row>
    <row r="121" spans="2:17" customFormat="1">
      <c r="B121" s="229">
        <v>301</v>
      </c>
      <c r="C121" s="6">
        <v>1270</v>
      </c>
      <c r="D121" s="1">
        <v>65</v>
      </c>
      <c r="E121" s="5" t="s">
        <v>108</v>
      </c>
      <c r="F121" s="6" t="s">
        <v>51</v>
      </c>
      <c r="G121" s="7">
        <v>2530</v>
      </c>
      <c r="H121">
        <v>500</v>
      </c>
      <c r="I121">
        <v>80</v>
      </c>
      <c r="J121">
        <v>17.101273199999998</v>
      </c>
      <c r="K121">
        <v>1.1115827579999999</v>
      </c>
      <c r="L121">
        <v>30</v>
      </c>
      <c r="M121">
        <v>-75</v>
      </c>
      <c r="N121">
        <v>17.749803547463127</v>
      </c>
      <c r="O121">
        <v>1.1537372305851032</v>
      </c>
      <c r="P121" s="139">
        <v>46211</v>
      </c>
      <c r="Q121" s="113"/>
    </row>
    <row r="122" spans="2:17" customFormat="1">
      <c r="B122" s="229">
        <v>301</v>
      </c>
      <c r="C122" s="6">
        <v>1270</v>
      </c>
      <c r="D122" s="1">
        <v>65</v>
      </c>
      <c r="E122" s="5" t="s">
        <v>108</v>
      </c>
      <c r="F122" s="6" t="s">
        <v>51</v>
      </c>
      <c r="G122" s="7">
        <v>2730</v>
      </c>
      <c r="H122">
        <v>500</v>
      </c>
      <c r="I122">
        <v>50</v>
      </c>
      <c r="J122">
        <v>18.434673199999999</v>
      </c>
      <c r="K122">
        <v>1.1982537579999999</v>
      </c>
      <c r="L122">
        <v>30</v>
      </c>
      <c r="M122">
        <v>-75</v>
      </c>
      <c r="N122">
        <v>19.133769979283379</v>
      </c>
      <c r="O122">
        <v>1.2436950486534195</v>
      </c>
      <c r="P122" s="139">
        <v>46211</v>
      </c>
      <c r="Q122" s="113"/>
    </row>
    <row r="123" spans="2:17" customFormat="1">
      <c r="B123" s="229">
        <v>301</v>
      </c>
      <c r="C123" s="6">
        <v>1270</v>
      </c>
      <c r="D123" s="1">
        <v>65</v>
      </c>
      <c r="E123" s="5" t="s">
        <v>108</v>
      </c>
      <c r="F123" s="6" t="s">
        <v>51</v>
      </c>
      <c r="G123" s="7">
        <v>3230</v>
      </c>
      <c r="H123">
        <v>500</v>
      </c>
      <c r="I123">
        <v>20</v>
      </c>
      <c r="J123">
        <v>21.7681732</v>
      </c>
      <c r="K123">
        <v>1.414931258</v>
      </c>
      <c r="L123">
        <v>30</v>
      </c>
      <c r="M123">
        <v>-75</v>
      </c>
      <c r="N123">
        <v>22.593686058834017</v>
      </c>
      <c r="O123">
        <v>1.4685895938242111</v>
      </c>
      <c r="P123" s="139">
        <v>46211</v>
      </c>
      <c r="Q123" s="113"/>
    </row>
    <row r="124" spans="2:17" customFormat="1">
      <c r="B124" s="229">
        <v>301</v>
      </c>
      <c r="C124" s="6">
        <v>1870</v>
      </c>
      <c r="D124" s="1">
        <v>65</v>
      </c>
      <c r="E124" s="27" t="s">
        <v>3</v>
      </c>
      <c r="F124" s="6" t="s">
        <v>267</v>
      </c>
      <c r="G124" s="7">
        <v>13650</v>
      </c>
      <c r="H124" s="110">
        <v>3300</v>
      </c>
      <c r="I124" s="6">
        <v>100</v>
      </c>
      <c r="J124">
        <v>12.882330000000001</v>
      </c>
      <c r="K124">
        <v>0.83735145000000011</v>
      </c>
      <c r="L124">
        <v>90</v>
      </c>
      <c r="M124">
        <v>-30</v>
      </c>
      <c r="N124">
        <v>13.07556495</v>
      </c>
      <c r="O124">
        <v>0.84991172174999996</v>
      </c>
      <c r="P124" s="139">
        <v>45809</v>
      </c>
      <c r="Q124" s="113"/>
    </row>
    <row r="125" spans="2:17" customFormat="1">
      <c r="B125" s="229">
        <v>301</v>
      </c>
      <c r="C125" s="6">
        <v>1870</v>
      </c>
      <c r="D125" s="1">
        <v>65</v>
      </c>
      <c r="E125" s="27" t="s">
        <v>3</v>
      </c>
      <c r="F125" s="6" t="s">
        <v>51</v>
      </c>
      <c r="G125" s="7">
        <v>1800</v>
      </c>
      <c r="H125" s="110">
        <v>400</v>
      </c>
      <c r="I125">
        <v>100</v>
      </c>
      <c r="J125">
        <v>13.318380000000001</v>
      </c>
      <c r="K125">
        <v>0.86569470000000004</v>
      </c>
      <c r="L125">
        <v>90</v>
      </c>
      <c r="M125">
        <v>-30</v>
      </c>
      <c r="N125">
        <v>13.518155699999999</v>
      </c>
      <c r="O125">
        <v>0.87868012049999999</v>
      </c>
      <c r="P125" s="139">
        <v>45323</v>
      </c>
      <c r="Q125" s="113"/>
    </row>
    <row r="126" spans="2:17" customFormat="1">
      <c r="B126" s="229">
        <v>301</v>
      </c>
      <c r="C126" s="6">
        <v>1870</v>
      </c>
      <c r="D126" s="1">
        <v>65</v>
      </c>
      <c r="E126" s="5" t="s">
        <v>108</v>
      </c>
      <c r="F126" s="6" t="s">
        <v>51</v>
      </c>
      <c r="G126" s="7">
        <v>2530</v>
      </c>
      <c r="H126">
        <v>500</v>
      </c>
      <c r="I126">
        <v>50</v>
      </c>
      <c r="J126">
        <v>17.101273199999998</v>
      </c>
      <c r="K126">
        <v>1.1115827579999999</v>
      </c>
      <c r="L126">
        <v>30</v>
      </c>
      <c r="M126">
        <v>-75</v>
      </c>
      <c r="N126">
        <v>17.749803547463127</v>
      </c>
      <c r="O126">
        <v>1.1537372305851032</v>
      </c>
      <c r="P126" s="139">
        <v>46211</v>
      </c>
      <c r="Q126" s="113"/>
    </row>
    <row r="127" spans="2:17" customFormat="1">
      <c r="B127" s="229">
        <v>301</v>
      </c>
      <c r="C127" s="6">
        <v>1870</v>
      </c>
      <c r="D127" s="1">
        <v>65</v>
      </c>
      <c r="E127" s="5" t="s">
        <v>108</v>
      </c>
      <c r="F127" s="6" t="s">
        <v>51</v>
      </c>
      <c r="G127" s="7">
        <v>2330</v>
      </c>
      <c r="H127">
        <v>500</v>
      </c>
      <c r="I127">
        <v>80</v>
      </c>
      <c r="J127">
        <v>15.767873200000002</v>
      </c>
      <c r="K127">
        <v>1.024911758</v>
      </c>
      <c r="L127">
        <v>30</v>
      </c>
      <c r="M127">
        <v>-75</v>
      </c>
      <c r="N127">
        <v>16.365837115642876</v>
      </c>
      <c r="O127">
        <v>1.0637794125167868</v>
      </c>
      <c r="P127" s="139">
        <v>46211</v>
      </c>
      <c r="Q127" s="113"/>
    </row>
    <row r="128" spans="2:17" customFormat="1">
      <c r="B128" s="229">
        <v>301</v>
      </c>
      <c r="C128" s="6">
        <v>1870</v>
      </c>
      <c r="D128" s="1">
        <v>65</v>
      </c>
      <c r="E128" s="5" t="s">
        <v>108</v>
      </c>
      <c r="F128" s="6" t="s">
        <v>51</v>
      </c>
      <c r="G128" s="7">
        <v>3030</v>
      </c>
      <c r="H128">
        <v>500</v>
      </c>
      <c r="I128">
        <v>20</v>
      </c>
      <c r="J128">
        <v>20.434773199999999</v>
      </c>
      <c r="K128">
        <v>1.328260258</v>
      </c>
      <c r="L128">
        <v>30</v>
      </c>
      <c r="M128">
        <v>-75</v>
      </c>
      <c r="N128">
        <v>21.209719627013762</v>
      </c>
      <c r="O128">
        <v>1.3786317757558946</v>
      </c>
      <c r="P128" s="139">
        <v>46211</v>
      </c>
      <c r="Q128" s="113"/>
    </row>
    <row r="129" spans="2:17" customFormat="1">
      <c r="B129" s="229">
        <v>301</v>
      </c>
      <c r="C129" s="6">
        <v>1870</v>
      </c>
      <c r="D129" s="1">
        <v>65</v>
      </c>
      <c r="E129" s="27" t="s">
        <v>467</v>
      </c>
      <c r="F129" t="s">
        <v>51</v>
      </c>
      <c r="G129" s="7">
        <v>2160</v>
      </c>
      <c r="H129" t="s">
        <v>481</v>
      </c>
      <c r="I129">
        <v>100</v>
      </c>
      <c r="J129">
        <v>14.634483200000002</v>
      </c>
      <c r="K129">
        <v>0.95124140800000012</v>
      </c>
      <c r="L129">
        <v>60</v>
      </c>
      <c r="M129">
        <v>-45</v>
      </c>
      <c r="N129">
        <v>14.964990786793754</v>
      </c>
      <c r="O129">
        <v>0.97272440114159409</v>
      </c>
      <c r="P129" s="139">
        <v>46211</v>
      </c>
      <c r="Q129" s="113"/>
    </row>
    <row r="130" spans="2:17" customFormat="1">
      <c r="B130" s="229">
        <v>301</v>
      </c>
      <c r="C130" s="6">
        <v>1870</v>
      </c>
      <c r="D130" s="1">
        <v>65</v>
      </c>
      <c r="E130" s="27" t="s">
        <v>467</v>
      </c>
      <c r="F130" t="s">
        <v>51</v>
      </c>
      <c r="G130" s="7">
        <v>2310</v>
      </c>
      <c r="H130" t="s">
        <v>481</v>
      </c>
      <c r="I130">
        <v>50</v>
      </c>
      <c r="J130">
        <v>15.634533200000002</v>
      </c>
      <c r="K130">
        <v>1.0162446580000002</v>
      </c>
      <c r="L130">
        <v>60</v>
      </c>
      <c r="M130">
        <v>-45</v>
      </c>
      <c r="N130">
        <v>15.987626081242217</v>
      </c>
      <c r="O130">
        <v>1.039195695280744</v>
      </c>
      <c r="P130" s="139">
        <v>46211</v>
      </c>
      <c r="Q130" s="113"/>
    </row>
    <row r="131" spans="2:17" customFormat="1">
      <c r="B131" s="229">
        <v>301</v>
      </c>
      <c r="C131" s="6">
        <v>1870</v>
      </c>
      <c r="D131" s="1">
        <v>65</v>
      </c>
      <c r="E131" s="27" t="s">
        <v>467</v>
      </c>
      <c r="F131" t="s">
        <v>51</v>
      </c>
      <c r="G131" s="7">
        <v>2460</v>
      </c>
      <c r="H131" t="s">
        <v>481</v>
      </c>
      <c r="I131">
        <v>20</v>
      </c>
      <c r="J131">
        <v>16.634583200000002</v>
      </c>
      <c r="K131">
        <v>1.0812479080000001</v>
      </c>
      <c r="L131">
        <v>60</v>
      </c>
      <c r="M131">
        <v>-45</v>
      </c>
      <c r="N131">
        <v>17.010261375690682</v>
      </c>
      <c r="O131">
        <v>1.1056669894198943</v>
      </c>
      <c r="P131" s="139">
        <v>46211</v>
      </c>
      <c r="Q131" s="113"/>
    </row>
    <row r="132" spans="2:17" customFormat="1">
      <c r="B132" s="229">
        <v>301</v>
      </c>
      <c r="C132" s="6">
        <v>2120</v>
      </c>
      <c r="D132" s="1">
        <v>65</v>
      </c>
      <c r="E132" s="5" t="s">
        <v>108</v>
      </c>
      <c r="F132" s="6" t="s">
        <v>51</v>
      </c>
      <c r="G132" s="7">
        <v>2530</v>
      </c>
      <c r="H132">
        <v>500</v>
      </c>
      <c r="I132">
        <v>50</v>
      </c>
      <c r="J132">
        <v>17.101273199999998</v>
      </c>
      <c r="K132">
        <v>1.1115827579999999</v>
      </c>
      <c r="L132">
        <v>30</v>
      </c>
      <c r="M132">
        <v>-75</v>
      </c>
      <c r="N132">
        <v>17.749803547463127</v>
      </c>
      <c r="O132">
        <v>1.1537372305851032</v>
      </c>
      <c r="P132" s="139">
        <v>46211</v>
      </c>
      <c r="Q132" s="113"/>
    </row>
    <row r="133" spans="2:17" customFormat="1">
      <c r="B133" s="229">
        <v>301</v>
      </c>
      <c r="C133" s="6">
        <v>2120</v>
      </c>
      <c r="D133" s="1">
        <v>65</v>
      </c>
      <c r="E133" s="5" t="s">
        <v>108</v>
      </c>
      <c r="F133" s="6" t="s">
        <v>51</v>
      </c>
      <c r="G133" s="7">
        <v>2330</v>
      </c>
      <c r="H133">
        <v>500</v>
      </c>
      <c r="I133">
        <v>80</v>
      </c>
      <c r="J133">
        <v>15.767873200000002</v>
      </c>
      <c r="K133">
        <v>1.024911758</v>
      </c>
      <c r="L133">
        <v>30</v>
      </c>
      <c r="M133">
        <v>-75</v>
      </c>
      <c r="N133">
        <v>16.365837115642876</v>
      </c>
      <c r="O133">
        <v>1.0637794125167868</v>
      </c>
      <c r="P133" s="139">
        <v>46211</v>
      </c>
      <c r="Q133" s="113"/>
    </row>
    <row r="134" spans="2:17" customFormat="1">
      <c r="B134" s="229">
        <v>301</v>
      </c>
      <c r="C134" s="6">
        <v>2120</v>
      </c>
      <c r="D134" s="1">
        <v>65</v>
      </c>
      <c r="E134" s="5" t="s">
        <v>108</v>
      </c>
      <c r="F134" s="6" t="s">
        <v>51</v>
      </c>
      <c r="G134" s="7">
        <v>3030</v>
      </c>
      <c r="H134">
        <v>500</v>
      </c>
      <c r="I134">
        <v>20</v>
      </c>
      <c r="J134">
        <v>20.434773199999999</v>
      </c>
      <c r="K134">
        <v>1.328260258</v>
      </c>
      <c r="L134">
        <v>30</v>
      </c>
      <c r="M134">
        <v>-75</v>
      </c>
      <c r="N134">
        <v>21.209719627013762</v>
      </c>
      <c r="O134">
        <v>1.3786317757558946</v>
      </c>
      <c r="P134" s="139">
        <v>46211</v>
      </c>
      <c r="Q134" s="113"/>
    </row>
    <row r="135" spans="2:17" customFormat="1">
      <c r="B135" s="229">
        <v>301</v>
      </c>
      <c r="C135" s="6" t="s">
        <v>481</v>
      </c>
      <c r="Q135" s="113"/>
    </row>
    <row r="136" spans="2:17" customFormat="1">
      <c r="B136" s="229">
        <v>308</v>
      </c>
      <c r="C136" s="6">
        <v>1860</v>
      </c>
      <c r="D136" s="1">
        <v>72</v>
      </c>
      <c r="E136" s="5" t="s">
        <v>0</v>
      </c>
      <c r="F136" s="6" t="s">
        <v>51</v>
      </c>
      <c r="G136" s="7">
        <v>1600</v>
      </c>
      <c r="H136" s="110">
        <v>400</v>
      </c>
      <c r="I136" s="6">
        <v>100</v>
      </c>
      <c r="J136">
        <v>11.973180000000001</v>
      </c>
      <c r="K136">
        <v>0.86206896000000011</v>
      </c>
      <c r="L136">
        <v>90</v>
      </c>
      <c r="M136">
        <v>-30</v>
      </c>
      <c r="N136">
        <v>12.1527777</v>
      </c>
      <c r="O136">
        <v>0.87499999439999998</v>
      </c>
      <c r="P136" s="139">
        <v>45261</v>
      </c>
      <c r="Q136" s="113"/>
    </row>
    <row r="137" spans="2:17" customFormat="1">
      <c r="B137" s="229">
        <v>380</v>
      </c>
      <c r="C137" s="6">
        <v>1870</v>
      </c>
      <c r="D137" s="1">
        <v>68</v>
      </c>
      <c r="E137" s="27" t="s">
        <v>47</v>
      </c>
      <c r="F137" s="6" t="s">
        <v>51</v>
      </c>
      <c r="G137" s="7">
        <v>2450</v>
      </c>
      <c r="H137">
        <v>300</v>
      </c>
      <c r="I137">
        <v>50</v>
      </c>
      <c r="J137">
        <v>16.5679132</v>
      </c>
      <c r="K137">
        <v>1.1266180976</v>
      </c>
      <c r="L137">
        <v>120</v>
      </c>
      <c r="M137">
        <v>15</v>
      </c>
      <c r="N137">
        <v>16.445034520996984</v>
      </c>
      <c r="O137">
        <v>1.1182623474277948</v>
      </c>
      <c r="P137" s="139">
        <v>46211</v>
      </c>
      <c r="Q137" s="113"/>
    </row>
    <row r="138" spans="2:17" customFormat="1">
      <c r="B138" s="229">
        <v>380</v>
      </c>
      <c r="C138" s="6">
        <v>1870</v>
      </c>
      <c r="D138" s="1">
        <v>68</v>
      </c>
      <c r="E138" s="27" t="s">
        <v>47</v>
      </c>
      <c r="F138" s="6" t="s">
        <v>51</v>
      </c>
      <c r="G138" s="7">
        <v>2500</v>
      </c>
      <c r="H138">
        <v>300</v>
      </c>
      <c r="I138">
        <v>30</v>
      </c>
      <c r="J138">
        <v>16.901263199999999</v>
      </c>
      <c r="K138">
        <v>1.1492858976</v>
      </c>
      <c r="L138">
        <v>120</v>
      </c>
      <c r="M138">
        <v>15</v>
      </c>
      <c r="N138">
        <v>16.775912175376192</v>
      </c>
      <c r="O138">
        <v>1.1407620279255812</v>
      </c>
      <c r="P138" s="139">
        <v>46211</v>
      </c>
      <c r="Q138" s="113"/>
    </row>
    <row r="139" spans="2:17" customFormat="1">
      <c r="B139" s="229">
        <v>380</v>
      </c>
      <c r="C139" s="6">
        <v>1870</v>
      </c>
      <c r="D139" s="1">
        <v>68</v>
      </c>
      <c r="E139" s="27" t="s">
        <v>47</v>
      </c>
      <c r="F139" s="6" t="s">
        <v>51</v>
      </c>
      <c r="G139" s="7">
        <v>2550</v>
      </c>
      <c r="H139">
        <v>300</v>
      </c>
      <c r="I139">
        <v>20</v>
      </c>
      <c r="J139">
        <v>17.234613199999998</v>
      </c>
      <c r="K139">
        <v>1.1719536975999998</v>
      </c>
      <c r="L139">
        <v>120</v>
      </c>
      <c r="M139">
        <v>15</v>
      </c>
      <c r="N139">
        <v>17.1067898297554</v>
      </c>
      <c r="O139">
        <v>1.1632617084233672</v>
      </c>
      <c r="P139" s="139">
        <v>46211</v>
      </c>
      <c r="Q139" s="113"/>
    </row>
    <row r="140" spans="2:17" customFormat="1">
      <c r="B140" s="229">
        <v>380</v>
      </c>
      <c r="C140" s="6">
        <v>1870</v>
      </c>
      <c r="D140" s="1">
        <v>68</v>
      </c>
      <c r="E140" s="27" t="s">
        <v>47</v>
      </c>
      <c r="F140" s="6" t="s">
        <v>51</v>
      </c>
      <c r="G140" s="7">
        <v>2630</v>
      </c>
      <c r="H140">
        <v>300</v>
      </c>
      <c r="I140">
        <v>10</v>
      </c>
      <c r="J140">
        <v>17.767973199999997</v>
      </c>
      <c r="K140">
        <v>1.2082221775999997</v>
      </c>
      <c r="L140">
        <v>120</v>
      </c>
      <c r="M140">
        <v>15</v>
      </c>
      <c r="N140">
        <v>17.636194076762134</v>
      </c>
      <c r="O140">
        <v>1.1992611972198253</v>
      </c>
      <c r="P140" s="139">
        <v>46211</v>
      </c>
      <c r="Q140" s="113"/>
    </row>
    <row r="141" spans="2:17" customFormat="1">
      <c r="B141" s="229">
        <v>380</v>
      </c>
      <c r="C141" s="6" t="s">
        <v>481</v>
      </c>
      <c r="Q141" s="113"/>
    </row>
    <row r="142" spans="2:17" customFormat="1">
      <c r="B142" s="229">
        <v>399</v>
      </c>
      <c r="C142" s="6">
        <v>1270</v>
      </c>
      <c r="D142" s="1">
        <v>67</v>
      </c>
      <c r="E142" s="5" t="s">
        <v>1</v>
      </c>
      <c r="F142" s="6" t="s">
        <v>46</v>
      </c>
      <c r="G142" s="7">
        <v>18337</v>
      </c>
      <c r="H142" t="s">
        <v>481</v>
      </c>
      <c r="I142">
        <v>50</v>
      </c>
      <c r="J142">
        <v>18.536999999999999</v>
      </c>
      <c r="K142">
        <v>1.2419789999999999</v>
      </c>
      <c r="L142">
        <v>0</v>
      </c>
      <c r="M142">
        <v>-45</v>
      </c>
      <c r="N142">
        <v>18.955642671057614</v>
      </c>
      <c r="O142">
        <v>1.2700280589608601</v>
      </c>
      <c r="P142" s="139">
        <v>46211</v>
      </c>
      <c r="Q142" s="113"/>
    </row>
    <row r="143" spans="2:17" customFormat="1">
      <c r="B143" s="229">
        <v>399</v>
      </c>
      <c r="C143" s="6">
        <v>1270</v>
      </c>
      <c r="D143" s="1">
        <v>68</v>
      </c>
      <c r="E143" s="27" t="s">
        <v>47</v>
      </c>
      <c r="F143" s="6" t="s">
        <v>51</v>
      </c>
      <c r="G143" s="7">
        <v>2720</v>
      </c>
      <c r="H143">
        <v>300</v>
      </c>
      <c r="I143">
        <v>50</v>
      </c>
      <c r="J143">
        <v>18.3680032</v>
      </c>
      <c r="K143">
        <v>1.2490242175999999</v>
      </c>
      <c r="L143">
        <v>120</v>
      </c>
      <c r="M143">
        <v>15</v>
      </c>
      <c r="N143">
        <v>18.231773854644715</v>
      </c>
      <c r="O143">
        <v>1.2397606221158406</v>
      </c>
      <c r="P143" s="139">
        <v>46211</v>
      </c>
      <c r="Q143" s="113"/>
    </row>
    <row r="144" spans="2:17" customFormat="1">
      <c r="B144" s="229">
        <v>399</v>
      </c>
      <c r="C144" s="6">
        <v>1270</v>
      </c>
      <c r="D144" s="1">
        <v>68</v>
      </c>
      <c r="E144" s="27" t="s">
        <v>47</v>
      </c>
      <c r="F144" s="6" t="s">
        <v>51</v>
      </c>
      <c r="G144" s="7">
        <v>2770</v>
      </c>
      <c r="H144">
        <v>300</v>
      </c>
      <c r="I144">
        <v>30</v>
      </c>
      <c r="J144">
        <v>18.7013532</v>
      </c>
      <c r="K144">
        <v>1.2716920175999999</v>
      </c>
      <c r="L144">
        <v>120</v>
      </c>
      <c r="M144">
        <v>15</v>
      </c>
      <c r="N144">
        <v>18.562651509023926</v>
      </c>
      <c r="O144">
        <v>1.262260302613627</v>
      </c>
      <c r="P144" s="139">
        <v>46211</v>
      </c>
      <c r="Q144" s="113"/>
    </row>
    <row r="145" spans="2:17" customFormat="1">
      <c r="B145" s="229">
        <v>399</v>
      </c>
      <c r="C145" s="6">
        <v>1270</v>
      </c>
      <c r="D145" s="1">
        <v>68</v>
      </c>
      <c r="E145" s="27" t="s">
        <v>47</v>
      </c>
      <c r="F145" s="6" t="s">
        <v>51</v>
      </c>
      <c r="G145" s="7">
        <v>2900</v>
      </c>
      <c r="H145">
        <v>300</v>
      </c>
      <c r="I145">
        <v>10</v>
      </c>
      <c r="J145">
        <v>19.568063199999997</v>
      </c>
      <c r="K145">
        <v>1.3306282975999997</v>
      </c>
      <c r="L145">
        <v>120</v>
      </c>
      <c r="M145">
        <v>15</v>
      </c>
      <c r="N145">
        <v>19.422933410409868</v>
      </c>
      <c r="O145">
        <v>1.320759471907871</v>
      </c>
      <c r="P145" s="139">
        <v>46211</v>
      </c>
      <c r="Q145" s="113"/>
    </row>
    <row r="146" spans="2:17" customFormat="1">
      <c r="B146" s="229">
        <v>399</v>
      </c>
      <c r="C146" s="6">
        <v>1270</v>
      </c>
      <c r="D146" s="1">
        <v>68</v>
      </c>
      <c r="E146" s="27" t="s">
        <v>47</v>
      </c>
      <c r="F146" s="6" t="s">
        <v>51</v>
      </c>
      <c r="G146" s="7">
        <v>2820</v>
      </c>
      <c r="H146">
        <v>300</v>
      </c>
      <c r="I146">
        <v>20</v>
      </c>
      <c r="J146">
        <v>19.034703199999999</v>
      </c>
      <c r="K146">
        <v>1.2943598176</v>
      </c>
      <c r="L146">
        <v>120</v>
      </c>
      <c r="M146">
        <v>15</v>
      </c>
      <c r="N146">
        <v>18.893529163403134</v>
      </c>
      <c r="O146">
        <v>1.2847599831114132</v>
      </c>
      <c r="P146" s="139">
        <v>46211</v>
      </c>
      <c r="Q146" s="113"/>
    </row>
    <row r="147" spans="2:17" customFormat="1">
      <c r="B147" s="229">
        <v>399</v>
      </c>
      <c r="C147" s="6">
        <v>1870</v>
      </c>
      <c r="D147" s="1">
        <v>67</v>
      </c>
      <c r="E147" s="5" t="s">
        <v>1</v>
      </c>
      <c r="F147" s="6" t="s">
        <v>46</v>
      </c>
      <c r="G147" s="7">
        <v>18337</v>
      </c>
      <c r="H147" t="s">
        <v>481</v>
      </c>
      <c r="I147">
        <v>50</v>
      </c>
      <c r="J147">
        <v>18.536999999999999</v>
      </c>
      <c r="K147">
        <v>1.2419789999999999</v>
      </c>
      <c r="L147">
        <v>0</v>
      </c>
      <c r="M147">
        <v>-45</v>
      </c>
      <c r="N147">
        <v>18.955642671057614</v>
      </c>
      <c r="O147">
        <v>1.2700280589608601</v>
      </c>
      <c r="P147" s="139">
        <v>46211</v>
      </c>
      <c r="Q147" s="113"/>
    </row>
    <row r="148" spans="2:17" customFormat="1">
      <c r="B148" s="229">
        <v>399</v>
      </c>
      <c r="C148" s="6">
        <v>1870</v>
      </c>
      <c r="D148" s="1">
        <v>68</v>
      </c>
      <c r="E148" s="27" t="s">
        <v>67</v>
      </c>
      <c r="F148" s="6" t="s">
        <v>51</v>
      </c>
      <c r="G148" s="7">
        <v>2370</v>
      </c>
      <c r="H148" t="s">
        <v>481</v>
      </c>
      <c r="I148" s="6">
        <v>100</v>
      </c>
      <c r="J148">
        <v>16.034553200000001</v>
      </c>
      <c r="K148">
        <v>1.0903496176000003</v>
      </c>
      <c r="L148">
        <v>90</v>
      </c>
      <c r="M148">
        <v>-15</v>
      </c>
      <c r="N148">
        <v>16.154364728100106</v>
      </c>
      <c r="O148">
        <v>1.0984968015108072</v>
      </c>
      <c r="P148" s="139">
        <v>45536</v>
      </c>
      <c r="Q148" s="113"/>
    </row>
    <row r="149" spans="2:17" customFormat="1">
      <c r="B149" s="229">
        <v>399</v>
      </c>
      <c r="C149" s="6">
        <v>1870</v>
      </c>
      <c r="D149" s="1">
        <v>68</v>
      </c>
      <c r="E149" s="27" t="s">
        <v>67</v>
      </c>
      <c r="F149" s="6" t="s">
        <v>51</v>
      </c>
      <c r="G149" s="7">
        <v>2450</v>
      </c>
      <c r="H149" t="s">
        <v>481</v>
      </c>
      <c r="I149" s="6">
        <v>50</v>
      </c>
      <c r="J149">
        <v>16.5679132</v>
      </c>
      <c r="K149">
        <v>1.1266180976</v>
      </c>
      <c r="L149">
        <v>90</v>
      </c>
      <c r="M149">
        <v>-15</v>
      </c>
      <c r="N149">
        <v>16.691710038811937</v>
      </c>
      <c r="O149">
        <v>1.1350362826392117</v>
      </c>
      <c r="P149" s="139">
        <v>45536</v>
      </c>
      <c r="Q149" s="113"/>
    </row>
    <row r="150" spans="2:17" customFormat="1">
      <c r="B150" s="229">
        <v>399</v>
      </c>
      <c r="C150" s="6">
        <v>1870</v>
      </c>
      <c r="D150" s="1">
        <v>68</v>
      </c>
      <c r="E150" s="27" t="s">
        <v>47</v>
      </c>
      <c r="F150" s="6" t="s">
        <v>51</v>
      </c>
      <c r="G150" s="7">
        <v>2720</v>
      </c>
      <c r="H150">
        <v>300</v>
      </c>
      <c r="I150">
        <v>50</v>
      </c>
      <c r="J150">
        <v>18.3680032</v>
      </c>
      <c r="K150">
        <v>1.2490242175999999</v>
      </c>
      <c r="L150">
        <v>120</v>
      </c>
      <c r="M150">
        <v>15</v>
      </c>
      <c r="N150">
        <v>18.231773854644715</v>
      </c>
      <c r="O150">
        <v>1.2397606221158406</v>
      </c>
      <c r="P150" s="139">
        <v>46211</v>
      </c>
      <c r="Q150" s="113"/>
    </row>
    <row r="151" spans="2:17" customFormat="1">
      <c r="B151" s="229">
        <v>399</v>
      </c>
      <c r="C151" s="6">
        <v>1870</v>
      </c>
      <c r="D151" s="1">
        <v>68</v>
      </c>
      <c r="E151" s="27" t="s">
        <v>47</v>
      </c>
      <c r="F151" s="6" t="s">
        <v>51</v>
      </c>
      <c r="G151" s="7">
        <v>2770</v>
      </c>
      <c r="H151">
        <v>300</v>
      </c>
      <c r="I151">
        <v>30</v>
      </c>
      <c r="J151">
        <v>18.7013532</v>
      </c>
      <c r="K151">
        <v>1.2716920175999999</v>
      </c>
      <c r="L151">
        <v>120</v>
      </c>
      <c r="M151">
        <v>15</v>
      </c>
      <c r="N151">
        <v>18.562651509023926</v>
      </c>
      <c r="O151">
        <v>1.262260302613627</v>
      </c>
      <c r="P151" s="139">
        <v>46211</v>
      </c>
      <c r="Q151" s="113"/>
    </row>
    <row r="152" spans="2:17" customFormat="1">
      <c r="B152" s="229">
        <v>399</v>
      </c>
      <c r="C152" s="6">
        <v>1870</v>
      </c>
      <c r="D152" s="1">
        <v>68</v>
      </c>
      <c r="E152" s="27" t="s">
        <v>47</v>
      </c>
      <c r="F152" s="6" t="s">
        <v>51</v>
      </c>
      <c r="G152" s="7">
        <v>2900</v>
      </c>
      <c r="H152">
        <v>300</v>
      </c>
      <c r="I152">
        <v>10</v>
      </c>
      <c r="J152">
        <v>19.568063199999997</v>
      </c>
      <c r="K152">
        <v>1.3306282975999997</v>
      </c>
      <c r="L152">
        <v>120</v>
      </c>
      <c r="M152">
        <v>15</v>
      </c>
      <c r="N152">
        <v>19.422933410409868</v>
      </c>
      <c r="O152">
        <v>1.320759471907871</v>
      </c>
      <c r="P152" s="139">
        <v>46211</v>
      </c>
      <c r="Q152" s="113"/>
    </row>
    <row r="153" spans="2:17" customFormat="1">
      <c r="B153" s="229">
        <v>399</v>
      </c>
      <c r="C153" s="6">
        <v>1870</v>
      </c>
      <c r="D153" s="1">
        <v>68</v>
      </c>
      <c r="E153" s="27" t="s">
        <v>47</v>
      </c>
      <c r="F153" s="6" t="s">
        <v>51</v>
      </c>
      <c r="G153" s="7">
        <v>2820</v>
      </c>
      <c r="H153">
        <v>300</v>
      </c>
      <c r="I153">
        <v>20</v>
      </c>
      <c r="J153">
        <v>19.034703199999999</v>
      </c>
      <c r="K153">
        <v>1.2943598176</v>
      </c>
      <c r="L153">
        <v>120</v>
      </c>
      <c r="M153">
        <v>15</v>
      </c>
      <c r="N153">
        <v>18.893529163403134</v>
      </c>
      <c r="O153">
        <v>1.2847599831114132</v>
      </c>
      <c r="P153" s="139">
        <v>46211</v>
      </c>
      <c r="Q153" s="113"/>
    </row>
    <row r="154" spans="2:17" customFormat="1">
      <c r="B154" s="229">
        <v>399</v>
      </c>
      <c r="C154" s="6">
        <v>2175</v>
      </c>
      <c r="D154" s="1">
        <v>67</v>
      </c>
      <c r="E154" s="5" t="s">
        <v>1</v>
      </c>
      <c r="F154" s="6" t="s">
        <v>46</v>
      </c>
      <c r="G154" s="7">
        <v>18337</v>
      </c>
      <c r="H154" t="s">
        <v>481</v>
      </c>
      <c r="I154">
        <v>50</v>
      </c>
      <c r="J154">
        <v>18.536999999999999</v>
      </c>
      <c r="K154">
        <v>1.2419789999999999</v>
      </c>
      <c r="L154">
        <v>0</v>
      </c>
      <c r="M154">
        <v>-45</v>
      </c>
      <c r="N154">
        <v>18.955642671057614</v>
      </c>
      <c r="O154">
        <v>1.2700280589608601</v>
      </c>
      <c r="P154" s="139">
        <v>46211</v>
      </c>
      <c r="Q154" s="113"/>
    </row>
    <row r="155" spans="2:17" customFormat="1">
      <c r="B155" s="229">
        <v>399</v>
      </c>
      <c r="C155" s="6">
        <v>2175</v>
      </c>
      <c r="D155" s="1">
        <v>68</v>
      </c>
      <c r="E155" s="27" t="s">
        <v>47</v>
      </c>
      <c r="F155" s="6" t="s">
        <v>51</v>
      </c>
      <c r="G155" s="7">
        <v>2720</v>
      </c>
      <c r="H155">
        <v>300</v>
      </c>
      <c r="I155">
        <v>50</v>
      </c>
      <c r="J155">
        <v>18.3680032</v>
      </c>
      <c r="K155">
        <v>1.2490242175999999</v>
      </c>
      <c r="L155">
        <v>120</v>
      </c>
      <c r="M155">
        <v>15</v>
      </c>
      <c r="N155">
        <v>18.231773854644715</v>
      </c>
      <c r="O155">
        <v>1.2397606221158406</v>
      </c>
      <c r="P155" s="139">
        <v>46211</v>
      </c>
      <c r="Q155" s="113"/>
    </row>
    <row r="156" spans="2:17" customFormat="1">
      <c r="B156" s="229">
        <v>399</v>
      </c>
      <c r="C156" s="6">
        <v>2175</v>
      </c>
      <c r="D156" s="1">
        <v>68</v>
      </c>
      <c r="E156" s="27" t="s">
        <v>47</v>
      </c>
      <c r="F156" s="6" t="s">
        <v>51</v>
      </c>
      <c r="G156" s="7">
        <v>2770</v>
      </c>
      <c r="H156">
        <v>300</v>
      </c>
      <c r="I156">
        <v>30</v>
      </c>
      <c r="J156">
        <v>18.7013532</v>
      </c>
      <c r="K156">
        <v>1.2716920175999999</v>
      </c>
      <c r="L156">
        <v>120</v>
      </c>
      <c r="M156">
        <v>15</v>
      </c>
      <c r="N156">
        <v>18.562651509023926</v>
      </c>
      <c r="O156">
        <v>1.262260302613627</v>
      </c>
      <c r="P156" s="139">
        <v>46211</v>
      </c>
      <c r="Q156" s="113"/>
    </row>
    <row r="157" spans="2:17" customFormat="1">
      <c r="B157" s="229">
        <v>399</v>
      </c>
      <c r="C157" s="6">
        <v>2175</v>
      </c>
      <c r="D157" s="1">
        <v>68</v>
      </c>
      <c r="E157" s="27" t="s">
        <v>47</v>
      </c>
      <c r="F157" s="6" t="s">
        <v>51</v>
      </c>
      <c r="G157" s="7">
        <v>2900</v>
      </c>
      <c r="H157">
        <v>300</v>
      </c>
      <c r="I157">
        <v>10</v>
      </c>
      <c r="J157">
        <v>19.568063199999997</v>
      </c>
      <c r="K157">
        <v>1.3306282975999997</v>
      </c>
      <c r="L157">
        <v>120</v>
      </c>
      <c r="M157">
        <v>15</v>
      </c>
      <c r="N157">
        <v>19.422933410409868</v>
      </c>
      <c r="O157">
        <v>1.320759471907871</v>
      </c>
      <c r="P157" s="139">
        <v>46211</v>
      </c>
      <c r="Q157" s="113"/>
    </row>
    <row r="158" spans="2:17" customFormat="1">
      <c r="B158" s="229">
        <v>399</v>
      </c>
      <c r="C158" s="6">
        <v>2175</v>
      </c>
      <c r="D158" s="1">
        <v>68</v>
      </c>
      <c r="E158" s="27" t="s">
        <v>47</v>
      </c>
      <c r="F158" s="6" t="s">
        <v>51</v>
      </c>
      <c r="G158" s="7">
        <v>2820</v>
      </c>
      <c r="H158">
        <v>300</v>
      </c>
      <c r="I158">
        <v>20</v>
      </c>
      <c r="J158">
        <v>19.034703199999999</v>
      </c>
      <c r="K158">
        <v>1.2943598176</v>
      </c>
      <c r="L158">
        <v>120</v>
      </c>
      <c r="M158">
        <v>15</v>
      </c>
      <c r="N158">
        <v>18.893529163403134</v>
      </c>
      <c r="O158">
        <v>1.2847599831114132</v>
      </c>
      <c r="P158" s="139">
        <v>46211</v>
      </c>
      <c r="Q158" s="113"/>
    </row>
    <row r="159" spans="2:17" customFormat="1">
      <c r="B159" s="229">
        <v>399</v>
      </c>
      <c r="C159" s="6" t="s">
        <v>481</v>
      </c>
      <c r="Q159" s="113"/>
    </row>
    <row r="160" spans="2:17" customFormat="1">
      <c r="B160" s="229">
        <v>399</v>
      </c>
      <c r="C160" s="6">
        <v>1550</v>
      </c>
      <c r="D160" s="1">
        <v>67</v>
      </c>
      <c r="E160" s="5" t="s">
        <v>1</v>
      </c>
      <c r="F160" s="6" t="s">
        <v>46</v>
      </c>
      <c r="G160" s="7">
        <v>18337</v>
      </c>
      <c r="H160" t="s">
        <v>481</v>
      </c>
      <c r="I160">
        <v>50</v>
      </c>
      <c r="J160">
        <v>18.536999999999999</v>
      </c>
      <c r="K160">
        <v>1.2419789999999999</v>
      </c>
      <c r="L160">
        <v>0</v>
      </c>
      <c r="M160">
        <v>-45</v>
      </c>
      <c r="N160">
        <v>18.955642671057614</v>
      </c>
      <c r="O160">
        <v>1.2700280589608601</v>
      </c>
      <c r="P160" s="139">
        <v>46211</v>
      </c>
      <c r="Q160" s="113"/>
    </row>
    <row r="161" spans="2:17" customFormat="1">
      <c r="B161" s="229">
        <v>399</v>
      </c>
      <c r="C161" s="6">
        <v>1330</v>
      </c>
      <c r="D161" s="1">
        <v>67</v>
      </c>
      <c r="E161" s="5" t="s">
        <v>1</v>
      </c>
      <c r="F161" s="6" t="s">
        <v>46</v>
      </c>
      <c r="G161" s="7">
        <v>18337</v>
      </c>
      <c r="H161" t="s">
        <v>481</v>
      </c>
      <c r="I161">
        <v>50</v>
      </c>
      <c r="J161">
        <v>18.536999999999999</v>
      </c>
      <c r="K161">
        <v>1.2419789999999999</v>
      </c>
      <c r="L161">
        <v>0</v>
      </c>
      <c r="M161">
        <v>-45</v>
      </c>
      <c r="N161">
        <v>18.955642671057614</v>
      </c>
      <c r="O161">
        <v>1.2700280589608601</v>
      </c>
      <c r="P161" s="139">
        <v>46211</v>
      </c>
      <c r="Q161" s="113"/>
    </row>
    <row r="162" spans="2:17" customFormat="1">
      <c r="B162" s="229">
        <v>408</v>
      </c>
      <c r="C162" s="6">
        <v>1870</v>
      </c>
      <c r="D162" s="1">
        <v>65</v>
      </c>
      <c r="E162" s="5" t="s">
        <v>108</v>
      </c>
      <c r="F162" s="6" t="s">
        <v>51</v>
      </c>
      <c r="G162" s="7">
        <v>2450</v>
      </c>
      <c r="H162">
        <v>500</v>
      </c>
      <c r="I162">
        <v>80</v>
      </c>
      <c r="J162">
        <v>16.5679132</v>
      </c>
      <c r="K162">
        <v>1.076914358</v>
      </c>
      <c r="L162">
        <v>30</v>
      </c>
      <c r="M162">
        <v>-75</v>
      </c>
      <c r="N162">
        <v>17.196216974735027</v>
      </c>
      <c r="O162">
        <v>1.1177541033577767</v>
      </c>
      <c r="P162" s="139">
        <v>46211</v>
      </c>
      <c r="Q162" s="113"/>
    </row>
    <row r="163" spans="2:17" customFormat="1">
      <c r="B163" s="229">
        <v>408</v>
      </c>
      <c r="C163" s="6">
        <v>1870</v>
      </c>
      <c r="D163" s="1">
        <v>65</v>
      </c>
      <c r="E163" s="5" t="s">
        <v>108</v>
      </c>
      <c r="F163" s="6" t="s">
        <v>51</v>
      </c>
      <c r="G163" s="7">
        <v>2650</v>
      </c>
      <c r="H163">
        <v>500</v>
      </c>
      <c r="I163" s="6">
        <v>50</v>
      </c>
      <c r="J163">
        <v>17.901313199999997</v>
      </c>
      <c r="K163">
        <v>1.163585358</v>
      </c>
      <c r="L163">
        <v>30</v>
      </c>
      <c r="M163">
        <v>-75</v>
      </c>
      <c r="N163">
        <v>18.580183406555278</v>
      </c>
      <c r="O163">
        <v>1.2077119214260932</v>
      </c>
      <c r="P163" s="139">
        <v>46211</v>
      </c>
      <c r="Q163" s="113"/>
    </row>
    <row r="164" spans="2:17" customFormat="1">
      <c r="B164" s="229">
        <v>408</v>
      </c>
      <c r="C164" s="6">
        <v>1870</v>
      </c>
      <c r="D164" s="1">
        <v>65</v>
      </c>
      <c r="E164" s="5" t="s">
        <v>108</v>
      </c>
      <c r="F164" s="6" t="s">
        <v>51</v>
      </c>
      <c r="G164" s="7">
        <v>3150</v>
      </c>
      <c r="H164">
        <v>500</v>
      </c>
      <c r="I164">
        <v>20</v>
      </c>
      <c r="J164">
        <v>21.234813199999998</v>
      </c>
      <c r="K164">
        <v>1.3802628579999998</v>
      </c>
      <c r="L164">
        <v>30</v>
      </c>
      <c r="M164">
        <v>-75</v>
      </c>
      <c r="N164">
        <v>22.040099486105913</v>
      </c>
      <c r="O164">
        <v>1.4326064665968843</v>
      </c>
      <c r="P164" s="139">
        <v>46211</v>
      </c>
      <c r="Q164" s="113"/>
    </row>
    <row r="165" spans="2:17" customFormat="1">
      <c r="B165" s="229">
        <v>483</v>
      </c>
      <c r="C165" s="6">
        <v>1870</v>
      </c>
      <c r="D165" s="1">
        <v>68</v>
      </c>
      <c r="E165" s="27" t="s">
        <v>3</v>
      </c>
      <c r="F165" s="6" t="s">
        <v>267</v>
      </c>
      <c r="G165" s="7">
        <v>12000</v>
      </c>
      <c r="H165" s="110">
        <v>3300</v>
      </c>
      <c r="I165" s="6">
        <v>100</v>
      </c>
      <c r="J165">
        <v>11.471579999999999</v>
      </c>
      <c r="K165">
        <v>0.78006743999999995</v>
      </c>
      <c r="L165">
        <v>90</v>
      </c>
      <c r="M165">
        <v>-30</v>
      </c>
      <c r="N165">
        <v>11.643653699999998</v>
      </c>
      <c r="O165">
        <v>0.79176845159999987</v>
      </c>
      <c r="P165" s="139">
        <v>46023</v>
      </c>
      <c r="Q165" s="113"/>
    </row>
    <row r="166" spans="2:17" customFormat="1">
      <c r="B166" s="229">
        <v>483</v>
      </c>
      <c r="C166" s="6">
        <v>1870</v>
      </c>
      <c r="D166" s="1">
        <v>68</v>
      </c>
      <c r="E166" s="27" t="s">
        <v>3</v>
      </c>
      <c r="F166" s="6" t="s">
        <v>267</v>
      </c>
      <c r="G166" s="7">
        <v>12000</v>
      </c>
      <c r="H166" s="110">
        <v>3300</v>
      </c>
      <c r="I166" s="6">
        <v>100</v>
      </c>
      <c r="J166">
        <v>11.471579999999999</v>
      </c>
      <c r="K166">
        <v>0.78006743999999995</v>
      </c>
      <c r="L166">
        <v>90</v>
      </c>
      <c r="M166">
        <v>-30</v>
      </c>
      <c r="N166">
        <v>11.643653699999998</v>
      </c>
      <c r="O166">
        <v>0.79176845159999987</v>
      </c>
      <c r="P166" s="139">
        <v>46174</v>
      </c>
      <c r="Q166" s="113"/>
    </row>
    <row r="167" spans="2:17" customFormat="1">
      <c r="B167" s="229">
        <v>483</v>
      </c>
      <c r="C167" s="6">
        <v>1870</v>
      </c>
      <c r="D167" s="1">
        <v>68</v>
      </c>
      <c r="E167" s="27" t="s">
        <v>3</v>
      </c>
      <c r="F167" s="6" t="s">
        <v>51</v>
      </c>
      <c r="G167" s="7">
        <v>1650</v>
      </c>
      <c r="H167" s="110">
        <v>400</v>
      </c>
      <c r="I167" s="6">
        <v>150</v>
      </c>
      <c r="J167">
        <v>12.309479999999999</v>
      </c>
      <c r="K167">
        <v>0.83704464000000001</v>
      </c>
      <c r="L167">
        <v>90</v>
      </c>
      <c r="M167">
        <v>-30</v>
      </c>
      <c r="N167">
        <v>12.494122199999998</v>
      </c>
      <c r="O167">
        <v>0.84960030959999977</v>
      </c>
      <c r="P167" s="139">
        <v>45444</v>
      </c>
      <c r="Q167" s="113"/>
    </row>
    <row r="168" spans="2:17" customFormat="1">
      <c r="B168" s="229">
        <v>483</v>
      </c>
      <c r="C168" s="6">
        <v>1870</v>
      </c>
      <c r="D168" s="1">
        <v>68</v>
      </c>
      <c r="E168" s="27" t="s">
        <v>3</v>
      </c>
      <c r="F168" s="6" t="s">
        <v>51</v>
      </c>
      <c r="G168" s="7">
        <v>1800</v>
      </c>
      <c r="H168" s="7">
        <v>400</v>
      </c>
      <c r="I168" s="6">
        <v>100</v>
      </c>
      <c r="J168">
        <v>13.318380000000001</v>
      </c>
      <c r="K168">
        <v>0.90564984000000004</v>
      </c>
      <c r="L168">
        <v>90</v>
      </c>
      <c r="M168">
        <v>-30</v>
      </c>
      <c r="N168">
        <v>13.518155699999999</v>
      </c>
      <c r="O168">
        <v>0.91923458759999999</v>
      </c>
      <c r="P168" s="139">
        <v>45323</v>
      </c>
      <c r="Q168" s="113"/>
    </row>
    <row r="169" spans="2:17" customFormat="1">
      <c r="B169" s="229">
        <v>483</v>
      </c>
      <c r="C169" s="6">
        <v>1870</v>
      </c>
      <c r="D169" s="1">
        <v>68</v>
      </c>
      <c r="E169" s="27" t="s">
        <v>2</v>
      </c>
      <c r="F169" t="s">
        <v>51</v>
      </c>
      <c r="G169" s="7">
        <v>1730</v>
      </c>
      <c r="H169" t="s">
        <v>481</v>
      </c>
      <c r="I169">
        <v>200</v>
      </c>
      <c r="J169">
        <v>11.590673200000001</v>
      </c>
      <c r="K169">
        <v>0.78816577760000017</v>
      </c>
      <c r="L169">
        <v>120</v>
      </c>
      <c r="M169">
        <v>15</v>
      </c>
      <c r="N169">
        <v>11.504709047823512</v>
      </c>
      <c r="O169">
        <v>0.78232021525199891</v>
      </c>
      <c r="P169" s="139">
        <v>46211</v>
      </c>
      <c r="Q169" s="113"/>
    </row>
    <row r="170" spans="2:17" customFormat="1">
      <c r="B170" s="229">
        <v>483</v>
      </c>
      <c r="C170" s="6">
        <v>1870</v>
      </c>
      <c r="D170" s="1">
        <v>68</v>
      </c>
      <c r="E170" s="5" t="s">
        <v>108</v>
      </c>
      <c r="F170" s="6" t="s">
        <v>51</v>
      </c>
      <c r="G170" s="7">
        <v>2830</v>
      </c>
      <c r="H170">
        <v>500</v>
      </c>
      <c r="I170">
        <v>20</v>
      </c>
      <c r="J170">
        <v>19.101373200000001</v>
      </c>
      <c r="K170">
        <v>1.2988933776</v>
      </c>
      <c r="L170">
        <v>30</v>
      </c>
      <c r="M170">
        <v>-75</v>
      </c>
      <c r="N170">
        <v>19.82575319519351</v>
      </c>
      <c r="O170">
        <v>1.3481512172731587</v>
      </c>
      <c r="P170" s="139">
        <v>46211</v>
      </c>
      <c r="Q170" s="113"/>
    </row>
    <row r="171" spans="2:17" customFormat="1">
      <c r="B171" s="229">
        <v>483</v>
      </c>
      <c r="C171" s="6">
        <v>1870</v>
      </c>
      <c r="D171" s="1">
        <v>68</v>
      </c>
      <c r="E171" s="5" t="s">
        <v>108</v>
      </c>
      <c r="F171" s="6" t="s">
        <v>51</v>
      </c>
      <c r="G171" s="7">
        <v>2130</v>
      </c>
      <c r="H171">
        <v>500</v>
      </c>
      <c r="I171">
        <v>80</v>
      </c>
      <c r="J171">
        <v>14.434473200000001</v>
      </c>
      <c r="K171">
        <v>0.98154417760000001</v>
      </c>
      <c r="L171">
        <v>30</v>
      </c>
      <c r="M171">
        <v>-75</v>
      </c>
      <c r="N171">
        <v>14.981870683822621</v>
      </c>
      <c r="O171">
        <v>1.0187672064999382</v>
      </c>
      <c r="P171" s="139">
        <v>46211</v>
      </c>
      <c r="Q171" s="113"/>
    </row>
    <row r="172" spans="2:17" customFormat="1">
      <c r="B172" s="229">
        <v>483</v>
      </c>
      <c r="C172" s="6">
        <v>1870</v>
      </c>
      <c r="D172" s="1">
        <v>68</v>
      </c>
      <c r="E172" s="5" t="s">
        <v>108</v>
      </c>
      <c r="F172" s="6" t="s">
        <v>51</v>
      </c>
      <c r="G172" s="7">
        <v>2330</v>
      </c>
      <c r="H172">
        <v>500</v>
      </c>
      <c r="I172">
        <v>50</v>
      </c>
      <c r="J172">
        <v>15.767873200000002</v>
      </c>
      <c r="K172">
        <v>1.0722153776000001</v>
      </c>
      <c r="L172">
        <v>30</v>
      </c>
      <c r="M172">
        <v>-75</v>
      </c>
      <c r="N172">
        <v>16.365837115642876</v>
      </c>
      <c r="O172">
        <v>1.1128769238637155</v>
      </c>
      <c r="P172" s="139">
        <v>46211</v>
      </c>
      <c r="Q172" s="113"/>
    </row>
    <row r="173" spans="2:17" customFormat="1">
      <c r="B173" s="229">
        <v>483</v>
      </c>
      <c r="C173" s="6">
        <v>1870</v>
      </c>
      <c r="D173" s="1">
        <v>68</v>
      </c>
      <c r="E173" s="5" t="s">
        <v>0</v>
      </c>
      <c r="F173" s="6" t="s">
        <v>267</v>
      </c>
      <c r="G173" s="7">
        <v>11900</v>
      </c>
      <c r="H173" s="110">
        <v>3300</v>
      </c>
      <c r="I173" s="6">
        <v>100</v>
      </c>
      <c r="J173">
        <v>11.386080000000002</v>
      </c>
      <c r="K173">
        <v>0.77425344000000007</v>
      </c>
      <c r="L173">
        <v>90</v>
      </c>
      <c r="M173">
        <v>-30</v>
      </c>
      <c r="N173">
        <v>11.5568712</v>
      </c>
      <c r="O173">
        <v>0.78586724159999988</v>
      </c>
      <c r="P173" s="139">
        <v>46023</v>
      </c>
      <c r="Q173" s="113"/>
    </row>
    <row r="174" spans="2:17" customFormat="1">
      <c r="B174" s="229">
        <v>483</v>
      </c>
      <c r="C174" s="6">
        <v>1870</v>
      </c>
      <c r="D174" s="1">
        <v>68</v>
      </c>
      <c r="E174" s="5" t="s">
        <v>0</v>
      </c>
      <c r="F174" s="6" t="s">
        <v>51</v>
      </c>
      <c r="G174" s="7">
        <v>1600</v>
      </c>
      <c r="H174" s="110">
        <v>400</v>
      </c>
      <c r="I174">
        <v>100</v>
      </c>
      <c r="J174">
        <v>11.973180000000001</v>
      </c>
      <c r="K174">
        <v>0.81417624000000011</v>
      </c>
      <c r="L174">
        <v>90</v>
      </c>
      <c r="M174">
        <v>-30</v>
      </c>
      <c r="N174">
        <v>12.1527777</v>
      </c>
      <c r="O174">
        <v>0.82638888359999996</v>
      </c>
      <c r="P174" s="139">
        <v>45717</v>
      </c>
      <c r="Q174" s="113"/>
    </row>
    <row r="175" spans="2:17" customFormat="1">
      <c r="B175" s="229">
        <v>483</v>
      </c>
      <c r="C175" s="6">
        <v>1870</v>
      </c>
      <c r="D175" s="1">
        <v>70</v>
      </c>
      <c r="E175" s="27" t="s">
        <v>67</v>
      </c>
      <c r="F175" s="6" t="s">
        <v>51</v>
      </c>
      <c r="G175" s="7">
        <v>1750</v>
      </c>
      <c r="H175" s="6" t="s">
        <v>481</v>
      </c>
      <c r="I175" s="6">
        <v>300</v>
      </c>
      <c r="J175">
        <v>11.901013200000001</v>
      </c>
      <c r="K175">
        <v>0.83307092400000005</v>
      </c>
      <c r="L175">
        <v>90</v>
      </c>
      <c r="M175">
        <v>-15</v>
      </c>
      <c r="N175">
        <v>11.989938570083371</v>
      </c>
      <c r="O175">
        <v>0.83929569990583597</v>
      </c>
      <c r="P175" s="139">
        <v>46023</v>
      </c>
      <c r="Q175" s="113"/>
    </row>
    <row r="176" spans="2:17" customFormat="1">
      <c r="B176" s="229">
        <v>483</v>
      </c>
      <c r="C176" s="6">
        <v>1870</v>
      </c>
      <c r="D176" s="1">
        <v>70</v>
      </c>
      <c r="E176" s="27" t="s">
        <v>67</v>
      </c>
      <c r="F176" s="6" t="s">
        <v>51</v>
      </c>
      <c r="G176" s="7">
        <v>1850</v>
      </c>
      <c r="H176" t="s">
        <v>481</v>
      </c>
      <c r="I176">
        <v>300</v>
      </c>
      <c r="J176">
        <v>12.567713200000002</v>
      </c>
      <c r="K176">
        <v>0.87973992400000012</v>
      </c>
      <c r="L176">
        <v>90</v>
      </c>
      <c r="M176">
        <v>-15</v>
      </c>
      <c r="N176">
        <v>12.661620208473169</v>
      </c>
      <c r="O176">
        <v>0.88631341459312185</v>
      </c>
      <c r="P176" s="139">
        <v>46174</v>
      </c>
      <c r="Q176" s="113"/>
    </row>
    <row r="177" spans="2:17" customFormat="1">
      <c r="B177" s="229">
        <v>483</v>
      </c>
      <c r="C177" s="6">
        <v>1870</v>
      </c>
      <c r="D177" s="1">
        <v>70</v>
      </c>
      <c r="E177" s="27" t="s">
        <v>67</v>
      </c>
      <c r="F177" s="6" t="s">
        <v>51</v>
      </c>
      <c r="G177" s="7">
        <v>1900</v>
      </c>
      <c r="H177" t="s">
        <v>481</v>
      </c>
      <c r="I177" s="6">
        <v>100</v>
      </c>
      <c r="J177">
        <v>12.901063200000001</v>
      </c>
      <c r="K177">
        <v>0.90307442400000015</v>
      </c>
      <c r="L177">
        <v>90</v>
      </c>
      <c r="M177">
        <v>-15</v>
      </c>
      <c r="N177">
        <v>12.997461027668065</v>
      </c>
      <c r="O177">
        <v>0.90982227193676446</v>
      </c>
      <c r="P177" s="139">
        <v>46023</v>
      </c>
      <c r="Q177" s="113"/>
    </row>
    <row r="178" spans="2:17" customFormat="1">
      <c r="B178" s="229">
        <v>483</v>
      </c>
      <c r="C178" s="6">
        <v>1870</v>
      </c>
      <c r="D178" s="1">
        <v>70</v>
      </c>
      <c r="E178" s="27" t="s">
        <v>67</v>
      </c>
      <c r="F178" s="6" t="s">
        <v>51</v>
      </c>
      <c r="G178" s="7">
        <v>2050</v>
      </c>
      <c r="H178" t="s">
        <v>481</v>
      </c>
      <c r="I178" s="6">
        <v>50</v>
      </c>
      <c r="J178">
        <v>13.901113199999999</v>
      </c>
      <c r="K178">
        <v>0.97307792399999993</v>
      </c>
      <c r="L178">
        <v>90</v>
      </c>
      <c r="M178">
        <v>-15</v>
      </c>
      <c r="N178">
        <v>14.004983485252756</v>
      </c>
      <c r="O178">
        <v>0.98034884396769295</v>
      </c>
      <c r="P178" s="139">
        <v>46023</v>
      </c>
      <c r="Q178" s="113"/>
    </row>
    <row r="179" spans="2:17" customFormat="1">
      <c r="B179" s="229">
        <v>483</v>
      </c>
      <c r="C179" s="6">
        <v>1870</v>
      </c>
      <c r="D179" s="1">
        <v>70</v>
      </c>
      <c r="E179" s="27" t="s">
        <v>67</v>
      </c>
      <c r="F179" s="6" t="s">
        <v>51</v>
      </c>
      <c r="G179" s="7">
        <v>2220</v>
      </c>
      <c r="H179" t="s">
        <v>481</v>
      </c>
      <c r="I179">
        <v>50</v>
      </c>
      <c r="J179">
        <v>15.034503200000003</v>
      </c>
      <c r="K179">
        <v>1.0524152240000002</v>
      </c>
      <c r="L179">
        <v>90</v>
      </c>
      <c r="M179">
        <v>-15</v>
      </c>
      <c r="N179">
        <v>15.146842270515412</v>
      </c>
      <c r="O179">
        <v>1.0602789589360788</v>
      </c>
      <c r="P179" s="139">
        <v>46174</v>
      </c>
      <c r="Q179" s="113"/>
    </row>
    <row r="180" spans="2:17" customFormat="1">
      <c r="B180" s="229">
        <v>483</v>
      </c>
      <c r="C180" s="6">
        <v>1870</v>
      </c>
      <c r="D180" s="1">
        <v>70</v>
      </c>
      <c r="E180" s="27" t="s">
        <v>67</v>
      </c>
      <c r="F180" s="6" t="s">
        <v>51</v>
      </c>
      <c r="G180" s="7">
        <v>2350</v>
      </c>
      <c r="H180" t="s">
        <v>481</v>
      </c>
      <c r="I180" s="6">
        <v>25</v>
      </c>
      <c r="J180">
        <v>15.901213200000003</v>
      </c>
      <c r="K180">
        <v>1.1130849240000003</v>
      </c>
      <c r="L180">
        <v>90</v>
      </c>
      <c r="M180">
        <v>-15</v>
      </c>
      <c r="N180">
        <v>16.020028400422145</v>
      </c>
      <c r="O180">
        <v>1.1214019880295503</v>
      </c>
      <c r="P180" s="139">
        <v>46023</v>
      </c>
      <c r="Q180" s="113"/>
    </row>
    <row r="181" spans="2:17" customFormat="1">
      <c r="B181" s="229">
        <v>483</v>
      </c>
      <c r="C181" s="6">
        <v>1870</v>
      </c>
      <c r="D181" s="1">
        <v>70</v>
      </c>
      <c r="E181" s="27" t="s">
        <v>67</v>
      </c>
      <c r="F181" s="6" t="s">
        <v>51</v>
      </c>
      <c r="G181" s="7">
        <v>2590</v>
      </c>
      <c r="H181" t="s">
        <v>481</v>
      </c>
      <c r="I181">
        <v>25</v>
      </c>
      <c r="J181">
        <v>17.501293199999999</v>
      </c>
      <c r="K181">
        <v>1.2250905240000001</v>
      </c>
      <c r="L181">
        <v>90</v>
      </c>
      <c r="M181">
        <v>-15</v>
      </c>
      <c r="N181">
        <v>17.632064332557654</v>
      </c>
      <c r="O181">
        <v>1.2342445032790359</v>
      </c>
      <c r="P181" s="139">
        <v>46174</v>
      </c>
      <c r="Q181" s="113"/>
    </row>
    <row r="182" spans="2:17" customFormat="1">
      <c r="B182" s="229">
        <v>483</v>
      </c>
      <c r="C182" s="6">
        <v>1870</v>
      </c>
      <c r="D182" s="1">
        <v>70</v>
      </c>
      <c r="E182" s="27" t="s">
        <v>67</v>
      </c>
      <c r="F182" s="6" t="s">
        <v>51</v>
      </c>
      <c r="G182" s="7">
        <v>2040</v>
      </c>
      <c r="H182" t="s">
        <v>481</v>
      </c>
      <c r="I182">
        <v>150</v>
      </c>
      <c r="J182">
        <v>13.834443200000003</v>
      </c>
      <c r="K182">
        <v>0.96841102400000023</v>
      </c>
      <c r="L182">
        <v>90</v>
      </c>
      <c r="M182">
        <v>-15</v>
      </c>
      <c r="N182">
        <v>13.93781532141378</v>
      </c>
      <c r="O182">
        <v>0.97564707249896465</v>
      </c>
      <c r="P182" s="139">
        <v>46174</v>
      </c>
      <c r="Q182" s="113"/>
    </row>
    <row r="183" spans="2:17" customFormat="1">
      <c r="B183" s="229">
        <v>483</v>
      </c>
      <c r="C183" s="6">
        <v>1870</v>
      </c>
      <c r="D183" s="1">
        <v>70</v>
      </c>
      <c r="E183" s="27" t="s">
        <v>67</v>
      </c>
      <c r="F183" s="6" t="s">
        <v>51</v>
      </c>
      <c r="G183" s="7">
        <v>2090</v>
      </c>
      <c r="H183" t="s">
        <v>481</v>
      </c>
      <c r="I183">
        <v>100</v>
      </c>
      <c r="J183">
        <v>14.1677932</v>
      </c>
      <c r="K183">
        <v>0.99174552400000004</v>
      </c>
      <c r="L183">
        <v>90</v>
      </c>
      <c r="M183">
        <v>-15</v>
      </c>
      <c r="N183">
        <v>14.273656140608676</v>
      </c>
      <c r="O183">
        <v>0.99915592984260726</v>
      </c>
      <c r="P183" s="139">
        <v>46174</v>
      </c>
      <c r="Q183" s="113"/>
    </row>
    <row r="184" spans="2:17" customFormat="1">
      <c r="B184" s="229">
        <v>483</v>
      </c>
      <c r="C184" s="6">
        <v>1870</v>
      </c>
      <c r="D184" s="1">
        <v>70</v>
      </c>
      <c r="E184" s="27" t="s">
        <v>67</v>
      </c>
      <c r="F184" s="6" t="s">
        <v>51</v>
      </c>
      <c r="G184" s="7">
        <v>1790</v>
      </c>
      <c r="H184" s="28" t="s">
        <v>481</v>
      </c>
      <c r="I184" s="6">
        <v>150</v>
      </c>
      <c r="J184">
        <v>12.167693200000002</v>
      </c>
      <c r="K184">
        <v>0.85173852400000016</v>
      </c>
      <c r="L184">
        <v>90</v>
      </c>
      <c r="M184">
        <v>-15</v>
      </c>
      <c r="N184">
        <v>12.25861122543929</v>
      </c>
      <c r="O184">
        <v>0.85810278578075039</v>
      </c>
      <c r="P184" s="139">
        <v>46023</v>
      </c>
      <c r="Q184" s="113"/>
    </row>
    <row r="185" spans="2:17" customFormat="1">
      <c r="B185" s="229">
        <v>483</v>
      </c>
      <c r="C185" s="6" t="s">
        <v>481</v>
      </c>
      <c r="Q185" s="113"/>
    </row>
    <row r="186" spans="2:17" customFormat="1">
      <c r="B186" s="229">
        <v>497</v>
      </c>
      <c r="C186" s="6">
        <v>1855</v>
      </c>
      <c r="D186" s="1">
        <v>80</v>
      </c>
      <c r="E186" s="5" t="s">
        <v>1</v>
      </c>
      <c r="F186" s="6" t="s">
        <v>46</v>
      </c>
      <c r="G186" s="7">
        <v>25933</v>
      </c>
      <c r="H186" t="s">
        <v>481</v>
      </c>
      <c r="I186">
        <v>20</v>
      </c>
      <c r="J186">
        <v>26.132999999999999</v>
      </c>
      <c r="K186">
        <v>2.0906400000000001</v>
      </c>
      <c r="L186">
        <v>0</v>
      </c>
      <c r="M186">
        <v>-45</v>
      </c>
      <c r="N186">
        <v>26.723191990222183</v>
      </c>
      <c r="O186">
        <v>2.1378553592177747</v>
      </c>
      <c r="P186" s="139">
        <v>46211</v>
      </c>
      <c r="Q186" s="113"/>
    </row>
    <row r="187" spans="2:17" customFormat="1">
      <c r="B187" s="229">
        <v>497</v>
      </c>
      <c r="C187" s="6" t="s">
        <v>481</v>
      </c>
      <c r="Q187" s="113"/>
    </row>
    <row r="188" spans="2:17" customFormat="1">
      <c r="B188" s="229">
        <v>664</v>
      </c>
      <c r="C188" s="6" t="s">
        <v>481</v>
      </c>
      <c r="Q188" s="113"/>
    </row>
    <row r="189" spans="2:17" customFormat="1">
      <c r="B189" s="229">
        <v>689</v>
      </c>
      <c r="C189" s="6">
        <v>1270</v>
      </c>
      <c r="D189" s="1">
        <v>68</v>
      </c>
      <c r="E189" s="27" t="s">
        <v>3</v>
      </c>
      <c r="F189" s="6" t="s">
        <v>267</v>
      </c>
      <c r="G189" s="7">
        <v>12000</v>
      </c>
      <c r="H189" s="110">
        <v>3300</v>
      </c>
      <c r="I189" s="6">
        <v>100</v>
      </c>
      <c r="J189">
        <v>11.471579999999999</v>
      </c>
      <c r="K189">
        <v>0.78006743999999995</v>
      </c>
      <c r="L189">
        <v>90</v>
      </c>
      <c r="M189">
        <v>-30</v>
      </c>
      <c r="N189">
        <v>11.643653699999998</v>
      </c>
      <c r="O189">
        <v>0.79176845159999987</v>
      </c>
      <c r="P189" s="139">
        <v>46023</v>
      </c>
      <c r="Q189" s="113"/>
    </row>
    <row r="190" spans="2:17" customFormat="1">
      <c r="B190" s="229">
        <v>689</v>
      </c>
      <c r="C190" s="6">
        <v>1270</v>
      </c>
      <c r="D190" s="1">
        <v>68</v>
      </c>
      <c r="E190" s="27" t="s">
        <v>3</v>
      </c>
      <c r="F190" s="6" t="s">
        <v>51</v>
      </c>
      <c r="G190" s="7">
        <v>1650</v>
      </c>
      <c r="H190" s="110">
        <v>400</v>
      </c>
      <c r="I190">
        <v>100</v>
      </c>
      <c r="J190">
        <v>12.309479999999999</v>
      </c>
      <c r="K190">
        <v>0.83704464000000001</v>
      </c>
      <c r="L190">
        <v>90</v>
      </c>
      <c r="M190">
        <v>-30</v>
      </c>
      <c r="N190">
        <v>12.494122199999998</v>
      </c>
      <c r="O190">
        <v>0.84960030959999977</v>
      </c>
      <c r="P190" s="139">
        <v>45444</v>
      </c>
      <c r="Q190" s="113"/>
    </row>
    <row r="191" spans="2:17" customFormat="1">
      <c r="B191" s="229">
        <v>689</v>
      </c>
      <c r="C191" s="6">
        <v>1870</v>
      </c>
      <c r="D191" s="1">
        <v>68</v>
      </c>
      <c r="E191" s="27" t="s">
        <v>3</v>
      </c>
      <c r="F191" s="6" t="s">
        <v>267</v>
      </c>
      <c r="G191" s="7">
        <v>12000</v>
      </c>
      <c r="H191" s="110">
        <v>3300</v>
      </c>
      <c r="I191">
        <v>100</v>
      </c>
      <c r="J191">
        <v>11.471579999999999</v>
      </c>
      <c r="K191">
        <v>0.78006743999999995</v>
      </c>
      <c r="L191">
        <v>90</v>
      </c>
      <c r="M191">
        <v>-30</v>
      </c>
      <c r="N191">
        <v>11.643653699999998</v>
      </c>
      <c r="O191">
        <v>0.79176845159999987</v>
      </c>
      <c r="P191" s="139">
        <v>46023</v>
      </c>
      <c r="Q191" s="113"/>
    </row>
    <row r="192" spans="2:17" customFormat="1">
      <c r="B192" s="229">
        <v>689</v>
      </c>
      <c r="C192" s="6">
        <v>1870</v>
      </c>
      <c r="D192" s="1">
        <v>68</v>
      </c>
      <c r="E192" s="27" t="s">
        <v>3</v>
      </c>
      <c r="F192" s="6" t="s">
        <v>51</v>
      </c>
      <c r="G192" s="7">
        <v>1650</v>
      </c>
      <c r="H192" s="110">
        <v>400</v>
      </c>
      <c r="I192" s="6">
        <v>150</v>
      </c>
      <c r="J192">
        <v>12.309479999999999</v>
      </c>
      <c r="K192">
        <v>0.83704464000000001</v>
      </c>
      <c r="L192">
        <v>90</v>
      </c>
      <c r="M192">
        <v>-30</v>
      </c>
      <c r="N192">
        <v>12.494122199999998</v>
      </c>
      <c r="O192">
        <v>0.84960030959999977</v>
      </c>
      <c r="P192" s="139">
        <v>45444</v>
      </c>
      <c r="Q192" s="113"/>
    </row>
    <row r="193" spans="2:17" customFormat="1">
      <c r="B193" s="229">
        <v>689</v>
      </c>
      <c r="C193" s="6">
        <v>1870</v>
      </c>
      <c r="D193" s="1">
        <v>68</v>
      </c>
      <c r="E193" s="27" t="s">
        <v>3</v>
      </c>
      <c r="F193" s="6" t="s">
        <v>51</v>
      </c>
      <c r="G193" s="7">
        <v>1800</v>
      </c>
      <c r="H193" s="7">
        <v>400</v>
      </c>
      <c r="I193" s="6">
        <v>100</v>
      </c>
      <c r="J193">
        <v>13.318380000000001</v>
      </c>
      <c r="K193">
        <v>0.90564984000000004</v>
      </c>
      <c r="L193">
        <v>90</v>
      </c>
      <c r="M193">
        <v>-30</v>
      </c>
      <c r="N193">
        <v>13.518155699999999</v>
      </c>
      <c r="O193">
        <v>0.91923458759999999</v>
      </c>
      <c r="P193" s="139">
        <v>45323</v>
      </c>
      <c r="Q193" s="113"/>
    </row>
    <row r="194" spans="2:17" customFormat="1">
      <c r="B194" s="229">
        <v>689</v>
      </c>
      <c r="C194" s="6">
        <v>1870</v>
      </c>
      <c r="D194" s="1">
        <v>68</v>
      </c>
      <c r="E194" s="27" t="s">
        <v>2</v>
      </c>
      <c r="F194" t="s">
        <v>51</v>
      </c>
      <c r="G194" s="7">
        <v>1730</v>
      </c>
      <c r="H194" t="s">
        <v>481</v>
      </c>
      <c r="I194">
        <v>100</v>
      </c>
      <c r="J194">
        <v>11.590673200000001</v>
      </c>
      <c r="K194">
        <v>0.78816577760000017</v>
      </c>
      <c r="L194">
        <v>120</v>
      </c>
      <c r="M194">
        <v>15</v>
      </c>
      <c r="N194">
        <v>11.504709047823512</v>
      </c>
      <c r="O194">
        <v>0.78232021525199891</v>
      </c>
      <c r="P194" s="139">
        <v>46211</v>
      </c>
      <c r="Q194" s="113"/>
    </row>
    <row r="195" spans="2:17" customFormat="1">
      <c r="B195" s="229">
        <v>689</v>
      </c>
      <c r="C195" s="6">
        <v>1870</v>
      </c>
      <c r="D195" s="1">
        <v>68</v>
      </c>
      <c r="E195" s="27" t="s">
        <v>2</v>
      </c>
      <c r="F195" t="s">
        <v>51</v>
      </c>
      <c r="G195" s="7">
        <v>1750</v>
      </c>
      <c r="H195" s="110" t="s">
        <v>481</v>
      </c>
      <c r="I195">
        <v>70</v>
      </c>
      <c r="J195">
        <v>11.724013200000002</v>
      </c>
      <c r="K195">
        <v>0.79723289760000005</v>
      </c>
      <c r="L195">
        <v>120</v>
      </c>
      <c r="M195">
        <v>15</v>
      </c>
      <c r="N195">
        <v>11.637060109575197</v>
      </c>
      <c r="O195">
        <v>0.79132008745111337</v>
      </c>
      <c r="P195" s="139">
        <v>46211</v>
      </c>
      <c r="Q195" s="113"/>
    </row>
    <row r="196" spans="2:17" customFormat="1">
      <c r="B196" s="229">
        <v>689</v>
      </c>
      <c r="C196" s="6">
        <v>1870</v>
      </c>
      <c r="D196" s="1">
        <v>68</v>
      </c>
      <c r="E196" s="27" t="s">
        <v>2</v>
      </c>
      <c r="F196" t="s">
        <v>51</v>
      </c>
      <c r="G196" s="7">
        <v>1830</v>
      </c>
      <c r="H196" t="s">
        <v>481</v>
      </c>
      <c r="I196">
        <v>30</v>
      </c>
      <c r="J196">
        <v>12.257373200000002</v>
      </c>
      <c r="K196">
        <v>0.83350137760000009</v>
      </c>
      <c r="L196">
        <v>120</v>
      </c>
      <c r="M196">
        <v>15</v>
      </c>
      <c r="N196">
        <v>12.166464356581931</v>
      </c>
      <c r="O196">
        <v>0.82731957624757124</v>
      </c>
      <c r="P196" s="139">
        <v>46211</v>
      </c>
      <c r="Q196" s="113"/>
    </row>
    <row r="197" spans="2:17" customFormat="1">
      <c r="B197" s="229">
        <v>689</v>
      </c>
      <c r="C197" s="6">
        <v>1870</v>
      </c>
      <c r="D197" s="1">
        <v>68</v>
      </c>
      <c r="E197" s="27" t="s">
        <v>2</v>
      </c>
      <c r="F197" t="s">
        <v>51</v>
      </c>
      <c r="G197" s="7">
        <v>1780</v>
      </c>
      <c r="H197" t="s">
        <v>481</v>
      </c>
      <c r="I197">
        <v>50</v>
      </c>
      <c r="J197">
        <v>11.924023200000002</v>
      </c>
      <c r="K197">
        <v>0.81083357760000008</v>
      </c>
      <c r="L197">
        <v>120</v>
      </c>
      <c r="M197">
        <v>15</v>
      </c>
      <c r="N197">
        <v>11.835586702202722</v>
      </c>
      <c r="O197">
        <v>0.80481989574978507</v>
      </c>
      <c r="P197" s="139">
        <v>46211</v>
      </c>
      <c r="Q197" s="113"/>
    </row>
    <row r="198" spans="2:17" customFormat="1">
      <c r="B198" s="229">
        <v>689</v>
      </c>
      <c r="C198" s="6">
        <v>1870</v>
      </c>
      <c r="D198" s="1">
        <v>68</v>
      </c>
      <c r="E198" s="5" t="s">
        <v>108</v>
      </c>
      <c r="F198" s="6" t="s">
        <v>51</v>
      </c>
      <c r="G198" s="7">
        <v>2020</v>
      </c>
      <c r="H198">
        <v>500</v>
      </c>
      <c r="I198">
        <v>80</v>
      </c>
      <c r="J198">
        <v>13.701103200000002</v>
      </c>
      <c r="K198">
        <v>0.93167501760000015</v>
      </c>
      <c r="L198">
        <v>30</v>
      </c>
      <c r="M198">
        <v>-75</v>
      </c>
      <c r="N198">
        <v>14.220689146321483</v>
      </c>
      <c r="O198">
        <v>0.96700686194986085</v>
      </c>
      <c r="P198" s="139">
        <v>46211</v>
      </c>
      <c r="Q198" s="113"/>
    </row>
    <row r="199" spans="2:17" customFormat="1">
      <c r="B199" s="229">
        <v>689</v>
      </c>
      <c r="C199" s="6">
        <v>1870</v>
      </c>
      <c r="D199" s="1">
        <v>68</v>
      </c>
      <c r="E199" s="5" t="s">
        <v>108</v>
      </c>
      <c r="F199" s="6" t="s">
        <v>51</v>
      </c>
      <c r="G199" s="7">
        <v>2220</v>
      </c>
      <c r="H199">
        <v>500</v>
      </c>
      <c r="I199">
        <v>50</v>
      </c>
      <c r="J199">
        <v>15.034503200000003</v>
      </c>
      <c r="K199">
        <v>1.0223462176000002</v>
      </c>
      <c r="L199">
        <v>30</v>
      </c>
      <c r="M199">
        <v>-75</v>
      </c>
      <c r="N199">
        <v>15.604655578141738</v>
      </c>
      <c r="O199">
        <v>1.0611165793136381</v>
      </c>
      <c r="P199" s="139">
        <v>46211</v>
      </c>
      <c r="Q199" s="113"/>
    </row>
    <row r="200" spans="2:17" customFormat="1">
      <c r="B200" s="229">
        <v>689</v>
      </c>
      <c r="C200" s="6">
        <v>1870</v>
      </c>
      <c r="D200" s="1">
        <v>68</v>
      </c>
      <c r="E200" s="5" t="s">
        <v>108</v>
      </c>
      <c r="F200" s="6" t="s">
        <v>51</v>
      </c>
      <c r="G200" s="7">
        <v>2720</v>
      </c>
      <c r="H200">
        <v>500</v>
      </c>
      <c r="I200">
        <v>20</v>
      </c>
      <c r="J200">
        <v>18.3680032</v>
      </c>
      <c r="K200">
        <v>1.2490242175999999</v>
      </c>
      <c r="L200">
        <v>30</v>
      </c>
      <c r="M200">
        <v>-75</v>
      </c>
      <c r="N200">
        <v>19.064571657692369</v>
      </c>
      <c r="O200">
        <v>1.2963908727230811</v>
      </c>
      <c r="P200" s="139">
        <v>46211</v>
      </c>
      <c r="Q200" s="113"/>
    </row>
    <row r="201" spans="2:17" customFormat="1">
      <c r="B201" s="229">
        <v>689</v>
      </c>
      <c r="C201" s="6">
        <v>1870</v>
      </c>
      <c r="D201" s="1">
        <v>68</v>
      </c>
      <c r="E201" s="5" t="s">
        <v>0</v>
      </c>
      <c r="F201" s="6" t="s">
        <v>267</v>
      </c>
      <c r="G201" s="7">
        <v>11900</v>
      </c>
      <c r="H201" s="110">
        <v>3300</v>
      </c>
      <c r="I201" s="6">
        <v>100</v>
      </c>
      <c r="J201">
        <v>11.386080000000002</v>
      </c>
      <c r="K201">
        <v>0.77425344000000007</v>
      </c>
      <c r="L201">
        <v>90</v>
      </c>
      <c r="M201">
        <v>-30</v>
      </c>
      <c r="N201">
        <v>11.5568712</v>
      </c>
      <c r="O201">
        <v>0.78586724159999988</v>
      </c>
      <c r="P201" s="139">
        <v>46023</v>
      </c>
      <c r="Q201" s="113"/>
    </row>
    <row r="202" spans="2:17" customFormat="1">
      <c r="B202" s="229">
        <v>689</v>
      </c>
      <c r="C202" s="6">
        <v>1870</v>
      </c>
      <c r="D202" s="1">
        <v>70</v>
      </c>
      <c r="E202" s="27" t="s">
        <v>67</v>
      </c>
      <c r="F202" s="6" t="s">
        <v>51</v>
      </c>
      <c r="G202" s="7">
        <v>1890</v>
      </c>
      <c r="H202" s="6" t="s">
        <v>481</v>
      </c>
      <c r="I202" s="6">
        <v>50</v>
      </c>
      <c r="J202">
        <v>12.834393199999999</v>
      </c>
      <c r="K202">
        <v>0.8984075239999999</v>
      </c>
      <c r="L202">
        <v>90</v>
      </c>
      <c r="M202">
        <v>-15</v>
      </c>
      <c r="N202">
        <v>12.930292863829084</v>
      </c>
      <c r="O202">
        <v>0.90512050046803594</v>
      </c>
      <c r="P202" s="139">
        <v>46023</v>
      </c>
      <c r="Q202" s="113"/>
    </row>
    <row r="203" spans="2:17" customFormat="1">
      <c r="B203" s="229">
        <v>689</v>
      </c>
      <c r="C203" s="6">
        <v>1870</v>
      </c>
      <c r="D203" s="1">
        <v>70</v>
      </c>
      <c r="E203" s="27" t="s">
        <v>67</v>
      </c>
      <c r="F203" s="6" t="s">
        <v>51</v>
      </c>
      <c r="G203" s="7">
        <v>2350</v>
      </c>
      <c r="H203" t="s">
        <v>481</v>
      </c>
      <c r="I203" s="6">
        <v>25</v>
      </c>
      <c r="J203">
        <v>15.901213200000003</v>
      </c>
      <c r="K203">
        <v>1.1130849240000003</v>
      </c>
      <c r="L203">
        <v>90</v>
      </c>
      <c r="M203">
        <v>-15</v>
      </c>
      <c r="N203">
        <v>16.020028400422145</v>
      </c>
      <c r="O203">
        <v>1.1214019880295503</v>
      </c>
      <c r="P203" s="139">
        <v>46023</v>
      </c>
      <c r="Q203" s="113"/>
    </row>
    <row r="204" spans="2:17" customFormat="1">
      <c r="B204" s="229">
        <v>689</v>
      </c>
      <c r="C204" s="6">
        <v>1870</v>
      </c>
      <c r="D204" s="1">
        <v>70</v>
      </c>
      <c r="E204" s="27" t="s">
        <v>67</v>
      </c>
      <c r="F204" s="6" t="s">
        <v>51</v>
      </c>
      <c r="G204" s="7">
        <v>1790</v>
      </c>
      <c r="H204" s="28" t="s">
        <v>481</v>
      </c>
      <c r="I204" s="6">
        <v>100</v>
      </c>
      <c r="J204">
        <v>12.167693200000002</v>
      </c>
      <c r="K204">
        <v>0.85173852400000016</v>
      </c>
      <c r="L204">
        <v>90</v>
      </c>
      <c r="M204">
        <v>-15</v>
      </c>
      <c r="N204">
        <v>12.25861122543929</v>
      </c>
      <c r="O204">
        <v>0.85810278578075039</v>
      </c>
      <c r="P204" s="139">
        <v>46023</v>
      </c>
      <c r="Q204" s="113"/>
    </row>
    <row r="205" spans="2:17" customFormat="1">
      <c r="B205" s="229">
        <v>689</v>
      </c>
      <c r="C205" s="6">
        <v>2175</v>
      </c>
      <c r="D205" s="1">
        <v>68</v>
      </c>
      <c r="E205" s="27" t="s">
        <v>3</v>
      </c>
      <c r="F205" s="6" t="s">
        <v>267</v>
      </c>
      <c r="G205" s="7">
        <v>12000</v>
      </c>
      <c r="H205" s="110">
        <v>3300</v>
      </c>
      <c r="I205" s="6">
        <v>100</v>
      </c>
      <c r="J205">
        <v>11.471579999999999</v>
      </c>
      <c r="K205">
        <v>0.78006743999999995</v>
      </c>
      <c r="L205">
        <v>90</v>
      </c>
      <c r="M205">
        <v>-30</v>
      </c>
      <c r="N205">
        <v>11.643653699999998</v>
      </c>
      <c r="O205">
        <v>0.79176845159999987</v>
      </c>
      <c r="P205" s="139">
        <v>46023</v>
      </c>
      <c r="Q205" s="113"/>
    </row>
    <row r="206" spans="2:17" customFormat="1">
      <c r="B206" s="229">
        <v>689</v>
      </c>
      <c r="C206" s="6">
        <v>2175</v>
      </c>
      <c r="D206" s="1">
        <v>68</v>
      </c>
      <c r="E206" s="27" t="s">
        <v>3</v>
      </c>
      <c r="F206" s="6" t="s">
        <v>51</v>
      </c>
      <c r="G206" s="7">
        <v>1650</v>
      </c>
      <c r="H206" s="110">
        <v>400</v>
      </c>
      <c r="I206">
        <v>100</v>
      </c>
      <c r="J206">
        <v>12.309479999999999</v>
      </c>
      <c r="K206">
        <v>0.83704464000000001</v>
      </c>
      <c r="L206">
        <v>90</v>
      </c>
      <c r="M206">
        <v>-30</v>
      </c>
      <c r="N206">
        <v>12.494122199999998</v>
      </c>
      <c r="O206">
        <v>0.84960030959999977</v>
      </c>
      <c r="P206" s="139">
        <v>45444</v>
      </c>
      <c r="Q206" s="113"/>
    </row>
    <row r="207" spans="2:17" customFormat="1">
      <c r="B207" s="229">
        <v>689</v>
      </c>
      <c r="C207" s="6" t="s">
        <v>481</v>
      </c>
      <c r="Q207" s="113"/>
    </row>
    <row r="208" spans="2:17" customFormat="1">
      <c r="B208" s="229">
        <v>932</v>
      </c>
      <c r="C208" s="6">
        <v>1855</v>
      </c>
      <c r="D208" s="1">
        <v>80</v>
      </c>
      <c r="E208" s="27" t="s">
        <v>67</v>
      </c>
      <c r="F208" s="6" t="s">
        <v>51</v>
      </c>
      <c r="G208" s="7">
        <v>2450</v>
      </c>
      <c r="H208" s="110" t="s">
        <v>481</v>
      </c>
      <c r="I208" s="6">
        <v>100</v>
      </c>
      <c r="J208">
        <v>16.5679132</v>
      </c>
      <c r="K208">
        <v>1.3254330560000001</v>
      </c>
      <c r="L208">
        <v>90</v>
      </c>
      <c r="M208">
        <v>-15</v>
      </c>
      <c r="N208">
        <v>16.691710038811937</v>
      </c>
      <c r="O208">
        <v>1.3353368031049551</v>
      </c>
      <c r="P208" s="139">
        <v>45536</v>
      </c>
      <c r="Q208" s="113"/>
    </row>
    <row r="209" spans="2:17" customFormat="1">
      <c r="B209" s="229">
        <v>932</v>
      </c>
      <c r="C209" s="6">
        <v>1855</v>
      </c>
      <c r="D209" s="1">
        <v>80</v>
      </c>
      <c r="E209" s="27" t="s">
        <v>67</v>
      </c>
      <c r="F209" s="6" t="s">
        <v>51</v>
      </c>
      <c r="G209" s="7">
        <v>2550</v>
      </c>
      <c r="H209" t="s">
        <v>481</v>
      </c>
      <c r="I209" s="6">
        <v>50</v>
      </c>
      <c r="J209">
        <v>17.234613199999998</v>
      </c>
      <c r="K209">
        <v>1.3787690559999999</v>
      </c>
      <c r="L209">
        <v>90</v>
      </c>
      <c r="M209">
        <v>-15</v>
      </c>
      <c r="N209">
        <v>17.363391677201733</v>
      </c>
      <c r="O209">
        <v>1.3890713341761387</v>
      </c>
      <c r="P209" s="139">
        <v>45536</v>
      </c>
      <c r="Q209" s="113"/>
    </row>
    <row r="210" spans="2:17" customFormat="1">
      <c r="B210" s="229">
        <v>932</v>
      </c>
      <c r="C210" s="6">
        <v>1855</v>
      </c>
      <c r="D210" s="1">
        <v>80</v>
      </c>
      <c r="E210" s="27" t="s">
        <v>67</v>
      </c>
      <c r="F210" s="6" t="s">
        <v>51</v>
      </c>
      <c r="G210" s="7">
        <v>2900</v>
      </c>
      <c r="H210" t="s">
        <v>481</v>
      </c>
      <c r="I210" s="6">
        <v>25</v>
      </c>
      <c r="J210">
        <v>19.568063199999997</v>
      </c>
      <c r="K210">
        <v>1.5654450559999997</v>
      </c>
      <c r="L210">
        <v>90</v>
      </c>
      <c r="M210">
        <v>-15</v>
      </c>
      <c r="N210">
        <v>19.714277411566016</v>
      </c>
      <c r="O210">
        <v>1.5771421929252813</v>
      </c>
      <c r="P210" s="139">
        <v>45536</v>
      </c>
      <c r="Q210" s="113"/>
    </row>
    <row r="211" spans="2:17" customFormat="1">
      <c r="B211" s="229">
        <v>932</v>
      </c>
      <c r="C211" s="6">
        <v>1855</v>
      </c>
      <c r="D211" s="1">
        <v>80</v>
      </c>
      <c r="E211" s="27" t="s">
        <v>67</v>
      </c>
      <c r="F211" s="6" t="s">
        <v>51</v>
      </c>
      <c r="G211" s="7">
        <v>3750</v>
      </c>
      <c r="H211" t="s">
        <v>481</v>
      </c>
      <c r="I211" s="6">
        <v>15</v>
      </c>
      <c r="J211">
        <v>25.235013199999997</v>
      </c>
      <c r="K211">
        <v>2.0188010559999996</v>
      </c>
      <c r="L211">
        <v>90</v>
      </c>
      <c r="M211">
        <v>-15</v>
      </c>
      <c r="N211">
        <v>25.423571337879277</v>
      </c>
      <c r="O211">
        <v>2.0338857070303424</v>
      </c>
      <c r="P211" s="139">
        <v>45536</v>
      </c>
      <c r="Q211" s="113"/>
    </row>
    <row r="212" spans="2:17" customFormat="1">
      <c r="B212" s="229">
        <v>932</v>
      </c>
      <c r="C212" s="6">
        <v>1855</v>
      </c>
      <c r="D212" s="1">
        <v>80</v>
      </c>
      <c r="E212" s="5" t="s">
        <v>1</v>
      </c>
      <c r="F212" s="6" t="s">
        <v>46</v>
      </c>
      <c r="G212" s="7">
        <v>25865</v>
      </c>
      <c r="H212" t="s">
        <v>481</v>
      </c>
      <c r="I212">
        <v>20</v>
      </c>
      <c r="J212">
        <v>26.064999999999998</v>
      </c>
      <c r="K212">
        <v>2.0851999999999999</v>
      </c>
      <c r="L212">
        <v>0</v>
      </c>
      <c r="M212">
        <v>-45</v>
      </c>
      <c r="N212">
        <v>26.653656266985848</v>
      </c>
      <c r="O212">
        <v>2.1322925013588678</v>
      </c>
      <c r="P212" s="139">
        <v>46211</v>
      </c>
      <c r="Q212" s="113"/>
    </row>
    <row r="213" spans="2:17" customFormat="1">
      <c r="B213" s="229">
        <v>932</v>
      </c>
      <c r="C213" s="6" t="s">
        <v>481</v>
      </c>
      <c r="Q213" s="113"/>
    </row>
    <row r="214" spans="2:17" customFormat="1">
      <c r="B214" s="229">
        <v>938</v>
      </c>
      <c r="C214" s="6" t="s">
        <v>481</v>
      </c>
      <c r="Q214" s="6"/>
    </row>
    <row r="215" spans="2:17" customFormat="1">
      <c r="B215" s="229">
        <v>1410</v>
      </c>
      <c r="C215" s="6">
        <v>1860</v>
      </c>
      <c r="D215" s="1">
        <v>68</v>
      </c>
      <c r="E215" s="27" t="s">
        <v>2</v>
      </c>
      <c r="F215" s="6" t="s">
        <v>51</v>
      </c>
      <c r="G215" s="7">
        <v>2410</v>
      </c>
      <c r="H215" t="s">
        <v>481</v>
      </c>
      <c r="I215" s="6">
        <v>100</v>
      </c>
      <c r="J215">
        <v>16.124233199999999</v>
      </c>
      <c r="K215">
        <v>1.0964478575999999</v>
      </c>
      <c r="L215">
        <v>120</v>
      </c>
      <c r="M215">
        <v>15</v>
      </c>
      <c r="N215">
        <v>16.00464514738076</v>
      </c>
      <c r="O215">
        <v>1.0883158700218918</v>
      </c>
      <c r="P215" s="139">
        <v>45261</v>
      </c>
      <c r="Q215" s="113"/>
    </row>
    <row r="216" spans="2:17" customFormat="1">
      <c r="B216" s="229">
        <v>1410</v>
      </c>
      <c r="C216" s="6">
        <v>1860</v>
      </c>
      <c r="D216" s="1">
        <v>68</v>
      </c>
      <c r="E216" s="5" t="s">
        <v>108</v>
      </c>
      <c r="F216" s="6" t="s">
        <v>51</v>
      </c>
      <c r="G216" s="7">
        <v>1790</v>
      </c>
      <c r="H216">
        <v>500</v>
      </c>
      <c r="I216">
        <v>80</v>
      </c>
      <c r="J216">
        <v>12.167693200000002</v>
      </c>
      <c r="K216">
        <v>0.82740313760000017</v>
      </c>
      <c r="L216">
        <v>30</v>
      </c>
      <c r="M216">
        <v>-75</v>
      </c>
      <c r="N216">
        <v>12.629127749728191</v>
      </c>
      <c r="O216">
        <v>0.85878068698151699</v>
      </c>
      <c r="P216" s="139">
        <v>46211</v>
      </c>
      <c r="Q216" s="113"/>
    </row>
    <row r="217" spans="2:17" customFormat="1">
      <c r="B217" s="229">
        <v>1410</v>
      </c>
      <c r="C217" s="6">
        <v>1860</v>
      </c>
      <c r="D217" s="1">
        <v>68</v>
      </c>
      <c r="E217" s="27" t="s">
        <v>466</v>
      </c>
      <c r="F217" t="s">
        <v>51</v>
      </c>
      <c r="G217" s="7">
        <v>2020</v>
      </c>
      <c r="H217" t="s">
        <v>481</v>
      </c>
      <c r="I217">
        <v>100</v>
      </c>
      <c r="J217">
        <v>13.701103200000002</v>
      </c>
      <c r="K217">
        <v>0.93167501760000015</v>
      </c>
      <c r="L217">
        <v>60</v>
      </c>
      <c r="M217">
        <v>-45</v>
      </c>
      <c r="N217">
        <v>14.010531178641855</v>
      </c>
      <c r="O217">
        <v>0.95271612014764617</v>
      </c>
      <c r="P217" s="139">
        <v>46211</v>
      </c>
      <c r="Q217" s="113"/>
    </row>
    <row r="218" spans="2:17" customFormat="1">
      <c r="B218" s="229">
        <v>1410</v>
      </c>
      <c r="C218" s="6">
        <v>1860</v>
      </c>
      <c r="D218" s="1">
        <v>68</v>
      </c>
      <c r="E218" s="27" t="s">
        <v>466</v>
      </c>
      <c r="F218" t="s">
        <v>51</v>
      </c>
      <c r="G218" s="7">
        <v>2220</v>
      </c>
      <c r="H218" t="s">
        <v>481</v>
      </c>
      <c r="I218">
        <v>20</v>
      </c>
      <c r="J218">
        <v>15.034503200000003</v>
      </c>
      <c r="K218">
        <v>1.0223462176000002</v>
      </c>
      <c r="L218">
        <v>60</v>
      </c>
      <c r="M218">
        <v>-45</v>
      </c>
      <c r="N218">
        <v>15.374044904573141</v>
      </c>
      <c r="O218">
        <v>1.0454350535109738</v>
      </c>
      <c r="P218" s="139">
        <v>46211</v>
      </c>
      <c r="Q218" s="113"/>
    </row>
    <row r="219" spans="2:17" customFormat="1">
      <c r="B219" s="229">
        <v>1410</v>
      </c>
      <c r="C219" s="6">
        <v>1860</v>
      </c>
      <c r="D219" s="1">
        <v>68</v>
      </c>
      <c r="E219" s="27" t="s">
        <v>466</v>
      </c>
      <c r="F219" t="s">
        <v>51</v>
      </c>
      <c r="G219" s="7">
        <v>2070</v>
      </c>
      <c r="H219" t="s">
        <v>481</v>
      </c>
      <c r="I219">
        <v>50</v>
      </c>
      <c r="J219">
        <v>14.0344532</v>
      </c>
      <c r="K219">
        <v>0.95434281759999995</v>
      </c>
      <c r="L219">
        <v>60</v>
      </c>
      <c r="M219">
        <v>-45</v>
      </c>
      <c r="N219">
        <v>14.351409610124675</v>
      </c>
      <c r="O219">
        <v>0.97589585348847796</v>
      </c>
      <c r="P219" s="139">
        <v>46211</v>
      </c>
      <c r="Q219" s="113"/>
    </row>
    <row r="220" spans="2:17" customFormat="1">
      <c r="B220" s="229">
        <v>1410</v>
      </c>
      <c r="C220" s="6" t="s">
        <v>481</v>
      </c>
      <c r="Q220" s="113"/>
    </row>
    <row r="221" spans="2:17" customFormat="1">
      <c r="B221" s="229">
        <v>1430</v>
      </c>
      <c r="C221" s="6">
        <v>1870</v>
      </c>
      <c r="D221" s="1">
        <v>68</v>
      </c>
      <c r="E221" s="27" t="s">
        <v>2</v>
      </c>
      <c r="F221" t="s">
        <v>51</v>
      </c>
      <c r="G221" s="7">
        <v>2410</v>
      </c>
      <c r="H221" t="s">
        <v>481</v>
      </c>
      <c r="I221" s="6">
        <v>100</v>
      </c>
      <c r="J221">
        <v>16.124233199999999</v>
      </c>
      <c r="K221">
        <v>1.0964478575999999</v>
      </c>
      <c r="L221">
        <v>120</v>
      </c>
      <c r="M221">
        <v>15</v>
      </c>
      <c r="N221">
        <v>16.00464514738076</v>
      </c>
      <c r="O221">
        <v>1.0883158700218918</v>
      </c>
      <c r="P221" s="139">
        <v>45261</v>
      </c>
      <c r="Q221" s="113"/>
    </row>
    <row r="222" spans="2:17" customFormat="1">
      <c r="B222" s="229">
        <v>1430</v>
      </c>
      <c r="C222" s="6">
        <v>1870</v>
      </c>
      <c r="D222" s="1">
        <v>68</v>
      </c>
      <c r="E222" s="5" t="s">
        <v>108</v>
      </c>
      <c r="F222" s="6" t="s">
        <v>51</v>
      </c>
      <c r="G222" s="7">
        <v>1900</v>
      </c>
      <c r="H222">
        <v>500</v>
      </c>
      <c r="I222">
        <v>80</v>
      </c>
      <c r="J222">
        <v>12.901063200000001</v>
      </c>
      <c r="K222">
        <v>0.87727229760000014</v>
      </c>
      <c r="L222">
        <v>30</v>
      </c>
      <c r="M222">
        <v>-75</v>
      </c>
      <c r="N222">
        <v>13.390309287229329</v>
      </c>
      <c r="O222">
        <v>0.91054103153159438</v>
      </c>
      <c r="P222" s="139">
        <v>46211</v>
      </c>
      <c r="Q222" s="113"/>
    </row>
    <row r="223" spans="2:17" customFormat="1">
      <c r="B223" s="229">
        <v>1430</v>
      </c>
      <c r="C223" s="6">
        <v>1870</v>
      </c>
      <c r="D223" s="1">
        <v>68</v>
      </c>
      <c r="E223" s="27" t="s">
        <v>466</v>
      </c>
      <c r="F223" t="s">
        <v>51</v>
      </c>
      <c r="G223" s="7">
        <v>2020</v>
      </c>
      <c r="H223" t="s">
        <v>481</v>
      </c>
      <c r="I223">
        <v>100</v>
      </c>
      <c r="J223">
        <v>13.701103200000002</v>
      </c>
      <c r="K223">
        <v>0.93167501760000015</v>
      </c>
      <c r="L223">
        <v>60</v>
      </c>
      <c r="M223">
        <v>-45</v>
      </c>
      <c r="N223">
        <v>14.010531178641855</v>
      </c>
      <c r="O223">
        <v>0.95271612014764617</v>
      </c>
      <c r="P223" s="139">
        <v>46211</v>
      </c>
      <c r="Q223" s="113"/>
    </row>
    <row r="224" spans="2:17" customFormat="1">
      <c r="B224" s="229">
        <v>1430</v>
      </c>
      <c r="C224" s="6">
        <v>1870</v>
      </c>
      <c r="D224" s="1">
        <v>68</v>
      </c>
      <c r="E224" s="27" t="s">
        <v>466</v>
      </c>
      <c r="F224" t="s">
        <v>51</v>
      </c>
      <c r="G224" s="7">
        <v>2220</v>
      </c>
      <c r="H224" t="s">
        <v>481</v>
      </c>
      <c r="I224">
        <v>20</v>
      </c>
      <c r="J224">
        <v>15.034503200000003</v>
      </c>
      <c r="K224">
        <v>1.0223462176000002</v>
      </c>
      <c r="L224">
        <v>60</v>
      </c>
      <c r="M224">
        <v>-45</v>
      </c>
      <c r="N224">
        <v>15.374044904573141</v>
      </c>
      <c r="O224">
        <v>1.0454350535109738</v>
      </c>
      <c r="P224" s="139">
        <v>46211</v>
      </c>
      <c r="Q224" s="113"/>
    </row>
    <row r="225" spans="2:17" customFormat="1">
      <c r="B225" s="229">
        <v>1430</v>
      </c>
      <c r="C225" s="6">
        <v>1870</v>
      </c>
      <c r="D225" s="1">
        <v>68</v>
      </c>
      <c r="E225" s="27" t="s">
        <v>466</v>
      </c>
      <c r="F225" t="s">
        <v>51</v>
      </c>
      <c r="G225" s="7">
        <v>2640</v>
      </c>
      <c r="H225" t="s">
        <v>481</v>
      </c>
      <c r="I225">
        <v>10</v>
      </c>
      <c r="J225">
        <v>17.834643200000002</v>
      </c>
      <c r="K225">
        <v>1.2127557376000002</v>
      </c>
      <c r="L225">
        <v>60</v>
      </c>
      <c r="M225">
        <v>-45</v>
      </c>
      <c r="N225">
        <v>18.237423729028837</v>
      </c>
      <c r="O225">
        <v>1.2401448135739608</v>
      </c>
      <c r="P225" s="139">
        <v>46211</v>
      </c>
      <c r="Q225" s="113"/>
    </row>
    <row r="226" spans="2:17" customFormat="1">
      <c r="B226" s="229">
        <v>1430</v>
      </c>
      <c r="C226" s="6">
        <v>1870</v>
      </c>
      <c r="D226" s="1">
        <v>68</v>
      </c>
      <c r="E226" s="27" t="s">
        <v>466</v>
      </c>
      <c r="F226" t="s">
        <v>51</v>
      </c>
      <c r="G226" s="7">
        <v>2070</v>
      </c>
      <c r="H226" t="s">
        <v>481</v>
      </c>
      <c r="I226">
        <v>50</v>
      </c>
      <c r="J226">
        <v>14.0344532</v>
      </c>
      <c r="K226">
        <v>0.95434281759999995</v>
      </c>
      <c r="L226">
        <v>60</v>
      </c>
      <c r="M226">
        <v>-45</v>
      </c>
      <c r="N226">
        <v>14.351409610124675</v>
      </c>
      <c r="O226">
        <v>0.97589585348847796</v>
      </c>
      <c r="P226" s="139">
        <v>46211</v>
      </c>
      <c r="Q226" s="113"/>
    </row>
    <row r="227" spans="2:17" customFormat="1">
      <c r="B227" s="229">
        <v>1430</v>
      </c>
      <c r="C227" s="6">
        <v>1870</v>
      </c>
      <c r="D227" s="1">
        <v>68</v>
      </c>
      <c r="E227" s="27" t="s">
        <v>466</v>
      </c>
      <c r="F227" t="s">
        <v>51</v>
      </c>
      <c r="G227" s="7">
        <v>3600</v>
      </c>
      <c r="H227" t="s">
        <v>481</v>
      </c>
      <c r="I227">
        <v>5</v>
      </c>
      <c r="J227">
        <v>24.234963200000003</v>
      </c>
      <c r="K227">
        <v>1.6479774976000003</v>
      </c>
      <c r="L227">
        <v>60</v>
      </c>
      <c r="M227">
        <v>-45</v>
      </c>
      <c r="N227">
        <v>24.782289613499003</v>
      </c>
      <c r="O227">
        <v>1.6851956937179322</v>
      </c>
      <c r="P227" s="139">
        <v>46211</v>
      </c>
      <c r="Q227" s="113"/>
    </row>
    <row r="228" spans="2:17" customFormat="1">
      <c r="B228" s="229">
        <v>1430</v>
      </c>
      <c r="C228" s="6" t="s">
        <v>481</v>
      </c>
      <c r="Q228" s="113"/>
    </row>
    <row r="229" spans="2:17" customFormat="1">
      <c r="B229" s="229">
        <v>2638</v>
      </c>
      <c r="C229" s="6">
        <v>1270</v>
      </c>
      <c r="D229" s="1">
        <v>67</v>
      </c>
      <c r="E229" s="5" t="s">
        <v>1</v>
      </c>
      <c r="F229" s="6" t="s">
        <v>46</v>
      </c>
      <c r="G229" s="7">
        <v>18889</v>
      </c>
      <c r="H229" t="s">
        <v>481</v>
      </c>
      <c r="I229">
        <v>50</v>
      </c>
      <c r="J229">
        <v>19.088999999999999</v>
      </c>
      <c r="K229">
        <v>1.2789629999999998</v>
      </c>
      <c r="L229">
        <v>0</v>
      </c>
      <c r="M229">
        <v>-45</v>
      </c>
      <c r="N229">
        <v>19.520109130270203</v>
      </c>
      <c r="O229">
        <v>1.3078473117281035</v>
      </c>
      <c r="P229" s="139">
        <v>46211</v>
      </c>
      <c r="Q229" s="113"/>
    </row>
    <row r="230" spans="2:17" customFormat="1">
      <c r="B230" s="229">
        <v>2638</v>
      </c>
      <c r="C230" s="6">
        <v>1870</v>
      </c>
      <c r="D230" s="1">
        <v>67</v>
      </c>
      <c r="E230" s="5" t="s">
        <v>1</v>
      </c>
      <c r="F230" s="6" t="s">
        <v>46</v>
      </c>
      <c r="G230" s="7">
        <v>18889</v>
      </c>
      <c r="H230" t="s">
        <v>481</v>
      </c>
      <c r="I230">
        <v>50</v>
      </c>
      <c r="J230">
        <v>19.088999999999999</v>
      </c>
      <c r="K230">
        <v>1.2789629999999998</v>
      </c>
      <c r="L230">
        <v>0</v>
      </c>
      <c r="M230">
        <v>-45</v>
      </c>
      <c r="N230">
        <v>19.520109130270203</v>
      </c>
      <c r="O230">
        <v>1.3078473117281035</v>
      </c>
      <c r="P230" s="139">
        <v>46211</v>
      </c>
      <c r="Q230" s="113"/>
    </row>
    <row r="231" spans="2:17" customFormat="1">
      <c r="B231" s="229">
        <v>2638</v>
      </c>
      <c r="C231" s="6">
        <v>1870</v>
      </c>
      <c r="D231" s="1">
        <v>68</v>
      </c>
      <c r="E231" s="5" t="s">
        <v>0</v>
      </c>
      <c r="F231" s="6" t="s">
        <v>267</v>
      </c>
      <c r="G231" s="7">
        <v>13900</v>
      </c>
      <c r="H231" s="110">
        <v>3300</v>
      </c>
      <c r="I231" s="6">
        <v>100</v>
      </c>
      <c r="J231">
        <v>13.096080000000001</v>
      </c>
      <c r="K231">
        <v>0.89053344000000012</v>
      </c>
      <c r="L231">
        <v>90</v>
      </c>
      <c r="M231">
        <v>-30</v>
      </c>
      <c r="N231">
        <v>13.292521199999999</v>
      </c>
      <c r="O231">
        <v>0.9038914415999999</v>
      </c>
      <c r="P231" s="139">
        <v>46023</v>
      </c>
      <c r="Q231" s="113"/>
    </row>
    <row r="232" spans="2:17" customFormat="1">
      <c r="B232" s="229">
        <v>2638</v>
      </c>
      <c r="C232" s="6">
        <v>1870</v>
      </c>
      <c r="D232" s="1">
        <v>68</v>
      </c>
      <c r="E232" s="5" t="s">
        <v>0</v>
      </c>
      <c r="F232" s="6" t="s">
        <v>51</v>
      </c>
      <c r="G232" s="7">
        <v>1797</v>
      </c>
      <c r="H232" s="110">
        <v>400</v>
      </c>
      <c r="I232">
        <v>100</v>
      </c>
      <c r="J232">
        <v>13.298202</v>
      </c>
      <c r="K232">
        <v>0.90427773600000005</v>
      </c>
      <c r="L232">
        <v>90</v>
      </c>
      <c r="M232">
        <v>-30</v>
      </c>
      <c r="N232">
        <v>13.497675029999998</v>
      </c>
      <c r="O232">
        <v>0.91784190203999982</v>
      </c>
      <c r="P232" s="139">
        <v>45717</v>
      </c>
      <c r="Q232" s="113"/>
    </row>
    <row r="233" spans="2:17" customFormat="1">
      <c r="B233" s="229">
        <v>2638</v>
      </c>
      <c r="C233" s="6">
        <v>1870</v>
      </c>
      <c r="D233" s="1">
        <v>68</v>
      </c>
      <c r="E233" s="27" t="s">
        <v>47</v>
      </c>
      <c r="F233" s="6" t="s">
        <v>51</v>
      </c>
      <c r="G233" s="7">
        <v>2640</v>
      </c>
      <c r="H233">
        <v>300</v>
      </c>
      <c r="I233">
        <v>50</v>
      </c>
      <c r="J233">
        <v>17.834643200000002</v>
      </c>
      <c r="K233">
        <v>1.2127557376000002</v>
      </c>
      <c r="L233">
        <v>120</v>
      </c>
      <c r="M233">
        <v>15</v>
      </c>
      <c r="N233">
        <v>17.702369607637984</v>
      </c>
      <c r="O233">
        <v>1.2037611333193829</v>
      </c>
      <c r="P233" s="139">
        <v>46211</v>
      </c>
      <c r="Q233" s="113"/>
    </row>
    <row r="234" spans="2:17" customFormat="1">
      <c r="B234" s="229">
        <v>2638</v>
      </c>
      <c r="C234" s="6">
        <v>1870</v>
      </c>
      <c r="D234" s="1">
        <v>68</v>
      </c>
      <c r="E234" s="27" t="s">
        <v>47</v>
      </c>
      <c r="F234" s="6" t="s">
        <v>51</v>
      </c>
      <c r="G234" s="7">
        <v>2690</v>
      </c>
      <c r="H234">
        <v>300</v>
      </c>
      <c r="I234">
        <v>30</v>
      </c>
      <c r="J234">
        <v>18.167993200000002</v>
      </c>
      <c r="K234">
        <v>1.2354235376000002</v>
      </c>
      <c r="L234">
        <v>120</v>
      </c>
      <c r="M234">
        <v>15</v>
      </c>
      <c r="N234">
        <v>18.033247262017191</v>
      </c>
      <c r="O234">
        <v>1.2262608138171691</v>
      </c>
      <c r="P234" s="139">
        <v>46211</v>
      </c>
      <c r="Q234" s="113"/>
    </row>
    <row r="235" spans="2:17" customFormat="1">
      <c r="B235" s="229">
        <v>2638</v>
      </c>
      <c r="C235" s="6">
        <v>1870</v>
      </c>
      <c r="D235" s="1">
        <v>68</v>
      </c>
      <c r="E235" s="27" t="s">
        <v>47</v>
      </c>
      <c r="F235" s="6" t="s">
        <v>51</v>
      </c>
      <c r="G235" s="7">
        <v>2740</v>
      </c>
      <c r="H235">
        <v>300</v>
      </c>
      <c r="I235">
        <v>20</v>
      </c>
      <c r="J235">
        <v>18.501343200000004</v>
      </c>
      <c r="K235">
        <v>1.2580913376000005</v>
      </c>
      <c r="L235">
        <v>120</v>
      </c>
      <c r="M235">
        <v>15</v>
      </c>
      <c r="N235">
        <v>18.364124916396403</v>
      </c>
      <c r="O235">
        <v>1.2487604943149553</v>
      </c>
      <c r="P235" s="139">
        <v>46211</v>
      </c>
      <c r="Q235" s="113"/>
    </row>
    <row r="236" spans="2:17" customFormat="1">
      <c r="B236" s="229">
        <v>2638</v>
      </c>
      <c r="C236" s="6">
        <v>1870</v>
      </c>
      <c r="D236" s="1">
        <v>68</v>
      </c>
      <c r="E236" s="27" t="s">
        <v>47</v>
      </c>
      <c r="F236" s="6" t="s">
        <v>51</v>
      </c>
      <c r="G236" s="7">
        <v>2820</v>
      </c>
      <c r="H236">
        <v>300</v>
      </c>
      <c r="I236">
        <v>10</v>
      </c>
      <c r="J236">
        <v>19.034703199999999</v>
      </c>
      <c r="K236">
        <v>1.2943598176</v>
      </c>
      <c r="L236">
        <v>120</v>
      </c>
      <c r="M236">
        <v>15</v>
      </c>
      <c r="N236">
        <v>18.893529163403134</v>
      </c>
      <c r="O236">
        <v>1.2847599831114132</v>
      </c>
      <c r="P236" s="139">
        <v>46211</v>
      </c>
      <c r="Q236" s="113"/>
    </row>
    <row r="237" spans="2:17" customFormat="1">
      <c r="B237" s="229">
        <v>2638</v>
      </c>
      <c r="C237" s="6" t="s">
        <v>481</v>
      </c>
      <c r="Q237" s="113"/>
    </row>
    <row r="238" spans="2:17" customFormat="1">
      <c r="B238" s="229">
        <v>2795</v>
      </c>
      <c r="C238" s="6">
        <v>1870</v>
      </c>
      <c r="D238" s="1">
        <v>65</v>
      </c>
      <c r="E238" s="27" t="s">
        <v>47</v>
      </c>
      <c r="F238" s="6" t="s">
        <v>51</v>
      </c>
      <c r="G238" s="7">
        <v>2760</v>
      </c>
      <c r="H238">
        <v>300</v>
      </c>
      <c r="I238">
        <v>20</v>
      </c>
      <c r="J238">
        <v>18.634683199999998</v>
      </c>
      <c r="K238">
        <v>1.2112544079999998</v>
      </c>
      <c r="L238">
        <v>120</v>
      </c>
      <c r="M238">
        <v>15</v>
      </c>
      <c r="N238">
        <v>18.49647597814808</v>
      </c>
      <c r="O238">
        <v>1.2022709385796253</v>
      </c>
      <c r="P238" s="139">
        <v>46211</v>
      </c>
      <c r="Q238" s="113"/>
    </row>
    <row r="239" spans="2:17" customFormat="1">
      <c r="B239" s="229">
        <v>2795</v>
      </c>
      <c r="C239" s="6">
        <v>1870</v>
      </c>
      <c r="D239" s="1">
        <v>65</v>
      </c>
      <c r="E239" s="27" t="s">
        <v>47</v>
      </c>
      <c r="F239" s="6" t="s">
        <v>51</v>
      </c>
      <c r="G239" s="7">
        <v>2710</v>
      </c>
      <c r="H239">
        <v>300</v>
      </c>
      <c r="I239">
        <v>30</v>
      </c>
      <c r="J239">
        <v>18.301333199999998</v>
      </c>
      <c r="K239">
        <v>1.1895866579999999</v>
      </c>
      <c r="L239">
        <v>120</v>
      </c>
      <c r="M239">
        <v>15</v>
      </c>
      <c r="N239">
        <v>18.165598323768872</v>
      </c>
      <c r="O239">
        <v>1.1807638910449767</v>
      </c>
      <c r="P239" s="139">
        <v>46211</v>
      </c>
      <c r="Q239" s="113"/>
    </row>
    <row r="240" spans="2:17" customFormat="1">
      <c r="B240" s="229">
        <v>2795</v>
      </c>
      <c r="C240" s="6">
        <v>1870</v>
      </c>
      <c r="D240" s="1">
        <v>65</v>
      </c>
      <c r="E240" s="27" t="s">
        <v>47</v>
      </c>
      <c r="F240" s="6" t="s">
        <v>51</v>
      </c>
      <c r="G240" s="7">
        <v>2660</v>
      </c>
      <c r="H240">
        <v>300</v>
      </c>
      <c r="I240">
        <v>50</v>
      </c>
      <c r="J240">
        <v>17.967983200000003</v>
      </c>
      <c r="K240">
        <v>1.1679189080000001</v>
      </c>
      <c r="L240">
        <v>120</v>
      </c>
      <c r="M240">
        <v>15</v>
      </c>
      <c r="N240">
        <v>17.834720669389668</v>
      </c>
      <c r="O240">
        <v>1.1592568435103283</v>
      </c>
      <c r="P240" s="139">
        <v>46211</v>
      </c>
      <c r="Q240" s="113"/>
    </row>
    <row r="241" spans="2:17" customFormat="1">
      <c r="B241" s="229">
        <v>2795</v>
      </c>
      <c r="C241" s="6">
        <v>1870</v>
      </c>
      <c r="D241" s="1">
        <v>65</v>
      </c>
      <c r="E241" s="27" t="s">
        <v>47</v>
      </c>
      <c r="F241" s="6" t="s">
        <v>51</v>
      </c>
      <c r="G241" s="7">
        <v>2840</v>
      </c>
      <c r="H241">
        <v>300</v>
      </c>
      <c r="I241">
        <v>10</v>
      </c>
      <c r="J241">
        <v>19.1680432</v>
      </c>
      <c r="K241">
        <v>1.245922808</v>
      </c>
      <c r="L241">
        <v>120</v>
      </c>
      <c r="M241">
        <v>15</v>
      </c>
      <c r="N241">
        <v>19.025880225154818</v>
      </c>
      <c r="O241">
        <v>1.2366822146350631</v>
      </c>
      <c r="P241" s="139">
        <v>46211</v>
      </c>
      <c r="Q241" s="113"/>
    </row>
    <row r="242" spans="2:17" customFormat="1">
      <c r="B242" s="229">
        <v>2795</v>
      </c>
      <c r="C242" s="6">
        <v>1870</v>
      </c>
      <c r="D242" s="1">
        <v>70</v>
      </c>
      <c r="E242" s="27" t="s">
        <v>47</v>
      </c>
      <c r="F242" s="6" t="s">
        <v>51</v>
      </c>
      <c r="G242" s="7">
        <v>2610</v>
      </c>
      <c r="H242">
        <v>300</v>
      </c>
      <c r="I242">
        <v>50</v>
      </c>
      <c r="J242">
        <v>17.6346332</v>
      </c>
      <c r="K242">
        <v>1.2344243239999999</v>
      </c>
      <c r="L242">
        <v>120</v>
      </c>
      <c r="M242">
        <v>15</v>
      </c>
      <c r="N242">
        <v>17.503843015010453</v>
      </c>
      <c r="O242">
        <v>1.2252690110507316</v>
      </c>
      <c r="P242" s="139">
        <v>46211</v>
      </c>
      <c r="Q242" s="113"/>
    </row>
    <row r="243" spans="2:17" customFormat="1">
      <c r="B243" s="229">
        <v>2795</v>
      </c>
      <c r="C243" s="6">
        <v>1870</v>
      </c>
      <c r="D243" s="1">
        <v>70</v>
      </c>
      <c r="E243" s="27" t="s">
        <v>47</v>
      </c>
      <c r="F243" s="6" t="s">
        <v>51</v>
      </c>
      <c r="G243" s="7">
        <v>2710</v>
      </c>
      <c r="H243">
        <v>300</v>
      </c>
      <c r="I243">
        <v>20</v>
      </c>
      <c r="J243">
        <v>18.301333199999998</v>
      </c>
      <c r="K243">
        <v>1.281093324</v>
      </c>
      <c r="L243">
        <v>120</v>
      </c>
      <c r="M243">
        <v>15</v>
      </c>
      <c r="N243">
        <v>18.165598323768872</v>
      </c>
      <c r="O243">
        <v>1.2715918826638211</v>
      </c>
      <c r="P243" s="139">
        <v>46211</v>
      </c>
      <c r="Q243" s="113"/>
    </row>
    <row r="244" spans="2:17" customFormat="1">
      <c r="B244" s="229">
        <v>2795</v>
      </c>
      <c r="C244" s="6">
        <v>1870</v>
      </c>
      <c r="D244" s="1">
        <v>70</v>
      </c>
      <c r="E244" s="27" t="s">
        <v>47</v>
      </c>
      <c r="F244" s="6" t="s">
        <v>51</v>
      </c>
      <c r="G244" s="7">
        <v>2660</v>
      </c>
      <c r="H244">
        <v>300</v>
      </c>
      <c r="I244">
        <v>30</v>
      </c>
      <c r="J244">
        <v>17.967983200000003</v>
      </c>
      <c r="K244">
        <v>1.2577588240000002</v>
      </c>
      <c r="L244">
        <v>120</v>
      </c>
      <c r="M244">
        <v>15</v>
      </c>
      <c r="N244">
        <v>17.834720669389668</v>
      </c>
      <c r="O244">
        <v>1.2484304468572767</v>
      </c>
      <c r="P244" s="139">
        <v>46211</v>
      </c>
      <c r="Q244" s="113"/>
    </row>
    <row r="245" spans="2:17" customFormat="1">
      <c r="B245" s="229">
        <v>2795</v>
      </c>
      <c r="C245" s="6">
        <v>1870</v>
      </c>
      <c r="D245" s="1">
        <v>70</v>
      </c>
      <c r="E245" s="27" t="s">
        <v>47</v>
      </c>
      <c r="F245" s="6" t="s">
        <v>51</v>
      </c>
      <c r="G245" s="7">
        <v>2790</v>
      </c>
      <c r="H245">
        <v>300</v>
      </c>
      <c r="I245">
        <v>10</v>
      </c>
      <c r="J245">
        <v>18.8346932</v>
      </c>
      <c r="K245">
        <v>1.318428524</v>
      </c>
      <c r="L245">
        <v>120</v>
      </c>
      <c r="M245">
        <v>15</v>
      </c>
      <c r="N245">
        <v>18.69500257077561</v>
      </c>
      <c r="O245">
        <v>1.3086501799542927</v>
      </c>
      <c r="P245" s="139">
        <v>46211</v>
      </c>
      <c r="Q245" s="113"/>
    </row>
    <row r="246" spans="2:17" customFormat="1">
      <c r="B246" s="229">
        <v>2795</v>
      </c>
      <c r="C246" s="6" t="s">
        <v>481</v>
      </c>
      <c r="Q246" s="113"/>
    </row>
    <row r="247" spans="2:17" customFormat="1">
      <c r="B247" s="229">
        <v>5481</v>
      </c>
      <c r="C247" s="6">
        <v>1830</v>
      </c>
      <c r="D247" s="1">
        <v>80</v>
      </c>
      <c r="E247" s="27" t="s">
        <v>47</v>
      </c>
      <c r="F247" s="6" t="s">
        <v>51</v>
      </c>
      <c r="G247" s="7">
        <v>3010</v>
      </c>
      <c r="H247" s="110">
        <v>300</v>
      </c>
      <c r="I247" s="6" t="s">
        <v>481</v>
      </c>
      <c r="J247">
        <v>20.301433199999998</v>
      </c>
      <c r="K247">
        <v>1.6241146559999999</v>
      </c>
      <c r="L247">
        <v>120</v>
      </c>
      <c r="M247">
        <v>15</v>
      </c>
      <c r="N247">
        <v>20.15086425004413</v>
      </c>
      <c r="O247">
        <v>1.6120691400035303</v>
      </c>
      <c r="P247" s="139">
        <v>45078</v>
      </c>
      <c r="Q247" s="113"/>
    </row>
    <row r="248" spans="2:17" customFormat="1">
      <c r="B248" s="229">
        <v>8269</v>
      </c>
      <c r="C248" s="6">
        <v>1270</v>
      </c>
      <c r="D248" s="1">
        <v>68</v>
      </c>
      <c r="E248" s="27" t="s">
        <v>2</v>
      </c>
      <c r="F248" t="s">
        <v>51</v>
      </c>
      <c r="G248" s="7">
        <v>2180</v>
      </c>
      <c r="H248" t="s">
        <v>481</v>
      </c>
      <c r="I248">
        <v>100</v>
      </c>
      <c r="J248">
        <v>14.590823200000003</v>
      </c>
      <c r="K248">
        <v>0.99217597760000009</v>
      </c>
      <c r="L248">
        <v>120</v>
      </c>
      <c r="M248">
        <v>15</v>
      </c>
      <c r="N248">
        <v>14.4826079372364</v>
      </c>
      <c r="O248">
        <v>0.9848173397320753</v>
      </c>
      <c r="P248" s="139">
        <v>46211</v>
      </c>
      <c r="Q248" s="113"/>
    </row>
    <row r="249" spans="2:17" customFormat="1">
      <c r="B249" s="229">
        <v>8269</v>
      </c>
      <c r="C249" s="6">
        <v>1270</v>
      </c>
      <c r="D249" s="1">
        <v>68</v>
      </c>
      <c r="E249" s="27" t="s">
        <v>2</v>
      </c>
      <c r="F249" t="s">
        <v>51</v>
      </c>
      <c r="G249" s="7">
        <v>2200</v>
      </c>
      <c r="H249" t="s">
        <v>481</v>
      </c>
      <c r="I249">
        <v>70</v>
      </c>
      <c r="J249">
        <v>14.724163200000003</v>
      </c>
      <c r="K249">
        <v>1.0012430976000002</v>
      </c>
      <c r="L249">
        <v>120</v>
      </c>
      <c r="M249">
        <v>15</v>
      </c>
      <c r="N249">
        <v>14.614958998988085</v>
      </c>
      <c r="O249">
        <v>0.99381721193118966</v>
      </c>
      <c r="P249" s="139">
        <v>46211</v>
      </c>
      <c r="Q249" s="113"/>
    </row>
    <row r="250" spans="2:17" customFormat="1">
      <c r="B250" s="229">
        <v>8269</v>
      </c>
      <c r="C250" s="6">
        <v>1270</v>
      </c>
      <c r="D250" s="1">
        <v>68</v>
      </c>
      <c r="E250" s="27" t="s">
        <v>2</v>
      </c>
      <c r="F250" t="s">
        <v>51</v>
      </c>
      <c r="G250" s="7">
        <v>2230</v>
      </c>
      <c r="H250" t="s">
        <v>481</v>
      </c>
      <c r="I250">
        <v>50</v>
      </c>
      <c r="J250">
        <v>14.9241732</v>
      </c>
      <c r="K250">
        <v>1.0148437775999999</v>
      </c>
      <c r="L250">
        <v>120</v>
      </c>
      <c r="M250">
        <v>15</v>
      </c>
      <c r="N250">
        <v>14.813485591615606</v>
      </c>
      <c r="O250">
        <v>1.0073170202298614</v>
      </c>
      <c r="P250" s="139">
        <v>46211</v>
      </c>
      <c r="Q250" s="113"/>
    </row>
    <row r="251" spans="2:17" customFormat="1">
      <c r="B251" s="229">
        <v>8269</v>
      </c>
      <c r="C251" s="6">
        <v>1270</v>
      </c>
      <c r="D251" s="1">
        <v>68</v>
      </c>
      <c r="E251" s="27" t="s">
        <v>2</v>
      </c>
      <c r="F251" t="s">
        <v>51</v>
      </c>
      <c r="G251" s="7">
        <v>2280</v>
      </c>
      <c r="H251" t="s">
        <v>481</v>
      </c>
      <c r="I251">
        <v>30</v>
      </c>
      <c r="J251">
        <v>15.257523200000001</v>
      </c>
      <c r="K251">
        <v>1.0375115776000001</v>
      </c>
      <c r="L251">
        <v>120</v>
      </c>
      <c r="M251">
        <v>15</v>
      </c>
      <c r="N251">
        <v>15.144363245994818</v>
      </c>
      <c r="O251">
        <v>1.0298167007276475</v>
      </c>
      <c r="P251" s="139">
        <v>46211</v>
      </c>
      <c r="Q251" s="113"/>
    </row>
    <row r="252" spans="2:17" customFormat="1">
      <c r="B252" s="229">
        <v>8269</v>
      </c>
      <c r="C252" s="6">
        <v>1270</v>
      </c>
      <c r="D252" s="1">
        <v>68</v>
      </c>
      <c r="E252" s="5" t="s">
        <v>1</v>
      </c>
      <c r="F252" s="6" t="s">
        <v>46</v>
      </c>
      <c r="G252" s="7">
        <v>20008</v>
      </c>
      <c r="H252" t="s">
        <v>481</v>
      </c>
      <c r="I252">
        <v>50</v>
      </c>
      <c r="J252">
        <v>20.207999999999998</v>
      </c>
      <c r="K252">
        <v>1.3741439999999998</v>
      </c>
      <c r="L252">
        <v>0</v>
      </c>
      <c r="M252">
        <v>-45</v>
      </c>
      <c r="N252">
        <v>20.664380811173988</v>
      </c>
      <c r="O252">
        <v>1.4051778951598313</v>
      </c>
      <c r="P252" s="139">
        <v>46211</v>
      </c>
      <c r="Q252" s="113"/>
    </row>
    <row r="253" spans="2:17" customFormat="1">
      <c r="B253" s="229">
        <v>8269</v>
      </c>
      <c r="C253" s="6">
        <v>1270</v>
      </c>
      <c r="D253" s="1">
        <v>70</v>
      </c>
      <c r="E253" s="27" t="s">
        <v>47</v>
      </c>
      <c r="F253" s="6" t="s">
        <v>51</v>
      </c>
      <c r="G253" s="7">
        <v>1750</v>
      </c>
      <c r="H253" s="110">
        <v>300</v>
      </c>
      <c r="I253" s="6">
        <v>100</v>
      </c>
      <c r="J253">
        <v>11.901013200000001</v>
      </c>
      <c r="K253">
        <v>0.83307092400000005</v>
      </c>
      <c r="L253">
        <v>120</v>
      </c>
      <c r="M253">
        <v>15</v>
      </c>
      <c r="N253">
        <v>11.81274735968805</v>
      </c>
      <c r="O253">
        <v>0.82689231517816353</v>
      </c>
      <c r="P253" s="139">
        <v>45778</v>
      </c>
      <c r="Q253" s="113"/>
    </row>
    <row r="254" spans="2:17" customFormat="1">
      <c r="B254" s="229">
        <v>8269</v>
      </c>
      <c r="C254" s="6">
        <v>1270</v>
      </c>
      <c r="D254" s="1">
        <v>70</v>
      </c>
      <c r="E254" s="27" t="s">
        <v>47</v>
      </c>
      <c r="F254" s="6" t="s">
        <v>51</v>
      </c>
      <c r="G254" s="7">
        <v>2410</v>
      </c>
      <c r="H254">
        <v>300</v>
      </c>
      <c r="I254">
        <v>50</v>
      </c>
      <c r="J254">
        <v>16.301233199999999</v>
      </c>
      <c r="K254">
        <v>1.1410863239999998</v>
      </c>
      <c r="L254">
        <v>120</v>
      </c>
      <c r="M254">
        <v>15</v>
      </c>
      <c r="N254">
        <v>16.180332397493615</v>
      </c>
      <c r="O254">
        <v>1.1326232678245531</v>
      </c>
      <c r="P254" s="139">
        <v>46211</v>
      </c>
      <c r="Q254" s="113"/>
    </row>
    <row r="255" spans="2:17" customFormat="1">
      <c r="B255" s="229">
        <v>8269</v>
      </c>
      <c r="C255" s="6">
        <v>1270</v>
      </c>
      <c r="D255" s="1">
        <v>70</v>
      </c>
      <c r="E255" s="27" t="s">
        <v>47</v>
      </c>
      <c r="F255" s="6" t="s">
        <v>51</v>
      </c>
      <c r="G255" s="7">
        <v>2460</v>
      </c>
      <c r="H255">
        <v>300</v>
      </c>
      <c r="I255">
        <v>30</v>
      </c>
      <c r="J255">
        <v>16.634583200000002</v>
      </c>
      <c r="K255">
        <v>1.164420824</v>
      </c>
      <c r="L255">
        <v>120</v>
      </c>
      <c r="M255">
        <v>15</v>
      </c>
      <c r="N255">
        <v>16.511210051872826</v>
      </c>
      <c r="O255">
        <v>1.155784703631098</v>
      </c>
      <c r="P255" s="139">
        <v>46211</v>
      </c>
      <c r="Q255" s="113"/>
    </row>
    <row r="256" spans="2:17" customFormat="1">
      <c r="B256" s="229">
        <v>8269</v>
      </c>
      <c r="C256" s="6">
        <v>1270</v>
      </c>
      <c r="D256" s="1">
        <v>70</v>
      </c>
      <c r="E256" s="27" t="s">
        <v>47</v>
      </c>
      <c r="F256" s="6" t="s">
        <v>51</v>
      </c>
      <c r="G256" s="7">
        <v>2510</v>
      </c>
      <c r="H256">
        <v>300</v>
      </c>
      <c r="I256">
        <v>20</v>
      </c>
      <c r="J256">
        <v>16.967933199999997</v>
      </c>
      <c r="K256">
        <v>1.1877553239999998</v>
      </c>
      <c r="L256">
        <v>120</v>
      </c>
      <c r="M256">
        <v>15</v>
      </c>
      <c r="N256">
        <v>16.842087706252034</v>
      </c>
      <c r="O256">
        <v>1.1789461394376424</v>
      </c>
      <c r="P256" s="139">
        <v>46211</v>
      </c>
      <c r="Q256" s="113"/>
    </row>
    <row r="257" spans="2:17" customFormat="1">
      <c r="B257" s="229">
        <v>8269</v>
      </c>
      <c r="C257" s="6">
        <v>1270</v>
      </c>
      <c r="D257" s="1">
        <v>70</v>
      </c>
      <c r="E257" s="27" t="s">
        <v>47</v>
      </c>
      <c r="F257" s="6" t="s">
        <v>51</v>
      </c>
      <c r="G257" s="7">
        <v>2590</v>
      </c>
      <c r="H257">
        <v>300</v>
      </c>
      <c r="I257">
        <v>10</v>
      </c>
      <c r="J257">
        <v>17.501293199999999</v>
      </c>
      <c r="K257">
        <v>1.2250905240000001</v>
      </c>
      <c r="L257">
        <v>120</v>
      </c>
      <c r="M257">
        <v>15</v>
      </c>
      <c r="N257">
        <v>17.371491953258769</v>
      </c>
      <c r="O257">
        <v>1.216004436728114</v>
      </c>
      <c r="P257" s="139">
        <v>46211</v>
      </c>
      <c r="Q257" s="113"/>
    </row>
    <row r="258" spans="2:17" customFormat="1">
      <c r="B258" s="229">
        <v>8269</v>
      </c>
      <c r="C258" s="6">
        <v>1870</v>
      </c>
      <c r="D258" s="1">
        <v>68</v>
      </c>
      <c r="E258" s="27" t="s">
        <v>2</v>
      </c>
      <c r="F258" t="s">
        <v>51</v>
      </c>
      <c r="G258" s="7">
        <v>2180</v>
      </c>
      <c r="H258" t="s">
        <v>481</v>
      </c>
      <c r="I258">
        <v>100</v>
      </c>
      <c r="J258">
        <v>14.590823200000003</v>
      </c>
      <c r="K258">
        <v>0.99217597760000009</v>
      </c>
      <c r="L258">
        <v>120</v>
      </c>
      <c r="M258">
        <v>15</v>
      </c>
      <c r="N258">
        <v>14.4826079372364</v>
      </c>
      <c r="O258">
        <v>0.9848173397320753</v>
      </c>
      <c r="P258" s="139">
        <v>46211</v>
      </c>
      <c r="Q258" s="113"/>
    </row>
    <row r="259" spans="2:17" customFormat="1">
      <c r="B259" s="229">
        <v>8269</v>
      </c>
      <c r="C259" s="6">
        <v>1870</v>
      </c>
      <c r="D259" s="1">
        <v>68</v>
      </c>
      <c r="E259" s="27" t="s">
        <v>2</v>
      </c>
      <c r="F259" t="s">
        <v>51</v>
      </c>
      <c r="G259" s="7">
        <v>2200</v>
      </c>
      <c r="H259" t="s">
        <v>481</v>
      </c>
      <c r="I259">
        <v>70</v>
      </c>
      <c r="J259">
        <v>14.724163200000003</v>
      </c>
      <c r="K259">
        <v>1.0012430976000002</v>
      </c>
      <c r="L259">
        <v>120</v>
      </c>
      <c r="M259">
        <v>15</v>
      </c>
      <c r="N259">
        <v>14.614958998988085</v>
      </c>
      <c r="O259">
        <v>0.99381721193118966</v>
      </c>
      <c r="P259" s="139">
        <v>46211</v>
      </c>
      <c r="Q259" s="113"/>
    </row>
    <row r="260" spans="2:17" customFormat="1">
      <c r="B260" s="229">
        <v>8269</v>
      </c>
      <c r="C260" s="6">
        <v>1870</v>
      </c>
      <c r="D260" s="1">
        <v>68</v>
      </c>
      <c r="E260" s="27" t="s">
        <v>2</v>
      </c>
      <c r="F260" t="s">
        <v>51</v>
      </c>
      <c r="G260" s="7">
        <v>2230</v>
      </c>
      <c r="H260" t="s">
        <v>481</v>
      </c>
      <c r="I260">
        <v>50</v>
      </c>
      <c r="J260">
        <v>14.9241732</v>
      </c>
      <c r="K260">
        <v>1.0148437775999999</v>
      </c>
      <c r="L260">
        <v>120</v>
      </c>
      <c r="M260">
        <v>15</v>
      </c>
      <c r="N260">
        <v>14.813485591615606</v>
      </c>
      <c r="O260">
        <v>1.0073170202298614</v>
      </c>
      <c r="P260" s="139">
        <v>46211</v>
      </c>
      <c r="Q260" s="113"/>
    </row>
    <row r="261" spans="2:17" customFormat="1">
      <c r="B261" s="229">
        <v>8269</v>
      </c>
      <c r="C261" s="6">
        <v>1870</v>
      </c>
      <c r="D261" s="1">
        <v>68</v>
      </c>
      <c r="E261" s="27" t="s">
        <v>2</v>
      </c>
      <c r="F261" t="s">
        <v>51</v>
      </c>
      <c r="G261" s="7">
        <v>2280</v>
      </c>
      <c r="H261" t="s">
        <v>481</v>
      </c>
      <c r="I261">
        <v>30</v>
      </c>
      <c r="J261">
        <v>15.257523200000001</v>
      </c>
      <c r="K261">
        <v>1.0375115776000001</v>
      </c>
      <c r="L261">
        <v>120</v>
      </c>
      <c r="M261">
        <v>15</v>
      </c>
      <c r="N261">
        <v>15.144363245994818</v>
      </c>
      <c r="O261">
        <v>1.0298167007276475</v>
      </c>
      <c r="P261" s="139">
        <v>46211</v>
      </c>
      <c r="Q261" s="113"/>
    </row>
    <row r="262" spans="2:17" customFormat="1">
      <c r="B262" s="229">
        <v>8269</v>
      </c>
      <c r="C262" s="6">
        <v>1870</v>
      </c>
      <c r="D262" s="1">
        <v>68</v>
      </c>
      <c r="E262" s="5" t="s">
        <v>1</v>
      </c>
      <c r="F262" s="6" t="s">
        <v>46</v>
      </c>
      <c r="G262" s="7">
        <v>20008</v>
      </c>
      <c r="H262" t="s">
        <v>481</v>
      </c>
      <c r="I262">
        <v>50</v>
      </c>
      <c r="J262">
        <v>20.207999999999998</v>
      </c>
      <c r="K262">
        <v>1.3741439999999998</v>
      </c>
      <c r="L262">
        <v>0</v>
      </c>
      <c r="M262">
        <v>-45</v>
      </c>
      <c r="N262">
        <v>20.664380811173988</v>
      </c>
      <c r="O262">
        <v>1.4051778951598313</v>
      </c>
      <c r="P262" s="139">
        <v>46211</v>
      </c>
      <c r="Q262" s="113"/>
    </row>
    <row r="263" spans="2:17" customFormat="1">
      <c r="B263" s="229">
        <v>8269</v>
      </c>
      <c r="C263" s="6">
        <v>1870</v>
      </c>
      <c r="D263" s="1">
        <v>70</v>
      </c>
      <c r="E263" s="27" t="s">
        <v>47</v>
      </c>
      <c r="F263" s="6" t="s">
        <v>51</v>
      </c>
      <c r="G263" s="7">
        <v>1750</v>
      </c>
      <c r="H263" s="110">
        <v>300</v>
      </c>
      <c r="I263" s="6">
        <v>100</v>
      </c>
      <c r="J263">
        <v>11.901013200000001</v>
      </c>
      <c r="K263">
        <v>0.83307092400000005</v>
      </c>
      <c r="L263">
        <v>120</v>
      </c>
      <c r="M263">
        <v>15</v>
      </c>
      <c r="N263">
        <v>11.81274735968805</v>
      </c>
      <c r="O263">
        <v>0.82689231517816353</v>
      </c>
      <c r="P263" s="139">
        <v>45778</v>
      </c>
      <c r="Q263" s="113"/>
    </row>
    <row r="264" spans="2:17" customFormat="1">
      <c r="B264" s="229">
        <v>8269</v>
      </c>
      <c r="C264" s="6">
        <v>1870</v>
      </c>
      <c r="D264" s="1">
        <v>70</v>
      </c>
      <c r="E264" s="27" t="s">
        <v>47</v>
      </c>
      <c r="F264" s="6" t="s">
        <v>51</v>
      </c>
      <c r="G264" s="7">
        <v>2410</v>
      </c>
      <c r="H264">
        <v>300</v>
      </c>
      <c r="I264">
        <v>50</v>
      </c>
      <c r="J264">
        <v>16.301233199999999</v>
      </c>
      <c r="K264">
        <v>1.1410863239999998</v>
      </c>
      <c r="L264">
        <v>120</v>
      </c>
      <c r="M264">
        <v>15</v>
      </c>
      <c r="N264">
        <v>16.180332397493615</v>
      </c>
      <c r="O264">
        <v>1.1326232678245531</v>
      </c>
      <c r="P264" s="139">
        <v>46211</v>
      </c>
      <c r="Q264" s="113"/>
    </row>
    <row r="265" spans="2:17" customFormat="1">
      <c r="B265" s="229">
        <v>8269</v>
      </c>
      <c r="C265" s="6">
        <v>1870</v>
      </c>
      <c r="D265" s="1">
        <v>70</v>
      </c>
      <c r="E265" s="27" t="s">
        <v>47</v>
      </c>
      <c r="F265" s="6" t="s">
        <v>51</v>
      </c>
      <c r="G265" s="7">
        <v>2460</v>
      </c>
      <c r="H265">
        <v>300</v>
      </c>
      <c r="I265">
        <v>30</v>
      </c>
      <c r="J265">
        <v>16.634583200000002</v>
      </c>
      <c r="K265">
        <v>1.164420824</v>
      </c>
      <c r="L265">
        <v>120</v>
      </c>
      <c r="M265">
        <v>15</v>
      </c>
      <c r="N265">
        <v>16.511210051872826</v>
      </c>
      <c r="O265">
        <v>1.155784703631098</v>
      </c>
      <c r="P265" s="139">
        <v>46211</v>
      </c>
      <c r="Q265" s="113"/>
    </row>
    <row r="266" spans="2:17" customFormat="1">
      <c r="B266" s="229">
        <v>8269</v>
      </c>
      <c r="C266" s="6">
        <v>1870</v>
      </c>
      <c r="D266" s="1">
        <v>70</v>
      </c>
      <c r="E266" s="27" t="s">
        <v>47</v>
      </c>
      <c r="F266" s="6" t="s">
        <v>51</v>
      </c>
      <c r="G266" s="7">
        <v>2510</v>
      </c>
      <c r="H266">
        <v>300</v>
      </c>
      <c r="I266">
        <v>20</v>
      </c>
      <c r="J266">
        <v>16.967933199999997</v>
      </c>
      <c r="K266">
        <v>1.1877553239999998</v>
      </c>
      <c r="L266">
        <v>120</v>
      </c>
      <c r="M266">
        <v>15</v>
      </c>
      <c r="N266">
        <v>16.842087706252034</v>
      </c>
      <c r="O266">
        <v>1.1789461394376424</v>
      </c>
      <c r="P266" s="139">
        <v>46211</v>
      </c>
      <c r="Q266" s="113"/>
    </row>
    <row r="267" spans="2:17" customFormat="1">
      <c r="B267" s="229">
        <v>8269</v>
      </c>
      <c r="C267" s="6">
        <v>1870</v>
      </c>
      <c r="D267" s="1">
        <v>70</v>
      </c>
      <c r="E267" s="27" t="s">
        <v>47</v>
      </c>
      <c r="F267" s="6" t="s">
        <v>51</v>
      </c>
      <c r="G267" s="7">
        <v>2590</v>
      </c>
      <c r="H267">
        <v>300</v>
      </c>
      <c r="I267">
        <v>10</v>
      </c>
      <c r="J267">
        <v>17.501293199999999</v>
      </c>
      <c r="K267">
        <v>1.2250905240000001</v>
      </c>
      <c r="L267">
        <v>120</v>
      </c>
      <c r="M267">
        <v>15</v>
      </c>
      <c r="N267">
        <v>17.371491953258769</v>
      </c>
      <c r="O267">
        <v>1.216004436728114</v>
      </c>
      <c r="P267" s="139">
        <v>46211</v>
      </c>
      <c r="Q267" s="113"/>
    </row>
    <row r="268" spans="2:17" customFormat="1">
      <c r="B268" s="229">
        <v>8269</v>
      </c>
      <c r="C268" s="6">
        <v>2120</v>
      </c>
      <c r="D268" s="1">
        <v>68</v>
      </c>
      <c r="E268" s="27" t="s">
        <v>2</v>
      </c>
      <c r="F268" t="s">
        <v>51</v>
      </c>
      <c r="G268" s="7">
        <v>2180</v>
      </c>
      <c r="H268" t="s">
        <v>481</v>
      </c>
      <c r="I268">
        <v>100</v>
      </c>
      <c r="J268">
        <v>14.590823200000003</v>
      </c>
      <c r="K268">
        <v>0.99217597760000009</v>
      </c>
      <c r="L268">
        <v>120</v>
      </c>
      <c r="M268">
        <v>15</v>
      </c>
      <c r="N268">
        <v>14.4826079372364</v>
      </c>
      <c r="O268">
        <v>0.9848173397320753</v>
      </c>
      <c r="P268" s="139">
        <v>46211</v>
      </c>
      <c r="Q268" s="113"/>
    </row>
    <row r="269" spans="2:17" customFormat="1">
      <c r="B269" s="229">
        <v>8269</v>
      </c>
      <c r="C269" s="6">
        <v>2120</v>
      </c>
      <c r="D269" s="1">
        <v>68</v>
      </c>
      <c r="E269" s="27" t="s">
        <v>2</v>
      </c>
      <c r="F269" t="s">
        <v>51</v>
      </c>
      <c r="G269" s="7">
        <v>2200</v>
      </c>
      <c r="H269" t="s">
        <v>481</v>
      </c>
      <c r="I269">
        <v>70</v>
      </c>
      <c r="J269">
        <v>14.724163200000003</v>
      </c>
      <c r="K269">
        <v>1.0012430976000002</v>
      </c>
      <c r="L269">
        <v>120</v>
      </c>
      <c r="M269">
        <v>15</v>
      </c>
      <c r="N269">
        <v>14.614958998988085</v>
      </c>
      <c r="O269">
        <v>0.99381721193118966</v>
      </c>
      <c r="P269" s="139">
        <v>46211</v>
      </c>
      <c r="Q269" s="113"/>
    </row>
    <row r="270" spans="2:17" customFormat="1">
      <c r="B270" s="229">
        <v>8269</v>
      </c>
      <c r="C270" s="6">
        <v>2120</v>
      </c>
      <c r="D270" s="1">
        <v>68</v>
      </c>
      <c r="E270" s="27" t="s">
        <v>2</v>
      </c>
      <c r="F270" t="s">
        <v>51</v>
      </c>
      <c r="G270" s="7">
        <v>2230</v>
      </c>
      <c r="H270" t="s">
        <v>481</v>
      </c>
      <c r="I270">
        <v>50</v>
      </c>
      <c r="J270">
        <v>14.9241732</v>
      </c>
      <c r="K270">
        <v>1.0148437775999999</v>
      </c>
      <c r="L270">
        <v>120</v>
      </c>
      <c r="M270">
        <v>15</v>
      </c>
      <c r="N270">
        <v>14.813485591615606</v>
      </c>
      <c r="O270">
        <v>1.0073170202298614</v>
      </c>
      <c r="P270" s="139">
        <v>46211</v>
      </c>
      <c r="Q270" s="113"/>
    </row>
    <row r="271" spans="2:17" customFormat="1">
      <c r="B271" s="229">
        <v>8269</v>
      </c>
      <c r="C271" s="6">
        <v>2120</v>
      </c>
      <c r="D271" s="1">
        <v>68</v>
      </c>
      <c r="E271" s="27" t="s">
        <v>2</v>
      </c>
      <c r="F271" t="s">
        <v>51</v>
      </c>
      <c r="G271" s="7">
        <v>2280</v>
      </c>
      <c r="H271" t="s">
        <v>481</v>
      </c>
      <c r="I271">
        <v>30</v>
      </c>
      <c r="J271">
        <v>15.257523200000001</v>
      </c>
      <c r="K271">
        <v>1.0375115776000001</v>
      </c>
      <c r="L271">
        <v>120</v>
      </c>
      <c r="M271">
        <v>15</v>
      </c>
      <c r="N271">
        <v>15.144363245994818</v>
      </c>
      <c r="O271">
        <v>1.0298167007276475</v>
      </c>
      <c r="P271" s="139">
        <v>46211</v>
      </c>
      <c r="Q271" s="113"/>
    </row>
    <row r="272" spans="2:17" customFormat="1">
      <c r="B272" s="229">
        <v>8269</v>
      </c>
      <c r="C272" s="6">
        <v>2120</v>
      </c>
      <c r="D272" s="1">
        <v>68</v>
      </c>
      <c r="E272" s="5" t="s">
        <v>1</v>
      </c>
      <c r="F272" s="6" t="s">
        <v>46</v>
      </c>
      <c r="G272" s="7">
        <v>20008</v>
      </c>
      <c r="H272" t="s">
        <v>481</v>
      </c>
      <c r="I272">
        <v>50</v>
      </c>
      <c r="J272">
        <v>20.207999999999998</v>
      </c>
      <c r="K272">
        <v>1.3741439999999998</v>
      </c>
      <c r="L272">
        <v>0</v>
      </c>
      <c r="M272">
        <v>-45</v>
      </c>
      <c r="N272">
        <v>20.664380811173988</v>
      </c>
      <c r="O272">
        <v>1.4051778951598313</v>
      </c>
      <c r="P272" s="139">
        <v>46211</v>
      </c>
      <c r="Q272" s="113"/>
    </row>
    <row r="273" spans="2:17" customFormat="1">
      <c r="B273" s="229">
        <v>8269</v>
      </c>
      <c r="C273" s="6">
        <v>2120</v>
      </c>
      <c r="D273" s="1">
        <v>70</v>
      </c>
      <c r="E273" s="27" t="s">
        <v>47</v>
      </c>
      <c r="F273" s="6" t="s">
        <v>51</v>
      </c>
      <c r="G273" s="7">
        <v>1750</v>
      </c>
      <c r="H273" s="110">
        <v>300</v>
      </c>
      <c r="I273" s="6">
        <v>100</v>
      </c>
      <c r="J273">
        <v>11.901013200000001</v>
      </c>
      <c r="K273">
        <v>0.83307092400000005</v>
      </c>
      <c r="L273">
        <v>120</v>
      </c>
      <c r="M273">
        <v>15</v>
      </c>
      <c r="N273">
        <v>11.81274735968805</v>
      </c>
      <c r="O273">
        <v>0.82689231517816353</v>
      </c>
      <c r="P273" s="139">
        <v>45778</v>
      </c>
      <c r="Q273" s="113"/>
    </row>
    <row r="274" spans="2:17" customFormat="1">
      <c r="B274" s="229">
        <v>8269</v>
      </c>
      <c r="C274" s="6">
        <v>2120</v>
      </c>
      <c r="D274" s="1">
        <v>70</v>
      </c>
      <c r="E274" s="27" t="s">
        <v>47</v>
      </c>
      <c r="F274" s="6" t="s">
        <v>51</v>
      </c>
      <c r="G274" s="7">
        <v>2410</v>
      </c>
      <c r="H274">
        <v>300</v>
      </c>
      <c r="I274">
        <v>50</v>
      </c>
      <c r="J274">
        <v>16.301233199999999</v>
      </c>
      <c r="K274">
        <v>1.1410863239999998</v>
      </c>
      <c r="L274">
        <v>120</v>
      </c>
      <c r="M274">
        <v>15</v>
      </c>
      <c r="N274">
        <v>16.180332397493615</v>
      </c>
      <c r="O274">
        <v>1.1326232678245531</v>
      </c>
      <c r="P274" s="139">
        <v>46211</v>
      </c>
      <c r="Q274" s="113"/>
    </row>
    <row r="275" spans="2:17" customFormat="1">
      <c r="B275" s="229">
        <v>8269</v>
      </c>
      <c r="C275" s="6">
        <v>2120</v>
      </c>
      <c r="D275" s="1">
        <v>70</v>
      </c>
      <c r="E275" s="27" t="s">
        <v>47</v>
      </c>
      <c r="F275" s="6" t="s">
        <v>51</v>
      </c>
      <c r="G275" s="7">
        <v>2460</v>
      </c>
      <c r="H275">
        <v>300</v>
      </c>
      <c r="I275">
        <v>30</v>
      </c>
      <c r="J275">
        <v>16.634583200000002</v>
      </c>
      <c r="K275">
        <v>1.164420824</v>
      </c>
      <c r="L275">
        <v>120</v>
      </c>
      <c r="M275">
        <v>15</v>
      </c>
      <c r="N275">
        <v>16.511210051872826</v>
      </c>
      <c r="O275">
        <v>1.155784703631098</v>
      </c>
      <c r="P275" s="139">
        <v>46211</v>
      </c>
      <c r="Q275" s="113"/>
    </row>
    <row r="276" spans="2:17" customFormat="1">
      <c r="B276" s="229">
        <v>8269</v>
      </c>
      <c r="C276" s="6">
        <v>2120</v>
      </c>
      <c r="D276" s="1">
        <v>70</v>
      </c>
      <c r="E276" s="27" t="s">
        <v>47</v>
      </c>
      <c r="F276" s="6" t="s">
        <v>51</v>
      </c>
      <c r="G276" s="7">
        <v>2510</v>
      </c>
      <c r="H276">
        <v>300</v>
      </c>
      <c r="I276">
        <v>20</v>
      </c>
      <c r="J276">
        <v>16.967933199999997</v>
      </c>
      <c r="K276">
        <v>1.1877553239999998</v>
      </c>
      <c r="L276">
        <v>120</v>
      </c>
      <c r="M276">
        <v>15</v>
      </c>
      <c r="N276">
        <v>16.842087706252034</v>
      </c>
      <c r="O276">
        <v>1.1789461394376424</v>
      </c>
      <c r="P276" s="139">
        <v>46211</v>
      </c>
      <c r="Q276" s="113"/>
    </row>
    <row r="277" spans="2:17" customFormat="1">
      <c r="B277" s="229">
        <v>8269</v>
      </c>
      <c r="C277" s="6">
        <v>2120</v>
      </c>
      <c r="D277" s="1">
        <v>70</v>
      </c>
      <c r="E277" s="27" t="s">
        <v>47</v>
      </c>
      <c r="F277" s="6" t="s">
        <v>51</v>
      </c>
      <c r="G277" s="7">
        <v>2590</v>
      </c>
      <c r="H277">
        <v>300</v>
      </c>
      <c r="I277">
        <v>10</v>
      </c>
      <c r="J277">
        <v>17.501293199999999</v>
      </c>
      <c r="K277">
        <v>1.2250905240000001</v>
      </c>
      <c r="L277">
        <v>120</v>
      </c>
      <c r="M277">
        <v>15</v>
      </c>
      <c r="N277">
        <v>17.371491953258769</v>
      </c>
      <c r="O277">
        <v>1.216004436728114</v>
      </c>
      <c r="P277" s="139">
        <v>46211</v>
      </c>
      <c r="Q277" s="113"/>
    </row>
    <row r="278" spans="2:17" customFormat="1">
      <c r="B278" s="229">
        <v>8269</v>
      </c>
      <c r="C278" s="6" t="s">
        <v>481</v>
      </c>
      <c r="Q278" s="113"/>
    </row>
    <row r="279" spans="2:17" customFormat="1">
      <c r="B279" s="229">
        <v>8269</v>
      </c>
      <c r="C279" s="6">
        <v>623</v>
      </c>
      <c r="D279" s="1">
        <v>68</v>
      </c>
      <c r="E279" s="5" t="s">
        <v>1</v>
      </c>
      <c r="F279" s="6" t="s">
        <v>46</v>
      </c>
      <c r="G279" s="7">
        <v>20008</v>
      </c>
      <c r="H279" t="s">
        <v>481</v>
      </c>
      <c r="I279">
        <v>50</v>
      </c>
      <c r="J279">
        <v>20.207999999999998</v>
      </c>
      <c r="K279">
        <v>1.3741439999999998</v>
      </c>
      <c r="L279">
        <v>0</v>
      </c>
      <c r="M279">
        <v>-45</v>
      </c>
      <c r="N279">
        <v>20.664380811173988</v>
      </c>
      <c r="O279">
        <v>1.4051778951598313</v>
      </c>
      <c r="P279" s="139">
        <v>46211</v>
      </c>
      <c r="Q279" s="113"/>
    </row>
    <row r="280" spans="2:17" customFormat="1">
      <c r="B280" s="229">
        <v>8291</v>
      </c>
      <c r="C280" s="6">
        <v>1870</v>
      </c>
      <c r="D280" s="1">
        <v>72</v>
      </c>
      <c r="E280" s="27" t="s">
        <v>47</v>
      </c>
      <c r="F280" s="6" t="s">
        <v>51</v>
      </c>
      <c r="G280" s="7">
        <v>2460</v>
      </c>
      <c r="H280">
        <v>300</v>
      </c>
      <c r="I280" s="6">
        <v>10</v>
      </c>
      <c r="J280">
        <v>16.634583200000002</v>
      </c>
      <c r="K280">
        <v>1.1976899904</v>
      </c>
      <c r="L280">
        <v>120</v>
      </c>
      <c r="M280">
        <v>15</v>
      </c>
      <c r="N280">
        <v>16.511210051872826</v>
      </c>
      <c r="O280">
        <v>1.1888071237348437</v>
      </c>
      <c r="P280" s="139">
        <v>45992</v>
      </c>
      <c r="Q280" s="113"/>
    </row>
    <row r="281" spans="2:17" customFormat="1">
      <c r="B281" s="229">
        <v>8291</v>
      </c>
      <c r="C281" s="6">
        <v>1870</v>
      </c>
      <c r="D281" s="1">
        <v>72</v>
      </c>
      <c r="E281" s="27" t="s">
        <v>47</v>
      </c>
      <c r="F281" s="6" t="s">
        <v>51</v>
      </c>
      <c r="G281" s="7">
        <v>2330</v>
      </c>
      <c r="H281">
        <v>300</v>
      </c>
      <c r="I281" s="6">
        <v>30</v>
      </c>
      <c r="J281">
        <v>15.767873200000002</v>
      </c>
      <c r="K281">
        <v>1.1352868704000001</v>
      </c>
      <c r="L281">
        <v>120</v>
      </c>
      <c r="M281">
        <v>15</v>
      </c>
      <c r="N281">
        <v>15.650928150486882</v>
      </c>
      <c r="O281">
        <v>1.1268668268350555</v>
      </c>
      <c r="P281" s="139">
        <v>45992</v>
      </c>
      <c r="Q281" s="113"/>
    </row>
    <row r="282" spans="2:17" customFormat="1">
      <c r="B282" s="229">
        <v>8291</v>
      </c>
      <c r="C282" s="6">
        <v>1870</v>
      </c>
      <c r="D282" s="1">
        <v>72</v>
      </c>
      <c r="E282" s="27" t="s">
        <v>47</v>
      </c>
      <c r="F282" s="6" t="s">
        <v>51</v>
      </c>
      <c r="G282" s="7">
        <v>2380</v>
      </c>
      <c r="H282">
        <v>300</v>
      </c>
      <c r="I282" s="6">
        <v>20</v>
      </c>
      <c r="J282">
        <v>16.1012232</v>
      </c>
      <c r="K282">
        <v>1.1592880704000001</v>
      </c>
      <c r="L282">
        <v>120</v>
      </c>
      <c r="M282">
        <v>15</v>
      </c>
      <c r="N282">
        <v>15.98180580486609</v>
      </c>
      <c r="O282">
        <v>1.1506900179503583</v>
      </c>
      <c r="P282" s="139">
        <v>45992</v>
      </c>
      <c r="Q282" s="113"/>
    </row>
    <row r="283" spans="2:17" customFormat="1">
      <c r="B283" s="229">
        <v>8291</v>
      </c>
      <c r="C283" s="6">
        <v>1870</v>
      </c>
      <c r="D283" s="1">
        <v>72</v>
      </c>
      <c r="E283" s="27" t="s">
        <v>47</v>
      </c>
      <c r="F283" s="6" t="s">
        <v>51</v>
      </c>
      <c r="G283" s="7">
        <v>2490</v>
      </c>
      <c r="H283">
        <v>300</v>
      </c>
      <c r="I283">
        <v>50</v>
      </c>
      <c r="J283">
        <v>16.8345932</v>
      </c>
      <c r="K283">
        <v>1.2120907104</v>
      </c>
      <c r="L283">
        <v>120</v>
      </c>
      <c r="M283">
        <v>15</v>
      </c>
      <c r="N283">
        <v>16.709736644500353</v>
      </c>
      <c r="O283">
        <v>1.2031010384040253</v>
      </c>
      <c r="P283" s="139">
        <v>46211</v>
      </c>
      <c r="Q283" s="113"/>
    </row>
    <row r="284" spans="2:17" customFormat="1">
      <c r="B284" s="229">
        <v>8292</v>
      </c>
      <c r="C284" s="6">
        <v>1870</v>
      </c>
      <c r="D284" s="1">
        <v>70</v>
      </c>
      <c r="E284" s="27" t="s">
        <v>47</v>
      </c>
      <c r="F284" s="6" t="s">
        <v>51</v>
      </c>
      <c r="G284" s="7">
        <v>2370</v>
      </c>
      <c r="H284">
        <v>300</v>
      </c>
      <c r="I284" s="6">
        <v>30</v>
      </c>
      <c r="J284">
        <v>16.034553200000001</v>
      </c>
      <c r="K284">
        <v>1.1224187240000001</v>
      </c>
      <c r="L284">
        <v>120</v>
      </c>
      <c r="M284">
        <v>15</v>
      </c>
      <c r="N284">
        <v>15.915630273990249</v>
      </c>
      <c r="O284">
        <v>1.1140941191793174</v>
      </c>
      <c r="P284" s="139">
        <v>45992</v>
      </c>
      <c r="Q284" s="113"/>
    </row>
    <row r="285" spans="2:17" customFormat="1">
      <c r="B285" s="229">
        <v>8292</v>
      </c>
      <c r="C285" s="6">
        <v>1870</v>
      </c>
      <c r="D285" s="1">
        <v>70</v>
      </c>
      <c r="E285" s="27" t="s">
        <v>47</v>
      </c>
      <c r="F285" s="6" t="s">
        <v>51</v>
      </c>
      <c r="G285" s="7">
        <v>2420</v>
      </c>
      <c r="H285">
        <v>300</v>
      </c>
      <c r="I285" s="6">
        <v>20</v>
      </c>
      <c r="J285">
        <v>16.367903200000001</v>
      </c>
      <c r="K285">
        <v>1.1457532240000001</v>
      </c>
      <c r="L285">
        <v>120</v>
      </c>
      <c r="M285">
        <v>15</v>
      </c>
      <c r="N285">
        <v>16.246507928369457</v>
      </c>
      <c r="O285">
        <v>1.1372555549858621</v>
      </c>
      <c r="P285" s="139">
        <v>45992</v>
      </c>
      <c r="Q285" s="113"/>
    </row>
    <row r="286" spans="2:17" customFormat="1">
      <c r="B286" s="229">
        <v>8292</v>
      </c>
      <c r="C286" s="6">
        <v>1870</v>
      </c>
      <c r="D286" s="1">
        <v>70</v>
      </c>
      <c r="E286" s="27" t="s">
        <v>47</v>
      </c>
      <c r="F286" s="6" t="s">
        <v>51</v>
      </c>
      <c r="G286" s="7">
        <v>2500</v>
      </c>
      <c r="H286">
        <v>300</v>
      </c>
      <c r="I286" s="6">
        <v>10</v>
      </c>
      <c r="J286">
        <v>16.901263199999999</v>
      </c>
      <c r="K286">
        <v>1.1830884239999999</v>
      </c>
      <c r="L286">
        <v>120</v>
      </c>
      <c r="M286">
        <v>15</v>
      </c>
      <c r="N286">
        <v>16.775912175376192</v>
      </c>
      <c r="O286">
        <v>1.1743138522763334</v>
      </c>
      <c r="P286" s="139">
        <v>45992</v>
      </c>
      <c r="Q286" s="113"/>
    </row>
    <row r="287" spans="2:17" customFormat="1">
      <c r="B287" s="229">
        <v>8292</v>
      </c>
      <c r="C287" s="6">
        <v>1870</v>
      </c>
      <c r="D287" s="1">
        <v>70</v>
      </c>
      <c r="E287" s="27" t="s">
        <v>47</v>
      </c>
      <c r="F287" s="6" t="s">
        <v>51</v>
      </c>
      <c r="G287" s="7">
        <v>2530</v>
      </c>
      <c r="H287">
        <v>300</v>
      </c>
      <c r="I287">
        <v>50</v>
      </c>
      <c r="J287">
        <v>17.101273199999998</v>
      </c>
      <c r="K287">
        <v>1.1970891239999999</v>
      </c>
      <c r="L287">
        <v>120</v>
      </c>
      <c r="M287">
        <v>15</v>
      </c>
      <c r="N287">
        <v>16.974438768003715</v>
      </c>
      <c r="O287">
        <v>1.18821071376026</v>
      </c>
      <c r="P287" s="139">
        <v>46211</v>
      </c>
      <c r="Q287" s="113"/>
    </row>
    <row r="288" spans="2:17" customFormat="1">
      <c r="B288" s="229">
        <v>8292</v>
      </c>
      <c r="C288" s="6">
        <v>1920</v>
      </c>
      <c r="D288" s="1">
        <v>70</v>
      </c>
      <c r="E288" s="27" t="s">
        <v>47</v>
      </c>
      <c r="F288" s="6" t="s">
        <v>51</v>
      </c>
      <c r="G288" s="7">
        <v>2370</v>
      </c>
      <c r="H288">
        <v>300</v>
      </c>
      <c r="I288" s="6">
        <v>30</v>
      </c>
      <c r="J288">
        <v>16.034553200000001</v>
      </c>
      <c r="K288">
        <v>1.1224187240000001</v>
      </c>
      <c r="L288">
        <v>120</v>
      </c>
      <c r="M288">
        <v>15</v>
      </c>
      <c r="N288">
        <v>15.915630273990249</v>
      </c>
      <c r="O288">
        <v>1.1140941191793174</v>
      </c>
      <c r="P288" s="139">
        <v>45992</v>
      </c>
      <c r="Q288" s="113"/>
    </row>
    <row r="289" spans="2:17" customFormat="1">
      <c r="B289" s="229">
        <v>8292</v>
      </c>
      <c r="C289" s="6">
        <v>1920</v>
      </c>
      <c r="D289" s="1">
        <v>70</v>
      </c>
      <c r="E289" s="27" t="s">
        <v>47</v>
      </c>
      <c r="F289" s="6" t="s">
        <v>51</v>
      </c>
      <c r="G289" s="7">
        <v>2420</v>
      </c>
      <c r="H289">
        <v>300</v>
      </c>
      <c r="I289" s="6">
        <v>20</v>
      </c>
      <c r="J289">
        <v>16.367903200000001</v>
      </c>
      <c r="K289">
        <v>1.1457532240000001</v>
      </c>
      <c r="L289">
        <v>120</v>
      </c>
      <c r="M289">
        <v>15</v>
      </c>
      <c r="N289">
        <v>16.246507928369457</v>
      </c>
      <c r="O289">
        <v>1.1372555549858621</v>
      </c>
      <c r="P289" s="139">
        <v>45992</v>
      </c>
      <c r="Q289" s="113"/>
    </row>
    <row r="290" spans="2:17" customFormat="1">
      <c r="B290" s="229">
        <v>8292</v>
      </c>
      <c r="C290" s="6">
        <v>1920</v>
      </c>
      <c r="D290" s="1">
        <v>70</v>
      </c>
      <c r="E290" s="27" t="s">
        <v>47</v>
      </c>
      <c r="F290" s="6" t="s">
        <v>51</v>
      </c>
      <c r="G290" s="7">
        <v>2500</v>
      </c>
      <c r="H290">
        <v>300</v>
      </c>
      <c r="I290" s="6">
        <v>10</v>
      </c>
      <c r="J290">
        <v>16.901263199999999</v>
      </c>
      <c r="K290">
        <v>1.1830884239999999</v>
      </c>
      <c r="L290">
        <v>120</v>
      </c>
      <c r="M290">
        <v>15</v>
      </c>
      <c r="N290">
        <v>16.775912175376192</v>
      </c>
      <c r="O290">
        <v>1.1743138522763334</v>
      </c>
      <c r="P290" s="139">
        <v>45992</v>
      </c>
      <c r="Q290" s="113"/>
    </row>
    <row r="291" spans="2:17" customFormat="1">
      <c r="B291" s="229">
        <v>8292</v>
      </c>
      <c r="C291" s="6">
        <v>1920</v>
      </c>
      <c r="D291" s="1">
        <v>70</v>
      </c>
      <c r="E291" s="27" t="s">
        <v>47</v>
      </c>
      <c r="F291" s="6" t="s">
        <v>51</v>
      </c>
      <c r="G291" s="7">
        <v>2530</v>
      </c>
      <c r="H291">
        <v>300</v>
      </c>
      <c r="I291">
        <v>50</v>
      </c>
      <c r="J291">
        <v>17.101273199999998</v>
      </c>
      <c r="K291">
        <v>1.1970891239999999</v>
      </c>
      <c r="L291">
        <v>120</v>
      </c>
      <c r="M291">
        <v>15</v>
      </c>
      <c r="N291">
        <v>16.974438768003715</v>
      </c>
      <c r="O291">
        <v>1.18821071376026</v>
      </c>
      <c r="P291" s="139">
        <v>46211</v>
      </c>
      <c r="Q291" s="113"/>
    </row>
    <row r="292" spans="2:17" customFormat="1">
      <c r="B292" s="229">
        <v>8686</v>
      </c>
      <c r="C292" s="6" t="s">
        <v>481</v>
      </c>
      <c r="Q292" s="113"/>
    </row>
    <row r="293" spans="2:17" customFormat="1">
      <c r="B293" s="229">
        <v>9080</v>
      </c>
      <c r="C293" s="6">
        <v>1855</v>
      </c>
      <c r="D293" s="1">
        <v>80</v>
      </c>
      <c r="E293" s="5" t="s">
        <v>1</v>
      </c>
      <c r="F293" s="6" t="s">
        <v>46</v>
      </c>
      <c r="G293" s="7">
        <v>19787</v>
      </c>
      <c r="H293" t="s">
        <v>481</v>
      </c>
      <c r="I293">
        <v>40</v>
      </c>
      <c r="J293">
        <v>19.986999999999998</v>
      </c>
      <c r="K293">
        <v>1.5989599999999999</v>
      </c>
      <c r="L293">
        <v>0</v>
      </c>
      <c r="M293">
        <v>-45</v>
      </c>
      <c r="N293">
        <v>20.438389710655905</v>
      </c>
      <c r="O293">
        <v>1.6350711768524722</v>
      </c>
      <c r="P293" s="139">
        <v>46211</v>
      </c>
      <c r="Q293" s="113"/>
    </row>
    <row r="294" spans="2:17" customFormat="1">
      <c r="B294" s="229">
        <v>9080</v>
      </c>
      <c r="C294" s="6" t="s">
        <v>481</v>
      </c>
      <c r="Q294" s="113"/>
    </row>
    <row r="295" spans="2:17" customFormat="1">
      <c r="B295" s="229">
        <v>9300</v>
      </c>
      <c r="C295" s="6">
        <v>1855</v>
      </c>
      <c r="D295" s="1">
        <v>80</v>
      </c>
      <c r="E295" s="5" t="s">
        <v>1</v>
      </c>
      <c r="F295" s="6" t="s">
        <v>46</v>
      </c>
      <c r="G295" s="7">
        <v>23581</v>
      </c>
      <c r="H295" t="s">
        <v>481</v>
      </c>
      <c r="I295">
        <v>40</v>
      </c>
      <c r="J295">
        <v>23.780999999999999</v>
      </c>
      <c r="K295">
        <v>1.9024799999999999</v>
      </c>
      <c r="L295">
        <v>0</v>
      </c>
      <c r="M295">
        <v>-45</v>
      </c>
      <c r="N295">
        <v>24.318074033577229</v>
      </c>
      <c r="O295">
        <v>1.9454459226861784</v>
      </c>
      <c r="P295" s="139">
        <v>46211</v>
      </c>
      <c r="Q295" s="113"/>
    </row>
    <row r="296" spans="2:17" customFormat="1">
      <c r="B296" s="229">
        <v>9300</v>
      </c>
      <c r="C296" s="6" t="s">
        <v>481</v>
      </c>
      <c r="Q296" s="113"/>
    </row>
    <row r="297" spans="2:17" customFormat="1">
      <c r="B297" s="229">
        <v>31052</v>
      </c>
      <c r="C297" s="6">
        <v>1900</v>
      </c>
      <c r="D297" s="1">
        <v>80</v>
      </c>
      <c r="E297" s="27" t="s">
        <v>468</v>
      </c>
      <c r="F297" t="s">
        <v>51</v>
      </c>
      <c r="G297" s="7">
        <v>3010</v>
      </c>
      <c r="H297" t="s">
        <v>481</v>
      </c>
      <c r="I297">
        <v>100</v>
      </c>
      <c r="J297">
        <v>20.301433199999998</v>
      </c>
      <c r="K297">
        <v>1.6241146559999999</v>
      </c>
      <c r="L297">
        <v>60</v>
      </c>
      <c r="M297">
        <v>-45</v>
      </c>
      <c r="N297">
        <v>20.75992412200171</v>
      </c>
      <c r="O297">
        <v>1.6607939297601368</v>
      </c>
      <c r="P297" s="139">
        <v>46211</v>
      </c>
      <c r="Q297" s="113"/>
    </row>
    <row r="298" spans="2:17" customFormat="1">
      <c r="B298" s="229">
        <v>31052</v>
      </c>
      <c r="C298" s="6">
        <v>1900</v>
      </c>
      <c r="D298" s="1">
        <v>80</v>
      </c>
      <c r="E298" s="27" t="s">
        <v>468</v>
      </c>
      <c r="F298" t="s">
        <v>51</v>
      </c>
      <c r="G298" s="7">
        <v>3360</v>
      </c>
      <c r="H298" t="s">
        <v>481</v>
      </c>
      <c r="I298">
        <v>20</v>
      </c>
      <c r="J298">
        <v>22.634883200000001</v>
      </c>
      <c r="K298">
        <v>1.810790656</v>
      </c>
      <c r="L298">
        <v>60</v>
      </c>
      <c r="M298">
        <v>-45</v>
      </c>
      <c r="N298">
        <v>23.146073142381461</v>
      </c>
      <c r="O298">
        <v>1.8516858513905168</v>
      </c>
      <c r="P298" s="139">
        <v>46211</v>
      </c>
      <c r="Q298" s="113"/>
    </row>
    <row r="299" spans="2:17" customFormat="1">
      <c r="B299" s="229">
        <v>31052</v>
      </c>
      <c r="C299" s="6">
        <v>1900</v>
      </c>
      <c r="D299" s="1">
        <v>80</v>
      </c>
      <c r="E299" s="27" t="s">
        <v>468</v>
      </c>
      <c r="F299" t="s">
        <v>51</v>
      </c>
      <c r="G299" s="7">
        <v>3060</v>
      </c>
      <c r="H299" t="s">
        <v>481</v>
      </c>
      <c r="I299">
        <v>50</v>
      </c>
      <c r="J299">
        <v>20.634783200000001</v>
      </c>
      <c r="K299">
        <v>1.6507826560000001</v>
      </c>
      <c r="L299">
        <v>60</v>
      </c>
      <c r="M299">
        <v>-45</v>
      </c>
      <c r="N299">
        <v>21.100802553484534</v>
      </c>
      <c r="O299">
        <v>1.6880642042787628</v>
      </c>
      <c r="P299" s="139">
        <v>46211</v>
      </c>
      <c r="Q299" s="113"/>
    </row>
    <row r="300" spans="2:17" customFormat="1">
      <c r="B300" s="229" t="s">
        <v>52</v>
      </c>
      <c r="C300" s="6">
        <v>1270</v>
      </c>
      <c r="D300" s="1">
        <v>68</v>
      </c>
      <c r="E300" s="27" t="s">
        <v>2</v>
      </c>
      <c r="F300" t="s">
        <v>51</v>
      </c>
      <c r="G300" s="7">
        <v>2020</v>
      </c>
      <c r="H300" t="s">
        <v>481</v>
      </c>
      <c r="I300" s="6">
        <v>100</v>
      </c>
      <c r="J300">
        <v>13.524103200000003</v>
      </c>
      <c r="K300">
        <v>0.91963901760000011</v>
      </c>
      <c r="L300">
        <v>120</v>
      </c>
      <c r="M300">
        <v>15</v>
      </c>
      <c r="N300">
        <v>13.423799443222929</v>
      </c>
      <c r="O300">
        <v>0.91281836213915912</v>
      </c>
      <c r="P300" s="139">
        <v>46082</v>
      </c>
      <c r="Q300" s="113"/>
    </row>
    <row r="301" spans="2:17" customFormat="1">
      <c r="B301" s="229" t="s">
        <v>52</v>
      </c>
      <c r="C301" s="6">
        <v>1270</v>
      </c>
      <c r="D301" s="1">
        <v>68</v>
      </c>
      <c r="E301" s="27" t="s">
        <v>2</v>
      </c>
      <c r="F301" t="s">
        <v>51</v>
      </c>
      <c r="G301" s="7">
        <v>2120</v>
      </c>
      <c r="H301" t="s">
        <v>481</v>
      </c>
      <c r="I301" s="6">
        <v>30</v>
      </c>
      <c r="J301">
        <v>14.190803200000001</v>
      </c>
      <c r="K301">
        <v>0.96497461760000003</v>
      </c>
      <c r="L301">
        <v>120</v>
      </c>
      <c r="M301">
        <v>15</v>
      </c>
      <c r="N301">
        <v>14.085554751981347</v>
      </c>
      <c r="O301">
        <v>0.95781772313473157</v>
      </c>
      <c r="P301" s="139">
        <v>46082</v>
      </c>
      <c r="Q301" s="113"/>
    </row>
    <row r="302" spans="2:17" customFormat="1">
      <c r="B302" s="229" t="s">
        <v>52</v>
      </c>
      <c r="C302" s="6">
        <v>1270</v>
      </c>
      <c r="D302" s="1">
        <v>68</v>
      </c>
      <c r="E302" s="27" t="s">
        <v>2</v>
      </c>
      <c r="F302" t="s">
        <v>51</v>
      </c>
      <c r="G302" s="7">
        <v>2040</v>
      </c>
      <c r="H302" t="s">
        <v>481</v>
      </c>
      <c r="I302" s="6">
        <v>70</v>
      </c>
      <c r="J302">
        <v>13.657443200000003</v>
      </c>
      <c r="K302">
        <v>0.9287061376000002</v>
      </c>
      <c r="L302">
        <v>120</v>
      </c>
      <c r="M302">
        <v>15</v>
      </c>
      <c r="N302">
        <v>13.556150504974614</v>
      </c>
      <c r="O302">
        <v>0.9218182343382737</v>
      </c>
      <c r="P302" s="139">
        <v>46082</v>
      </c>
      <c r="Q302" s="113"/>
    </row>
    <row r="303" spans="2:17" customFormat="1">
      <c r="B303" s="229" t="s">
        <v>52</v>
      </c>
      <c r="C303" s="6">
        <v>1270</v>
      </c>
      <c r="D303" s="1">
        <v>68</v>
      </c>
      <c r="E303" s="27" t="s">
        <v>2</v>
      </c>
      <c r="F303" t="s">
        <v>51</v>
      </c>
      <c r="G303" s="7">
        <v>2070</v>
      </c>
      <c r="H303" t="s">
        <v>481</v>
      </c>
      <c r="I303" s="6">
        <v>50</v>
      </c>
      <c r="J303">
        <v>13.8574532</v>
      </c>
      <c r="K303">
        <v>0.94230681760000001</v>
      </c>
      <c r="L303">
        <v>120</v>
      </c>
      <c r="M303">
        <v>15</v>
      </c>
      <c r="N303">
        <v>13.754677097602135</v>
      </c>
      <c r="O303">
        <v>0.93531804263694518</v>
      </c>
      <c r="P303" s="139">
        <v>46082</v>
      </c>
      <c r="Q303" s="113"/>
    </row>
    <row r="304" spans="2:17" customFormat="1">
      <c r="B304" s="229" t="s">
        <v>52</v>
      </c>
      <c r="C304" s="6">
        <v>1870</v>
      </c>
      <c r="D304" s="1">
        <v>71</v>
      </c>
      <c r="E304" s="27" t="s">
        <v>47</v>
      </c>
      <c r="F304" s="6" t="s">
        <v>51</v>
      </c>
      <c r="G304" s="7">
        <v>2400</v>
      </c>
      <c r="H304">
        <v>300</v>
      </c>
      <c r="I304">
        <v>50</v>
      </c>
      <c r="J304">
        <v>16.2345632</v>
      </c>
      <c r="K304">
        <v>1.1526539871999999</v>
      </c>
      <c r="L304">
        <v>120</v>
      </c>
      <c r="M304">
        <v>15</v>
      </c>
      <c r="N304">
        <v>16.114156866617773</v>
      </c>
      <c r="O304">
        <v>1.1441051375298619</v>
      </c>
      <c r="P304" s="139">
        <v>46211</v>
      </c>
      <c r="Q304" s="113"/>
    </row>
    <row r="305" spans="2:18">
      <c r="B305" s="229" t="s">
        <v>52</v>
      </c>
      <c r="C305" s="6">
        <v>1870</v>
      </c>
      <c r="D305" s="1">
        <v>71</v>
      </c>
      <c r="E305" s="27" t="s">
        <v>47</v>
      </c>
      <c r="F305" s="6" t="s">
        <v>51</v>
      </c>
      <c r="G305" s="7">
        <v>2450</v>
      </c>
      <c r="H305">
        <v>300</v>
      </c>
      <c r="I305">
        <v>30</v>
      </c>
      <c r="J305">
        <v>16.5679132</v>
      </c>
      <c r="K305">
        <v>1.1763218371999999</v>
      </c>
      <c r="L305">
        <v>120</v>
      </c>
      <c r="M305">
        <v>15</v>
      </c>
      <c r="N305">
        <v>16.445034520996984</v>
      </c>
      <c r="O305">
        <v>1.1675974509907858</v>
      </c>
      <c r="P305" s="139">
        <v>46211</v>
      </c>
      <c r="Q305" s="113"/>
      <c r="R305"/>
    </row>
    <row r="306" spans="2:18">
      <c r="B306" s="229" t="s">
        <v>52</v>
      </c>
      <c r="C306" s="6">
        <v>1870</v>
      </c>
      <c r="D306" s="1">
        <v>71</v>
      </c>
      <c r="E306" s="27" t="s">
        <v>47</v>
      </c>
      <c r="F306" s="6" t="s">
        <v>51</v>
      </c>
      <c r="G306" s="7">
        <v>2500</v>
      </c>
      <c r="H306">
        <v>300</v>
      </c>
      <c r="I306">
        <v>20</v>
      </c>
      <c r="J306">
        <v>16.901263199999999</v>
      </c>
      <c r="K306">
        <v>1.1999896872</v>
      </c>
      <c r="L306">
        <v>120</v>
      </c>
      <c r="M306">
        <v>15</v>
      </c>
      <c r="N306">
        <v>16.775912175376192</v>
      </c>
      <c r="O306">
        <v>1.1910897644517098</v>
      </c>
      <c r="P306" s="139">
        <v>46211</v>
      </c>
      <c r="Q306" s="113"/>
      <c r="R306"/>
    </row>
    <row r="307" spans="2:18">
      <c r="B307" s="229" t="s">
        <v>52</v>
      </c>
      <c r="C307" s="6">
        <v>1870</v>
      </c>
      <c r="D307" s="1">
        <v>71</v>
      </c>
      <c r="E307" s="27" t="s">
        <v>47</v>
      </c>
      <c r="F307" s="6" t="s">
        <v>51</v>
      </c>
      <c r="G307" s="7">
        <v>2580</v>
      </c>
      <c r="H307">
        <v>300</v>
      </c>
      <c r="I307">
        <v>10</v>
      </c>
      <c r="J307">
        <v>17.434623200000001</v>
      </c>
      <c r="K307">
        <v>1.2378582472000002</v>
      </c>
      <c r="L307">
        <v>120</v>
      </c>
      <c r="M307">
        <v>15</v>
      </c>
      <c r="N307">
        <v>17.30531642238293</v>
      </c>
      <c r="O307">
        <v>1.2286774659891879</v>
      </c>
      <c r="P307" s="139">
        <v>46211</v>
      </c>
      <c r="Q307" s="113"/>
    </row>
    <row r="308" spans="2:18">
      <c r="B308" s="229" t="s">
        <v>52</v>
      </c>
      <c r="C308" s="6">
        <v>2070</v>
      </c>
      <c r="D308" s="1">
        <v>71</v>
      </c>
      <c r="E308" s="27" t="s">
        <v>47</v>
      </c>
      <c r="F308" s="6" t="s">
        <v>51</v>
      </c>
      <c r="G308" s="7">
        <v>2400</v>
      </c>
      <c r="H308">
        <v>300</v>
      </c>
      <c r="I308">
        <v>50</v>
      </c>
      <c r="J308">
        <v>16.2345632</v>
      </c>
      <c r="K308">
        <v>1.1526539871999999</v>
      </c>
      <c r="L308">
        <v>120</v>
      </c>
      <c r="M308">
        <v>15</v>
      </c>
      <c r="N308">
        <v>16.114156866617773</v>
      </c>
      <c r="O308">
        <v>1.1441051375298619</v>
      </c>
      <c r="P308" s="139">
        <v>46211</v>
      </c>
      <c r="Q308" s="113"/>
    </row>
    <row r="309" spans="2:18">
      <c r="B309" s="229" t="s">
        <v>52</v>
      </c>
      <c r="C309" s="6">
        <v>2070</v>
      </c>
      <c r="D309" s="1">
        <v>71</v>
      </c>
      <c r="E309" s="27" t="s">
        <v>47</v>
      </c>
      <c r="F309" s="6" t="s">
        <v>51</v>
      </c>
      <c r="G309" s="7">
        <v>2450</v>
      </c>
      <c r="H309">
        <v>300</v>
      </c>
      <c r="I309">
        <v>30</v>
      </c>
      <c r="J309">
        <v>16.5679132</v>
      </c>
      <c r="K309">
        <v>1.1763218371999999</v>
      </c>
      <c r="L309">
        <v>120</v>
      </c>
      <c r="M309">
        <v>15</v>
      </c>
      <c r="N309">
        <v>16.445034520996984</v>
      </c>
      <c r="O309">
        <v>1.1675974509907858</v>
      </c>
      <c r="P309" s="139">
        <v>46211</v>
      </c>
      <c r="Q309" s="113"/>
    </row>
    <row r="310" spans="2:18">
      <c r="B310" s="229" t="s">
        <v>52</v>
      </c>
      <c r="C310" s="6">
        <v>2070</v>
      </c>
      <c r="D310" s="1">
        <v>71</v>
      </c>
      <c r="E310" s="27" t="s">
        <v>47</v>
      </c>
      <c r="F310" s="6" t="s">
        <v>51</v>
      </c>
      <c r="G310" s="7">
        <v>2500</v>
      </c>
      <c r="H310">
        <v>300</v>
      </c>
      <c r="I310">
        <v>20</v>
      </c>
      <c r="J310">
        <v>16.901263199999999</v>
      </c>
      <c r="K310">
        <v>1.1999896872</v>
      </c>
      <c r="L310">
        <v>120</v>
      </c>
      <c r="M310">
        <v>15</v>
      </c>
      <c r="N310">
        <v>16.775912175376192</v>
      </c>
      <c r="O310">
        <v>1.1910897644517098</v>
      </c>
      <c r="P310" s="139">
        <v>46211</v>
      </c>
      <c r="Q310" s="113"/>
    </row>
    <row r="311" spans="2:18">
      <c r="B311" s="229" t="s">
        <v>52</v>
      </c>
      <c r="C311" s="6">
        <v>2070</v>
      </c>
      <c r="D311" s="1">
        <v>71</v>
      </c>
      <c r="E311" s="27" t="s">
        <v>47</v>
      </c>
      <c r="F311" s="6" t="s">
        <v>51</v>
      </c>
      <c r="G311" s="7">
        <v>2580</v>
      </c>
      <c r="H311">
        <v>300</v>
      </c>
      <c r="I311">
        <v>10</v>
      </c>
      <c r="J311">
        <v>17.434623200000001</v>
      </c>
      <c r="K311">
        <v>1.2378582472000002</v>
      </c>
      <c r="L311">
        <v>120</v>
      </c>
      <c r="M311">
        <v>15</v>
      </c>
      <c r="N311">
        <v>17.30531642238293</v>
      </c>
      <c r="O311">
        <v>1.2286774659891879</v>
      </c>
      <c r="P311" s="139">
        <v>46211</v>
      </c>
      <c r="Q311" s="113"/>
    </row>
    <row r="312" spans="2:18">
      <c r="B312" s="229" t="s">
        <v>52</v>
      </c>
      <c r="C312" s="6" t="s">
        <v>481</v>
      </c>
      <c r="D312"/>
      <c r="E312"/>
      <c r="F312"/>
      <c r="G312"/>
      <c r="H312"/>
      <c r="I312"/>
      <c r="J312"/>
      <c r="K312"/>
      <c r="L312"/>
      <c r="M312"/>
      <c r="N312"/>
      <c r="O312"/>
      <c r="P312"/>
      <c r="Q312" s="113"/>
    </row>
    <row r="313" spans="2:18">
      <c r="B313" s="229" t="s">
        <v>123</v>
      </c>
      <c r="C313" s="6">
        <v>2065</v>
      </c>
      <c r="D313" s="1">
        <v>60</v>
      </c>
      <c r="E313" s="5" t="s">
        <v>1</v>
      </c>
      <c r="F313" s="6" t="s">
        <v>46</v>
      </c>
      <c r="G313" s="7">
        <v>11555</v>
      </c>
      <c r="H313" t="s">
        <v>481</v>
      </c>
      <c r="I313">
        <v>40</v>
      </c>
      <c r="J313">
        <v>11.754999999999999</v>
      </c>
      <c r="K313">
        <v>0.70530000000000004</v>
      </c>
      <c r="L313">
        <v>0</v>
      </c>
      <c r="M313">
        <v>-45</v>
      </c>
      <c r="N313">
        <v>12.020476862398567</v>
      </c>
      <c r="O313">
        <v>0.72122861174391406</v>
      </c>
      <c r="P313" s="139">
        <v>46211</v>
      </c>
      <c r="Q313" s="113"/>
    </row>
    <row r="314" spans="2:18">
      <c r="B314" s="229" t="s">
        <v>123</v>
      </c>
      <c r="C314" s="6" t="s">
        <v>481</v>
      </c>
      <c r="D314"/>
      <c r="E314"/>
      <c r="F314"/>
      <c r="G314"/>
      <c r="H314"/>
      <c r="I314"/>
      <c r="J314"/>
      <c r="K314"/>
      <c r="L314"/>
      <c r="M314"/>
      <c r="N314"/>
      <c r="O314"/>
      <c r="P314"/>
      <c r="Q314" s="6"/>
    </row>
    <row r="315" spans="2:18">
      <c r="B315" s="229" t="s">
        <v>123</v>
      </c>
      <c r="C315" s="6">
        <v>2080</v>
      </c>
      <c r="D315" s="1">
        <v>60</v>
      </c>
      <c r="E315" s="27" t="s">
        <v>67</v>
      </c>
      <c r="F315" s="6" t="s">
        <v>51</v>
      </c>
      <c r="G315" s="7">
        <v>1230</v>
      </c>
      <c r="H315" s="7" t="s">
        <v>481</v>
      </c>
      <c r="I315">
        <v>100</v>
      </c>
      <c r="J315">
        <v>8.4341732000000018</v>
      </c>
      <c r="K315">
        <v>0.50605039200000013</v>
      </c>
      <c r="L315">
        <v>90</v>
      </c>
      <c r="M315">
        <v>-15</v>
      </c>
      <c r="N315">
        <v>8.4971940504564358</v>
      </c>
      <c r="O315">
        <v>0.50983164302738615</v>
      </c>
      <c r="P315" s="139">
        <v>45870</v>
      </c>
      <c r="Q315" s="113"/>
    </row>
    <row r="316" spans="2:18">
      <c r="B316" s="229" t="s">
        <v>123</v>
      </c>
      <c r="C316" s="6">
        <v>2080</v>
      </c>
      <c r="D316" s="1">
        <v>60</v>
      </c>
      <c r="E316" s="27" t="s">
        <v>47</v>
      </c>
      <c r="F316" s="6" t="s">
        <v>51</v>
      </c>
      <c r="G316" s="7">
        <v>1350</v>
      </c>
      <c r="H316" s="110">
        <v>300</v>
      </c>
      <c r="I316" s="6" t="s">
        <v>481</v>
      </c>
      <c r="J316">
        <v>9.2342132000000028</v>
      </c>
      <c r="K316">
        <v>0.55405279200000013</v>
      </c>
      <c r="L316">
        <v>120</v>
      </c>
      <c r="M316">
        <v>15</v>
      </c>
      <c r="N316">
        <v>9.1657261246543751</v>
      </c>
      <c r="O316">
        <v>0.54994356747926243</v>
      </c>
      <c r="P316" s="139">
        <v>45627</v>
      </c>
      <c r="Q316" s="113"/>
    </row>
    <row r="317" spans="2:18">
      <c r="B317" s="229" t="s">
        <v>123</v>
      </c>
      <c r="C317" s="6">
        <v>2080</v>
      </c>
      <c r="D317" s="1">
        <v>60</v>
      </c>
      <c r="E317" s="27" t="s">
        <v>21</v>
      </c>
      <c r="F317" s="6" t="s">
        <v>46</v>
      </c>
      <c r="G317" s="7">
        <v>10590</v>
      </c>
      <c r="H317" s="110" t="s">
        <v>481</v>
      </c>
      <c r="I317" t="s">
        <v>481</v>
      </c>
      <c r="J317">
        <v>10.79</v>
      </c>
      <c r="K317">
        <v>0.64739999999999998</v>
      </c>
      <c r="L317">
        <v>0</v>
      </c>
      <c r="M317">
        <v>-45</v>
      </c>
      <c r="N317">
        <v>11.033683142941772</v>
      </c>
      <c r="O317">
        <v>0.66202098857650626</v>
      </c>
      <c r="P317" s="139">
        <v>45992</v>
      </c>
      <c r="Q317" s="113"/>
    </row>
    <row r="318" spans="2:18">
      <c r="B318" s="229" t="s">
        <v>123</v>
      </c>
      <c r="C318" s="6">
        <v>2080</v>
      </c>
      <c r="D318" s="1">
        <v>60</v>
      </c>
      <c r="E318" s="27" t="s">
        <v>240</v>
      </c>
      <c r="F318" s="6" t="s">
        <v>267</v>
      </c>
      <c r="G318" s="7">
        <v>9000</v>
      </c>
      <c r="H318" s="110">
        <v>3300</v>
      </c>
      <c r="I318" s="6" t="s">
        <v>481</v>
      </c>
      <c r="J318">
        <v>8.9065799999999999</v>
      </c>
      <c r="K318">
        <v>0.53439480000000006</v>
      </c>
      <c r="L318">
        <v>90</v>
      </c>
      <c r="M318">
        <v>-30</v>
      </c>
      <c r="N318">
        <v>9.0401786999999985</v>
      </c>
      <c r="O318">
        <v>0.54241072199999985</v>
      </c>
      <c r="P318" s="139">
        <v>46023</v>
      </c>
      <c r="Q318" s="113"/>
    </row>
    <row r="319" spans="2:18">
      <c r="B319" s="229" t="s">
        <v>123</v>
      </c>
      <c r="C319" s="6">
        <v>2080</v>
      </c>
      <c r="D319" s="1">
        <v>50</v>
      </c>
      <c r="E319" s="27" t="s">
        <v>67</v>
      </c>
      <c r="F319" s="6" t="s">
        <v>51</v>
      </c>
      <c r="G319" s="7">
        <v>1250</v>
      </c>
      <c r="H319" s="110" t="s">
        <v>481</v>
      </c>
      <c r="I319">
        <v>100</v>
      </c>
      <c r="J319">
        <v>8.6265131999999998</v>
      </c>
      <c r="K319">
        <v>0.43132566</v>
      </c>
      <c r="L319">
        <v>90</v>
      </c>
      <c r="M319">
        <v>-15</v>
      </c>
      <c r="N319">
        <v>8.6909712310892413</v>
      </c>
      <c r="O319">
        <v>0.43454856155446209</v>
      </c>
      <c r="P319" s="139">
        <v>45870</v>
      </c>
      <c r="Q319" s="113"/>
    </row>
    <row r="320" spans="2:18">
      <c r="B320" s="229" t="s">
        <v>123</v>
      </c>
      <c r="C320" s="6">
        <v>2080</v>
      </c>
      <c r="D320" s="1">
        <v>50</v>
      </c>
      <c r="E320" s="27" t="s">
        <v>240</v>
      </c>
      <c r="F320" s="6" t="s">
        <v>267</v>
      </c>
      <c r="G320" s="7">
        <v>9000</v>
      </c>
      <c r="H320" s="110">
        <v>3300</v>
      </c>
      <c r="I320" t="s">
        <v>481</v>
      </c>
      <c r="J320">
        <v>8.9065799999999999</v>
      </c>
      <c r="K320">
        <v>0.44532900000000003</v>
      </c>
      <c r="L320">
        <v>90</v>
      </c>
      <c r="M320">
        <v>-30</v>
      </c>
      <c r="N320">
        <v>9.0401786999999985</v>
      </c>
      <c r="O320">
        <v>0.45200893499999995</v>
      </c>
      <c r="P320" s="139">
        <v>45992</v>
      </c>
      <c r="Q320" s="113"/>
    </row>
    <row r="321" spans="2:17">
      <c r="B321" s="229" t="s">
        <v>303</v>
      </c>
      <c r="C321" s="6">
        <v>1900</v>
      </c>
      <c r="D321" s="1">
        <v>40</v>
      </c>
      <c r="E321" s="27" t="s">
        <v>21</v>
      </c>
      <c r="F321" s="6" t="s">
        <v>46</v>
      </c>
      <c r="G321" s="7">
        <v>14203.2</v>
      </c>
      <c r="H321" s="6" t="s">
        <v>481</v>
      </c>
      <c r="I321" t="s">
        <v>481</v>
      </c>
      <c r="J321">
        <v>14.4032</v>
      </c>
      <c r="K321">
        <v>0.57612799999999997</v>
      </c>
      <c r="L321">
        <v>0</v>
      </c>
      <c r="M321">
        <v>-45</v>
      </c>
      <c r="N321">
        <v>14.728484248787669</v>
      </c>
      <c r="O321">
        <v>0.58913936995150673</v>
      </c>
      <c r="P321" s="139">
        <v>46113</v>
      </c>
      <c r="Q321" s="113"/>
    </row>
    <row r="322" spans="2:17">
      <c r="B322" s="229" t="s">
        <v>303</v>
      </c>
      <c r="C322" s="6">
        <v>1900</v>
      </c>
      <c r="D322" s="1">
        <v>40</v>
      </c>
      <c r="E322" s="27" t="s">
        <v>151</v>
      </c>
      <c r="F322" t="s">
        <v>46</v>
      </c>
      <c r="G322" s="7">
        <v>8864.4599999999991</v>
      </c>
      <c r="H322" t="s">
        <v>481</v>
      </c>
      <c r="I322" t="s">
        <v>481</v>
      </c>
      <c r="J322">
        <v>9.0644599999999986</v>
      </c>
      <c r="K322">
        <v>0.36257839999999991</v>
      </c>
      <c r="L322">
        <v>30</v>
      </c>
      <c r="M322">
        <v>-15</v>
      </c>
      <c r="N322">
        <v>9.1321904063578287</v>
      </c>
      <c r="O322">
        <v>0.36528761625431316</v>
      </c>
      <c r="P322" s="139">
        <v>45809</v>
      </c>
      <c r="Q322" s="113"/>
    </row>
    <row r="323" spans="2:17">
      <c r="B323" s="229" t="s">
        <v>303</v>
      </c>
      <c r="C323" s="6">
        <v>1900</v>
      </c>
      <c r="D323" s="1">
        <v>40</v>
      </c>
      <c r="E323" s="27" t="s">
        <v>207</v>
      </c>
      <c r="F323" s="6" t="s">
        <v>158</v>
      </c>
      <c r="G323" s="7">
        <v>2198</v>
      </c>
      <c r="H323" t="s">
        <v>481</v>
      </c>
      <c r="I323" t="s">
        <v>481</v>
      </c>
      <c r="J323">
        <v>14.596466666666668</v>
      </c>
      <c r="K323">
        <v>0.58385866666666675</v>
      </c>
      <c r="L323">
        <v>90</v>
      </c>
      <c r="M323">
        <v>-30</v>
      </c>
      <c r="N323">
        <v>14.815413666666666</v>
      </c>
      <c r="O323">
        <v>0.59261654666666663</v>
      </c>
      <c r="P323" s="139">
        <v>45444</v>
      </c>
      <c r="Q323" s="113"/>
    </row>
    <row r="324" spans="2:17">
      <c r="B324" s="229" t="s">
        <v>303</v>
      </c>
      <c r="C324" s="6">
        <v>1900</v>
      </c>
      <c r="D324" s="1">
        <v>40</v>
      </c>
      <c r="E324" s="27" t="s">
        <v>383</v>
      </c>
      <c r="F324" t="s">
        <v>51</v>
      </c>
      <c r="G324" s="7">
        <v>1750</v>
      </c>
      <c r="H324" t="s">
        <v>481</v>
      </c>
      <c r="I324">
        <v>20</v>
      </c>
      <c r="J324">
        <v>12.982080000000003</v>
      </c>
      <c r="K324">
        <v>0.51928320000000017</v>
      </c>
      <c r="L324">
        <v>0</v>
      </c>
      <c r="M324">
        <v>-120</v>
      </c>
      <c r="N324">
        <v>13.778706523297796</v>
      </c>
      <c r="O324">
        <v>0.55114826093191183</v>
      </c>
      <c r="P324" s="139">
        <v>46143</v>
      </c>
      <c r="Q324" s="113"/>
    </row>
    <row r="325" spans="2:17">
      <c r="B325" s="229" t="s">
        <v>303</v>
      </c>
      <c r="C325" s="6">
        <v>1900</v>
      </c>
      <c r="D325" s="1">
        <v>30</v>
      </c>
      <c r="E325" s="27" t="s">
        <v>207</v>
      </c>
      <c r="F325" s="6" t="s">
        <v>158</v>
      </c>
      <c r="G325" s="7">
        <v>1990</v>
      </c>
      <c r="H325" t="s">
        <v>481</v>
      </c>
      <c r="I325" t="s">
        <v>481</v>
      </c>
      <c r="J325">
        <v>13.400466666666667</v>
      </c>
      <c r="K325">
        <v>0.40201399999999998</v>
      </c>
      <c r="L325">
        <v>90</v>
      </c>
      <c r="M325">
        <v>-30</v>
      </c>
      <c r="N325">
        <v>13.601473666666665</v>
      </c>
      <c r="O325">
        <v>0.40804420999999996</v>
      </c>
      <c r="P325" s="139">
        <v>45778</v>
      </c>
      <c r="Q325" s="113"/>
    </row>
    <row r="326" spans="2:17">
      <c r="B326" s="229" t="s">
        <v>303</v>
      </c>
      <c r="C326" s="6">
        <v>1880</v>
      </c>
      <c r="D326" s="1">
        <v>30</v>
      </c>
      <c r="E326" s="27" t="s">
        <v>151</v>
      </c>
      <c r="F326" s="6" t="s">
        <v>46</v>
      </c>
      <c r="G326" s="7">
        <v>9568.2262499999997</v>
      </c>
      <c r="H326" t="s">
        <v>481</v>
      </c>
      <c r="I326" t="s">
        <v>481</v>
      </c>
      <c r="J326">
        <v>9.7682262499999997</v>
      </c>
      <c r="K326">
        <v>0.29304678749999996</v>
      </c>
      <c r="L326">
        <v>30</v>
      </c>
      <c r="M326">
        <v>-15</v>
      </c>
      <c r="N326">
        <v>9.8412152568804689</v>
      </c>
      <c r="O326">
        <v>0.29523645770641405</v>
      </c>
      <c r="P326" s="139">
        <v>45901</v>
      </c>
      <c r="Q326" s="113"/>
    </row>
    <row r="327" spans="2:17">
      <c r="B327" s="229" t="s">
        <v>122</v>
      </c>
      <c r="C327" s="6">
        <v>1900</v>
      </c>
      <c r="D327" s="1">
        <v>40</v>
      </c>
      <c r="E327" s="27" t="s">
        <v>21</v>
      </c>
      <c r="F327" s="6" t="s">
        <v>46</v>
      </c>
      <c r="G327" s="7">
        <v>19239.78</v>
      </c>
      <c r="H327" t="s">
        <v>481</v>
      </c>
      <c r="I327" t="s">
        <v>481</v>
      </c>
      <c r="J327">
        <v>19.439779999999999</v>
      </c>
      <c r="K327">
        <v>0.77759120000000004</v>
      </c>
      <c r="L327">
        <v>0</v>
      </c>
      <c r="M327">
        <v>-45</v>
      </c>
      <c r="N327">
        <v>19.878811203753163</v>
      </c>
      <c r="O327">
        <v>0.79515244815012653</v>
      </c>
      <c r="P327" s="139">
        <v>46113</v>
      </c>
      <c r="Q327" s="113"/>
    </row>
    <row r="328" spans="2:17">
      <c r="B328" s="229" t="s">
        <v>76</v>
      </c>
      <c r="C328" s="6">
        <v>1900</v>
      </c>
      <c r="D328" s="1">
        <v>40</v>
      </c>
      <c r="E328" s="27" t="s">
        <v>21</v>
      </c>
      <c r="F328" s="6" t="s">
        <v>46</v>
      </c>
      <c r="G328" s="7">
        <v>12385.83</v>
      </c>
      <c r="H328" t="s">
        <v>481</v>
      </c>
      <c r="I328" t="s">
        <v>481</v>
      </c>
      <c r="J328">
        <v>12.58583</v>
      </c>
      <c r="K328">
        <v>0.50343319999999991</v>
      </c>
      <c r="L328">
        <v>0</v>
      </c>
      <c r="M328">
        <v>-45</v>
      </c>
      <c r="N328">
        <v>12.870070464405085</v>
      </c>
      <c r="O328">
        <v>0.51480281857620336</v>
      </c>
      <c r="P328" s="139">
        <v>46113</v>
      </c>
      <c r="Q328" s="113"/>
    </row>
    <row r="329" spans="2:17">
      <c r="B329" s="229" t="s">
        <v>76</v>
      </c>
      <c r="C329" s="6">
        <v>1900</v>
      </c>
      <c r="D329" s="1">
        <v>40</v>
      </c>
      <c r="E329" s="27" t="s">
        <v>207</v>
      </c>
      <c r="F329" s="6" t="s">
        <v>158</v>
      </c>
      <c r="G329" s="7">
        <v>2153</v>
      </c>
      <c r="H329" t="s">
        <v>481</v>
      </c>
      <c r="I329" t="s">
        <v>481</v>
      </c>
      <c r="J329">
        <v>14.337716666666669</v>
      </c>
      <c r="K329">
        <v>0.57350866666666678</v>
      </c>
      <c r="L329">
        <v>90</v>
      </c>
      <c r="M329">
        <v>-30</v>
      </c>
      <c r="N329">
        <v>14.552782416666668</v>
      </c>
      <c r="O329">
        <v>0.58211129666666672</v>
      </c>
      <c r="P329" s="139">
        <v>45444</v>
      </c>
      <c r="Q329" s="113"/>
    </row>
    <row r="330" spans="2:17">
      <c r="B330" s="229" t="s">
        <v>76</v>
      </c>
      <c r="C330" s="6">
        <v>1900</v>
      </c>
      <c r="D330" s="1">
        <v>40</v>
      </c>
      <c r="E330" s="27" t="s">
        <v>240</v>
      </c>
      <c r="F330" s="6" t="s">
        <v>51</v>
      </c>
      <c r="G330" s="7">
        <v>2600</v>
      </c>
      <c r="H330" s="110">
        <v>400</v>
      </c>
      <c r="I330" s="6">
        <v>26</v>
      </c>
      <c r="J330">
        <v>18.699180000000002</v>
      </c>
      <c r="K330">
        <v>0.74796720000000017</v>
      </c>
      <c r="L330">
        <v>75</v>
      </c>
      <c r="M330">
        <v>-45</v>
      </c>
      <c r="N330">
        <v>19.121485370976274</v>
      </c>
      <c r="O330">
        <v>0.76485941483905096</v>
      </c>
      <c r="P330" s="139">
        <v>45809</v>
      </c>
      <c r="Q330" s="113"/>
    </row>
    <row r="331" spans="2:17">
      <c r="B331" s="229" t="s">
        <v>76</v>
      </c>
      <c r="C331" s="6">
        <v>1900</v>
      </c>
      <c r="D331" s="1">
        <v>40</v>
      </c>
      <c r="E331" s="27" t="s">
        <v>383</v>
      </c>
      <c r="F331" t="s">
        <v>51</v>
      </c>
      <c r="G331" s="7">
        <v>1750</v>
      </c>
      <c r="H331" t="s">
        <v>481</v>
      </c>
      <c r="I331">
        <v>20</v>
      </c>
      <c r="J331">
        <v>12.982080000000003</v>
      </c>
      <c r="K331">
        <v>0.51928320000000017</v>
      </c>
      <c r="L331">
        <v>0</v>
      </c>
      <c r="M331">
        <v>-120</v>
      </c>
      <c r="N331">
        <v>13.778706523297796</v>
      </c>
      <c r="O331">
        <v>0.55114826093191183</v>
      </c>
      <c r="P331" s="139">
        <v>46143</v>
      </c>
      <c r="Q331" s="113"/>
    </row>
    <row r="332" spans="2:17">
      <c r="B332" s="229" t="s">
        <v>76</v>
      </c>
      <c r="C332" s="6">
        <v>1900</v>
      </c>
      <c r="D332" s="1">
        <v>30</v>
      </c>
      <c r="E332" s="27" t="s">
        <v>207</v>
      </c>
      <c r="F332" s="6" t="s">
        <v>158</v>
      </c>
      <c r="G332" s="7">
        <v>1990</v>
      </c>
      <c r="H332" s="144" t="s">
        <v>481</v>
      </c>
      <c r="I332" s="6" t="s">
        <v>481</v>
      </c>
      <c r="J332">
        <v>13.400466666666667</v>
      </c>
      <c r="K332">
        <v>0.40201399999999998</v>
      </c>
      <c r="L332">
        <v>90</v>
      </c>
      <c r="M332">
        <v>-30</v>
      </c>
      <c r="N332">
        <v>13.601473666666665</v>
      </c>
      <c r="O332">
        <v>0.40804420999999996</v>
      </c>
      <c r="P332" s="139">
        <v>45778</v>
      </c>
      <c r="Q332" s="113"/>
    </row>
    <row r="333" spans="2:17">
      <c r="B333" s="229" t="s">
        <v>76</v>
      </c>
      <c r="C333" s="6">
        <v>1905</v>
      </c>
      <c r="D333" s="1">
        <v>40</v>
      </c>
      <c r="E333" s="27" t="s">
        <v>21</v>
      </c>
      <c r="F333" s="6" t="s">
        <v>46</v>
      </c>
      <c r="G333" s="7">
        <v>12385.83</v>
      </c>
      <c r="H333" t="s">
        <v>481</v>
      </c>
      <c r="I333" t="s">
        <v>481</v>
      </c>
      <c r="J333">
        <v>12.58583</v>
      </c>
      <c r="K333">
        <v>0.50343319999999991</v>
      </c>
      <c r="L333">
        <v>0</v>
      </c>
      <c r="M333">
        <v>-45</v>
      </c>
      <c r="N333">
        <v>12.870070464405085</v>
      </c>
      <c r="O333">
        <v>0.51480281857620336</v>
      </c>
      <c r="P333" s="139">
        <v>46113</v>
      </c>
      <c r="Q333" s="113"/>
    </row>
    <row r="334" spans="2:17">
      <c r="B334" s="229" t="s">
        <v>78</v>
      </c>
      <c r="C334" s="6">
        <v>1900</v>
      </c>
      <c r="D334" s="1">
        <v>45</v>
      </c>
      <c r="E334" s="27" t="s">
        <v>21</v>
      </c>
      <c r="F334" s="6" t="s">
        <v>46</v>
      </c>
      <c r="G334" s="7">
        <v>16823.400000000001</v>
      </c>
      <c r="H334" t="s">
        <v>481</v>
      </c>
      <c r="I334" t="s">
        <v>481</v>
      </c>
      <c r="J334">
        <v>17.023400000000002</v>
      </c>
      <c r="K334">
        <v>0.76605300000000009</v>
      </c>
      <c r="L334">
        <v>0</v>
      </c>
      <c r="M334">
        <v>-45</v>
      </c>
      <c r="N334">
        <v>17.407859278550049</v>
      </c>
      <c r="O334">
        <v>0.78335366753475222</v>
      </c>
      <c r="P334" s="139">
        <v>46113</v>
      </c>
      <c r="Q334" s="113"/>
    </row>
    <row r="335" spans="2:17">
      <c r="B335" s="229" t="s">
        <v>77</v>
      </c>
      <c r="C335" s="6">
        <v>1900</v>
      </c>
      <c r="D335" s="1">
        <v>40</v>
      </c>
      <c r="E335" s="27" t="s">
        <v>21</v>
      </c>
      <c r="F335" s="6" t="s">
        <v>46</v>
      </c>
      <c r="G335" s="7">
        <v>17269.86</v>
      </c>
      <c r="H335" t="s">
        <v>481</v>
      </c>
      <c r="I335" t="s">
        <v>481</v>
      </c>
      <c r="J335">
        <v>17.469860000000001</v>
      </c>
      <c r="K335">
        <v>0.69879440000000004</v>
      </c>
      <c r="L335">
        <v>0</v>
      </c>
      <c r="M335">
        <v>-45</v>
      </c>
      <c r="N335">
        <v>17.864402204963188</v>
      </c>
      <c r="O335">
        <v>0.71457608819852747</v>
      </c>
      <c r="P335" s="139">
        <v>46113</v>
      </c>
      <c r="Q335" s="113"/>
    </row>
    <row r="336" spans="2:17">
      <c r="B336" s="229" t="s">
        <v>481</v>
      </c>
      <c r="C336" s="6" t="s">
        <v>481</v>
      </c>
      <c r="D336"/>
      <c r="E336"/>
      <c r="F336"/>
      <c r="G336"/>
      <c r="H336"/>
      <c r="I336"/>
      <c r="J336"/>
      <c r="K336"/>
      <c r="L336"/>
      <c r="M336"/>
      <c r="N336"/>
      <c r="O336"/>
      <c r="P336"/>
      <c r="Q336" s="113"/>
    </row>
    <row r="337" spans="2:17">
      <c r="B337" s="229" t="s">
        <v>149</v>
      </c>
      <c r="C337" s="6">
        <v>1900</v>
      </c>
      <c r="D337" s="1">
        <v>40</v>
      </c>
      <c r="E337" s="27" t="s">
        <v>151</v>
      </c>
      <c r="F337" s="6" t="s">
        <v>46</v>
      </c>
      <c r="G337" s="7">
        <v>9440.6498999999985</v>
      </c>
      <c r="H337" t="s">
        <v>481</v>
      </c>
      <c r="I337" t="s">
        <v>481</v>
      </c>
      <c r="J337">
        <v>9.6406498999999979</v>
      </c>
      <c r="K337">
        <v>0.38562599599999992</v>
      </c>
      <c r="L337">
        <v>30</v>
      </c>
      <c r="M337">
        <v>-15</v>
      </c>
      <c r="N337">
        <v>9.7126856456793416</v>
      </c>
      <c r="O337">
        <v>0.38850742582717368</v>
      </c>
      <c r="P337" s="139">
        <v>45901</v>
      </c>
      <c r="Q337" s="113"/>
    </row>
    <row r="338" spans="2:17">
      <c r="B338" s="229" t="s">
        <v>149</v>
      </c>
      <c r="C338" s="6" t="s">
        <v>481</v>
      </c>
      <c r="D338"/>
      <c r="E338"/>
      <c r="F338"/>
      <c r="G338"/>
      <c r="H338"/>
      <c r="I338"/>
      <c r="J338"/>
      <c r="K338"/>
      <c r="L338"/>
      <c r="M338"/>
      <c r="N338"/>
      <c r="O338"/>
      <c r="P338"/>
      <c r="Q338" s="113"/>
    </row>
    <row r="339" spans="2:17">
      <c r="B339" s="229" t="s">
        <v>149</v>
      </c>
      <c r="C339" s="6">
        <v>2140</v>
      </c>
      <c r="D339" s="1">
        <v>40</v>
      </c>
      <c r="E339" s="27" t="s">
        <v>151</v>
      </c>
      <c r="F339" s="6" t="s">
        <v>46</v>
      </c>
      <c r="G339" s="7">
        <v>9440.6498999999985</v>
      </c>
      <c r="H339" t="s">
        <v>481</v>
      </c>
      <c r="I339" t="s">
        <v>481</v>
      </c>
      <c r="J339">
        <v>9.6406498999999979</v>
      </c>
      <c r="K339">
        <v>0.38562599599999992</v>
      </c>
      <c r="L339">
        <v>30</v>
      </c>
      <c r="M339">
        <v>-15</v>
      </c>
      <c r="N339">
        <v>9.7126856456793416</v>
      </c>
      <c r="O339">
        <v>0.38850742582717368</v>
      </c>
      <c r="P339" s="139">
        <v>45901</v>
      </c>
      <c r="Q339" s="113"/>
    </row>
    <row r="340" spans="2:17">
      <c r="B340" s="229">
        <v>9370</v>
      </c>
      <c r="C340" s="6">
        <v>1900</v>
      </c>
      <c r="D340" s="1">
        <v>70</v>
      </c>
      <c r="E340" s="27" t="s">
        <v>47</v>
      </c>
      <c r="F340" s="6" t="s">
        <v>51</v>
      </c>
      <c r="G340" s="7">
        <v>2800</v>
      </c>
      <c r="H340">
        <v>300</v>
      </c>
      <c r="I340">
        <v>20</v>
      </c>
      <c r="J340">
        <v>18.901363199999999</v>
      </c>
      <c r="K340">
        <v>1.3230954239999999</v>
      </c>
      <c r="L340">
        <v>120</v>
      </c>
      <c r="M340">
        <v>15</v>
      </c>
      <c r="N340">
        <v>18.761178101651449</v>
      </c>
      <c r="O340">
        <v>1.3132824671156014</v>
      </c>
      <c r="P340" s="139">
        <v>45901</v>
      </c>
      <c r="Q340" s="113"/>
    </row>
    <row r="341" spans="2:17">
      <c r="B341" s="229">
        <v>9370</v>
      </c>
      <c r="C341" s="6">
        <v>1900</v>
      </c>
      <c r="D341" s="1">
        <v>70</v>
      </c>
      <c r="E341" s="27" t="s">
        <v>240</v>
      </c>
      <c r="F341" s="6" t="s">
        <v>51</v>
      </c>
      <c r="G341" s="7">
        <v>19500</v>
      </c>
      <c r="H341" s="110">
        <v>400</v>
      </c>
      <c r="I341" s="6">
        <v>26</v>
      </c>
      <c r="J341">
        <v>132.36858000000004</v>
      </c>
      <c r="K341">
        <v>9.2658006000000022</v>
      </c>
      <c r="L341">
        <v>75</v>
      </c>
      <c r="M341">
        <v>-45</v>
      </c>
      <c r="N341">
        <v>135.35801388333087</v>
      </c>
      <c r="O341">
        <v>9.4750609718331624</v>
      </c>
      <c r="P341" s="139">
        <v>45962</v>
      </c>
      <c r="Q341" s="113"/>
    </row>
    <row r="342" spans="2:17">
      <c r="B342" s="229">
        <v>9370</v>
      </c>
      <c r="C342" s="6">
        <v>1900</v>
      </c>
      <c r="D342" s="1">
        <v>70</v>
      </c>
      <c r="E342" s="27" t="s">
        <v>468</v>
      </c>
      <c r="F342" t="s">
        <v>51</v>
      </c>
      <c r="G342" s="7">
        <v>2640</v>
      </c>
      <c r="H342" t="s">
        <v>481</v>
      </c>
      <c r="I342">
        <v>800</v>
      </c>
      <c r="J342">
        <v>17.834643200000002</v>
      </c>
      <c r="K342">
        <v>1.2484250240000003</v>
      </c>
      <c r="L342">
        <v>60</v>
      </c>
      <c r="M342">
        <v>-45</v>
      </c>
      <c r="N342">
        <v>18.237423729028837</v>
      </c>
      <c r="O342">
        <v>1.2766196610320186</v>
      </c>
      <c r="P342" s="139">
        <v>46211</v>
      </c>
      <c r="Q342" s="113"/>
    </row>
    <row r="343" spans="2:17">
      <c r="B343" s="229">
        <v>9370</v>
      </c>
      <c r="C343" s="6">
        <v>1900</v>
      </c>
      <c r="D343" s="1">
        <v>70</v>
      </c>
      <c r="E343" s="27" t="s">
        <v>468</v>
      </c>
      <c r="F343" t="s">
        <v>51</v>
      </c>
      <c r="G343" s="7">
        <v>2690</v>
      </c>
      <c r="H343" t="s">
        <v>481</v>
      </c>
      <c r="I343">
        <v>400</v>
      </c>
      <c r="J343">
        <v>18.167993200000002</v>
      </c>
      <c r="K343">
        <v>1.2717595240000001</v>
      </c>
      <c r="L343">
        <v>60</v>
      </c>
      <c r="M343">
        <v>-45</v>
      </c>
      <c r="N343">
        <v>18.578302160511658</v>
      </c>
      <c r="O343">
        <v>1.3004811512358161</v>
      </c>
      <c r="P343" s="139">
        <v>46211</v>
      </c>
      <c r="Q343" s="113"/>
    </row>
    <row r="344" spans="2:17">
      <c r="B344" s="229">
        <v>9370</v>
      </c>
      <c r="C344" s="6">
        <v>1900</v>
      </c>
      <c r="D344" s="1">
        <v>70</v>
      </c>
      <c r="E344" s="27" t="s">
        <v>468</v>
      </c>
      <c r="F344" t="s">
        <v>51</v>
      </c>
      <c r="G344" s="7">
        <v>2910</v>
      </c>
      <c r="H344" t="s">
        <v>481</v>
      </c>
      <c r="I344">
        <v>1000</v>
      </c>
      <c r="J344">
        <v>19.634733199999999</v>
      </c>
      <c r="K344">
        <v>1.3744313240000001</v>
      </c>
      <c r="L344">
        <v>60</v>
      </c>
      <c r="M344">
        <v>-45</v>
      </c>
      <c r="N344">
        <v>20.078167259036068</v>
      </c>
      <c r="O344">
        <v>1.4054717081325248</v>
      </c>
      <c r="P344" s="139">
        <v>45627</v>
      </c>
      <c r="Q344" s="113"/>
    </row>
    <row r="345" spans="2:17">
      <c r="B345" s="229">
        <v>9370</v>
      </c>
      <c r="C345" s="6">
        <v>1900</v>
      </c>
      <c r="D345" s="1">
        <v>70</v>
      </c>
      <c r="E345" s="27" t="s">
        <v>468</v>
      </c>
      <c r="F345" t="s">
        <v>51</v>
      </c>
      <c r="G345" s="7">
        <v>3110</v>
      </c>
      <c r="H345" t="s">
        <v>481</v>
      </c>
      <c r="I345">
        <v>1000</v>
      </c>
      <c r="J345">
        <v>20.968133199999997</v>
      </c>
      <c r="K345">
        <v>1.4677693239999996</v>
      </c>
      <c r="L345">
        <v>60</v>
      </c>
      <c r="M345">
        <v>-45</v>
      </c>
      <c r="N345">
        <v>21.441680984967352</v>
      </c>
      <c r="O345">
        <v>1.5009176689477146</v>
      </c>
      <c r="P345" s="139">
        <v>45627</v>
      </c>
      <c r="Q345" s="113"/>
    </row>
    <row r="346" spans="2:17">
      <c r="B346" s="229">
        <v>9370</v>
      </c>
      <c r="C346" s="6">
        <v>1900</v>
      </c>
      <c r="D346" s="1">
        <v>70</v>
      </c>
      <c r="E346" s="27" t="s">
        <v>468</v>
      </c>
      <c r="F346" t="s">
        <v>51</v>
      </c>
      <c r="G346" s="7">
        <v>3350</v>
      </c>
      <c r="H346" t="s">
        <v>481</v>
      </c>
      <c r="I346">
        <v>150</v>
      </c>
      <c r="J346">
        <v>22.568213199999999</v>
      </c>
      <c r="K346">
        <v>1.5797749239999999</v>
      </c>
      <c r="L346">
        <v>60</v>
      </c>
      <c r="M346">
        <v>-45</v>
      </c>
      <c r="N346">
        <v>23.077897456084894</v>
      </c>
      <c r="O346">
        <v>1.6154528219259428</v>
      </c>
      <c r="P346" s="139">
        <v>44986</v>
      </c>
      <c r="Q346" s="113"/>
    </row>
    <row r="347" spans="2:17">
      <c r="B347" s="229">
        <v>9370</v>
      </c>
      <c r="C347" s="6">
        <v>1900</v>
      </c>
      <c r="D347" s="1">
        <v>70</v>
      </c>
      <c r="E347" s="27" t="s">
        <v>468</v>
      </c>
      <c r="F347" t="s">
        <v>51</v>
      </c>
      <c r="G347" s="7">
        <v>3400</v>
      </c>
      <c r="H347" t="s">
        <v>481</v>
      </c>
      <c r="I347">
        <v>100</v>
      </c>
      <c r="J347">
        <v>22.901563200000002</v>
      </c>
      <c r="K347">
        <v>1.6031094240000001</v>
      </c>
      <c r="L347">
        <v>60</v>
      </c>
      <c r="M347">
        <v>-45</v>
      </c>
      <c r="N347">
        <v>23.418775887567719</v>
      </c>
      <c r="O347">
        <v>1.6393143121297404</v>
      </c>
      <c r="P347" s="139">
        <v>44986</v>
      </c>
      <c r="Q347" s="113"/>
    </row>
    <row r="348" spans="2:17">
      <c r="B348" s="229">
        <v>9370</v>
      </c>
      <c r="C348" s="6">
        <v>1900</v>
      </c>
      <c r="D348" s="1">
        <v>70</v>
      </c>
      <c r="E348" s="27" t="s">
        <v>468</v>
      </c>
      <c r="F348" t="s">
        <v>51</v>
      </c>
      <c r="G348" s="7">
        <v>3550</v>
      </c>
      <c r="H348" t="s">
        <v>481</v>
      </c>
      <c r="I348">
        <v>50</v>
      </c>
      <c r="J348">
        <v>23.9016132</v>
      </c>
      <c r="K348">
        <v>1.673112924</v>
      </c>
      <c r="L348">
        <v>60</v>
      </c>
      <c r="M348">
        <v>-45</v>
      </c>
      <c r="N348">
        <v>24.441411182016179</v>
      </c>
      <c r="O348">
        <v>1.7108987827411326</v>
      </c>
      <c r="P348" s="139">
        <v>44986</v>
      </c>
      <c r="Q348" s="113"/>
    </row>
    <row r="349" spans="2:17">
      <c r="B349" s="229">
        <v>9370</v>
      </c>
      <c r="C349" s="6">
        <v>1900</v>
      </c>
      <c r="D349" s="1">
        <v>70</v>
      </c>
      <c r="E349" s="27" t="s">
        <v>468</v>
      </c>
      <c r="F349" t="s">
        <v>51</v>
      </c>
      <c r="G349" s="7">
        <v>2980</v>
      </c>
      <c r="H349" t="s">
        <v>481</v>
      </c>
      <c r="I349">
        <v>400</v>
      </c>
      <c r="J349">
        <v>20.101423199999999</v>
      </c>
      <c r="K349">
        <v>1.407099624</v>
      </c>
      <c r="L349">
        <v>60</v>
      </c>
      <c r="M349">
        <v>-45</v>
      </c>
      <c r="N349">
        <v>20.555397063112018</v>
      </c>
      <c r="O349">
        <v>1.4388777944178412</v>
      </c>
      <c r="P349" s="139">
        <v>46174</v>
      </c>
      <c r="Q349" s="113"/>
    </row>
    <row r="350" spans="2:17">
      <c r="B350" s="229">
        <v>9370</v>
      </c>
      <c r="C350" s="6" t="s">
        <v>481</v>
      </c>
      <c r="D350"/>
      <c r="E350"/>
      <c r="F350"/>
      <c r="G350"/>
      <c r="H350"/>
      <c r="I350"/>
      <c r="J350"/>
      <c r="K350"/>
      <c r="L350"/>
      <c r="M350"/>
      <c r="N350"/>
      <c r="O350"/>
      <c r="P350"/>
      <c r="Q350" s="113"/>
    </row>
    <row r="351" spans="2:17">
      <c r="B351" s="229">
        <v>9370</v>
      </c>
      <c r="C351" s="6">
        <v>1880</v>
      </c>
      <c r="D351" s="1">
        <v>65</v>
      </c>
      <c r="E351" s="27" t="s">
        <v>240</v>
      </c>
      <c r="F351" s="6" t="s">
        <v>267</v>
      </c>
      <c r="G351" s="7">
        <v>19500</v>
      </c>
      <c r="H351" s="110">
        <v>3300</v>
      </c>
      <c r="I351">
        <v>100</v>
      </c>
      <c r="J351">
        <v>17.884079999999997</v>
      </c>
      <c r="K351">
        <v>1.1624651999999998</v>
      </c>
      <c r="L351">
        <v>90</v>
      </c>
      <c r="M351">
        <v>-30</v>
      </c>
      <c r="N351">
        <v>18.152341199999995</v>
      </c>
      <c r="O351">
        <v>1.1799021779999996</v>
      </c>
      <c r="P351" s="139">
        <v>46023</v>
      </c>
      <c r="Q351" s="113"/>
    </row>
    <row r="352" spans="2:17">
      <c r="B352" s="229">
        <v>9370</v>
      </c>
      <c r="C352" s="6">
        <v>1880</v>
      </c>
      <c r="D352" s="1">
        <v>65</v>
      </c>
      <c r="E352" s="27" t="s">
        <v>240</v>
      </c>
      <c r="F352" s="6" t="s">
        <v>267</v>
      </c>
      <c r="G352" s="7">
        <v>19500</v>
      </c>
      <c r="H352" s="110">
        <v>3300</v>
      </c>
      <c r="I352">
        <v>100</v>
      </c>
      <c r="J352">
        <v>17.884079999999997</v>
      </c>
      <c r="K352">
        <v>1.1624651999999998</v>
      </c>
      <c r="L352">
        <v>90</v>
      </c>
      <c r="M352">
        <v>-30</v>
      </c>
      <c r="N352">
        <v>18.152341199999995</v>
      </c>
      <c r="O352">
        <v>1.1799021779999996</v>
      </c>
      <c r="P352" s="139">
        <v>46174</v>
      </c>
      <c r="Q352" s="113"/>
    </row>
    <row r="353" spans="2:17">
      <c r="B353" s="229">
        <v>9370</v>
      </c>
      <c r="C353" s="6">
        <v>1880</v>
      </c>
      <c r="D353" s="1">
        <v>70</v>
      </c>
      <c r="E353" s="27" t="s">
        <v>240</v>
      </c>
      <c r="F353" s="6" t="s">
        <v>267</v>
      </c>
      <c r="G353" s="7">
        <v>19500</v>
      </c>
      <c r="H353" s="110">
        <v>3300</v>
      </c>
      <c r="I353">
        <v>100</v>
      </c>
      <c r="J353">
        <v>17.884079999999997</v>
      </c>
      <c r="K353">
        <v>1.2518855999999998</v>
      </c>
      <c r="L353">
        <v>90</v>
      </c>
      <c r="M353">
        <v>-30</v>
      </c>
      <c r="N353">
        <v>18.152341199999995</v>
      </c>
      <c r="O353">
        <v>1.2706638839999995</v>
      </c>
      <c r="P353" s="139">
        <v>46023</v>
      </c>
      <c r="Q353" s="113"/>
    </row>
    <row r="354" spans="2:17">
      <c r="B354" s="229">
        <v>9370</v>
      </c>
      <c r="C354" s="6">
        <v>1880</v>
      </c>
      <c r="D354" s="1">
        <v>70</v>
      </c>
      <c r="E354" s="27" t="s">
        <v>240</v>
      </c>
      <c r="F354" s="6" t="s">
        <v>267</v>
      </c>
      <c r="G354" s="7">
        <v>19500</v>
      </c>
      <c r="H354" s="110">
        <v>3300</v>
      </c>
      <c r="I354">
        <v>100</v>
      </c>
      <c r="J354">
        <v>17.884079999999997</v>
      </c>
      <c r="K354">
        <v>1.2518855999999998</v>
      </c>
      <c r="L354">
        <v>90</v>
      </c>
      <c r="M354">
        <v>-30</v>
      </c>
      <c r="N354">
        <v>18.152341199999995</v>
      </c>
      <c r="O354">
        <v>1.2706638839999995</v>
      </c>
      <c r="P354" s="139">
        <v>46174</v>
      </c>
      <c r="Q354" s="113"/>
    </row>
    <row r="355" spans="2:17">
      <c r="B355" s="229">
        <v>9370</v>
      </c>
      <c r="C355" s="6">
        <v>1880</v>
      </c>
      <c r="D355" s="1">
        <v>70</v>
      </c>
      <c r="E355" s="27" t="s">
        <v>468</v>
      </c>
      <c r="F355" t="s">
        <v>51</v>
      </c>
      <c r="G355" s="7">
        <v>2640</v>
      </c>
      <c r="H355" t="s">
        <v>481</v>
      </c>
      <c r="I355">
        <v>800</v>
      </c>
      <c r="J355">
        <v>17.834643200000002</v>
      </c>
      <c r="K355">
        <v>1.2484250240000003</v>
      </c>
      <c r="L355">
        <v>60</v>
      </c>
      <c r="M355">
        <v>-45</v>
      </c>
      <c r="N355">
        <v>18.237423729028837</v>
      </c>
      <c r="O355">
        <v>1.2766196610320186</v>
      </c>
      <c r="P355" s="139">
        <v>46211</v>
      </c>
      <c r="Q355" s="113"/>
    </row>
    <row r="356" spans="2:17">
      <c r="B356" s="229">
        <v>9370</v>
      </c>
      <c r="C356" s="6">
        <v>1880</v>
      </c>
      <c r="D356" s="1">
        <v>70</v>
      </c>
      <c r="E356" s="27" t="s">
        <v>468</v>
      </c>
      <c r="F356" t="s">
        <v>51</v>
      </c>
      <c r="G356" s="7">
        <v>2690</v>
      </c>
      <c r="H356" t="s">
        <v>481</v>
      </c>
      <c r="I356">
        <v>400</v>
      </c>
      <c r="J356">
        <v>18.167993200000002</v>
      </c>
      <c r="K356">
        <v>1.2717595240000001</v>
      </c>
      <c r="L356">
        <v>60</v>
      </c>
      <c r="M356">
        <v>-45</v>
      </c>
      <c r="N356">
        <v>18.578302160511658</v>
      </c>
      <c r="O356">
        <v>1.3004811512358161</v>
      </c>
      <c r="P356" s="139">
        <v>46211</v>
      </c>
      <c r="Q356" s="113"/>
    </row>
    <row r="357" spans="2:17">
      <c r="B357" s="229">
        <v>8130</v>
      </c>
      <c r="C357" s="6">
        <v>1870</v>
      </c>
      <c r="D357" s="1">
        <v>70</v>
      </c>
      <c r="E357" s="27" t="s">
        <v>47</v>
      </c>
      <c r="F357" s="6" t="s">
        <v>51</v>
      </c>
      <c r="G357" s="7">
        <v>2680</v>
      </c>
      <c r="H357" s="110">
        <v>300</v>
      </c>
      <c r="I357" s="6">
        <v>50</v>
      </c>
      <c r="J357">
        <v>18.1013232</v>
      </c>
      <c r="K357">
        <v>1.2670926239999998</v>
      </c>
      <c r="L357">
        <v>120</v>
      </c>
      <c r="M357">
        <v>15</v>
      </c>
      <c r="N357">
        <v>17.967071731141345</v>
      </c>
      <c r="O357">
        <v>1.2576950211798943</v>
      </c>
      <c r="P357" s="139">
        <v>45901</v>
      </c>
      <c r="Q357" s="113"/>
    </row>
    <row r="358" spans="2:17">
      <c r="B358" s="229">
        <v>5740</v>
      </c>
      <c r="C358" s="6">
        <v>1870</v>
      </c>
      <c r="D358" s="1">
        <v>70</v>
      </c>
      <c r="E358" s="27" t="s">
        <v>47</v>
      </c>
      <c r="F358" s="6" t="s">
        <v>51</v>
      </c>
      <c r="G358" s="7">
        <v>2680</v>
      </c>
      <c r="H358">
        <v>300</v>
      </c>
      <c r="I358">
        <v>50</v>
      </c>
      <c r="J358">
        <v>18.1013232</v>
      </c>
      <c r="K358">
        <v>1.2670926239999998</v>
      </c>
      <c r="L358">
        <v>120</v>
      </c>
      <c r="M358">
        <v>15</v>
      </c>
      <c r="N358">
        <v>17.967071731141345</v>
      </c>
      <c r="O358">
        <v>1.2576950211798943</v>
      </c>
      <c r="P358" s="139">
        <v>45901</v>
      </c>
      <c r="Q358" s="113"/>
    </row>
    <row r="359" spans="2:17">
      <c r="B359" s="229" t="s">
        <v>344</v>
      </c>
      <c r="C359" s="6">
        <v>1270</v>
      </c>
      <c r="D359" s="1">
        <v>40</v>
      </c>
      <c r="E359" s="27" t="s">
        <v>21</v>
      </c>
      <c r="F359" s="6" t="s">
        <v>46</v>
      </c>
      <c r="G359" s="7">
        <v>9432</v>
      </c>
      <c r="H359" s="110" t="s">
        <v>481</v>
      </c>
      <c r="I359" s="6" t="s">
        <v>481</v>
      </c>
      <c r="J359">
        <v>9.6319999999999997</v>
      </c>
      <c r="K359">
        <v>0.38528000000000001</v>
      </c>
      <c r="L359">
        <v>0</v>
      </c>
      <c r="M359">
        <v>-45</v>
      </c>
      <c r="N359">
        <v>9.8495306795936202</v>
      </c>
      <c r="O359">
        <v>0.39398122718374479</v>
      </c>
      <c r="P359" s="139">
        <v>45992</v>
      </c>
      <c r="Q359" s="113"/>
    </row>
    <row r="360" spans="2:17">
      <c r="B360" s="229">
        <v>2</v>
      </c>
      <c r="C360" s="6">
        <v>1845</v>
      </c>
      <c r="D360" s="1">
        <v>80</v>
      </c>
      <c r="E360" s="5" t="s">
        <v>0</v>
      </c>
      <c r="F360" s="6" t="s">
        <v>267</v>
      </c>
      <c r="G360" s="7">
        <v>14500</v>
      </c>
      <c r="H360" s="7">
        <v>3300</v>
      </c>
      <c r="I360" s="6">
        <v>100</v>
      </c>
      <c r="J360">
        <v>13.609080000000001</v>
      </c>
      <c r="K360">
        <v>1.0887264000000001</v>
      </c>
      <c r="L360">
        <v>90</v>
      </c>
      <c r="M360">
        <v>-30</v>
      </c>
      <c r="N360">
        <v>13.813216199999999</v>
      </c>
      <c r="O360">
        <v>1.105057296</v>
      </c>
      <c r="P360" s="139">
        <v>46023</v>
      </c>
      <c r="Q360" s="113"/>
    </row>
    <row r="361" spans="2:17">
      <c r="B361" s="229">
        <v>2</v>
      </c>
      <c r="C361" s="6">
        <v>1845</v>
      </c>
      <c r="D361" s="1">
        <v>80</v>
      </c>
      <c r="E361" s="5" t="s">
        <v>0</v>
      </c>
      <c r="F361" s="6" t="s">
        <v>51</v>
      </c>
      <c r="G361" s="7">
        <v>1950</v>
      </c>
      <c r="H361">
        <v>400</v>
      </c>
      <c r="I361">
        <v>100</v>
      </c>
      <c r="J361">
        <v>14.327280000000002</v>
      </c>
      <c r="K361">
        <v>1.1461824</v>
      </c>
      <c r="L361">
        <v>90</v>
      </c>
      <c r="M361">
        <v>-30</v>
      </c>
      <c r="N361">
        <v>14.542189200000001</v>
      </c>
      <c r="O361">
        <v>1.1633751360000002</v>
      </c>
      <c r="P361" s="139">
        <v>45839</v>
      </c>
      <c r="Q361" s="113"/>
    </row>
    <row r="362" spans="2:17">
      <c r="B362" s="229">
        <v>2</v>
      </c>
      <c r="C362" s="6">
        <v>1855</v>
      </c>
      <c r="D362" s="1">
        <v>80</v>
      </c>
      <c r="E362" s="5" t="s">
        <v>0</v>
      </c>
      <c r="F362" s="6" t="s">
        <v>267</v>
      </c>
      <c r="G362" s="7">
        <v>14500</v>
      </c>
      <c r="H362" s="7">
        <v>3300</v>
      </c>
      <c r="I362" s="6">
        <v>100</v>
      </c>
      <c r="J362">
        <v>13.609080000000001</v>
      </c>
      <c r="K362">
        <v>1.0887264000000001</v>
      </c>
      <c r="L362">
        <v>90</v>
      </c>
      <c r="M362">
        <v>-30</v>
      </c>
      <c r="N362">
        <v>13.813216199999999</v>
      </c>
      <c r="O362">
        <v>1.105057296</v>
      </c>
      <c r="P362" s="139">
        <v>46023</v>
      </c>
      <c r="Q362" s="113"/>
    </row>
    <row r="363" spans="2:17">
      <c r="B363" s="229">
        <v>2</v>
      </c>
      <c r="C363" s="6">
        <v>1865</v>
      </c>
      <c r="D363" s="1">
        <v>80</v>
      </c>
      <c r="E363" s="27" t="s">
        <v>67</v>
      </c>
      <c r="F363" s="6" t="s">
        <v>51</v>
      </c>
      <c r="G363" s="7">
        <v>2390</v>
      </c>
      <c r="H363" t="s">
        <v>481</v>
      </c>
      <c r="I363">
        <v>100</v>
      </c>
      <c r="J363">
        <v>16.167893199999998</v>
      </c>
      <c r="K363">
        <v>1.293431456</v>
      </c>
      <c r="L363">
        <v>90</v>
      </c>
      <c r="M363">
        <v>-15</v>
      </c>
      <c r="N363">
        <v>16.288701055778059</v>
      </c>
      <c r="O363">
        <v>1.3030960844622448</v>
      </c>
      <c r="P363" s="139">
        <v>46023</v>
      </c>
      <c r="Q363" s="113"/>
    </row>
    <row r="364" spans="2:17">
      <c r="B364" s="229">
        <v>2</v>
      </c>
      <c r="C364" s="6">
        <v>1865</v>
      </c>
      <c r="D364" s="1">
        <v>80</v>
      </c>
      <c r="E364" s="27" t="s">
        <v>67</v>
      </c>
      <c r="F364" s="6" t="s">
        <v>51</v>
      </c>
      <c r="G364" s="7">
        <v>2450</v>
      </c>
      <c r="H364" t="s">
        <v>481</v>
      </c>
      <c r="I364">
        <v>50</v>
      </c>
      <c r="J364">
        <v>16.5679132</v>
      </c>
      <c r="K364">
        <v>1.3254330560000001</v>
      </c>
      <c r="L364">
        <v>90</v>
      </c>
      <c r="M364">
        <v>-15</v>
      </c>
      <c r="N364">
        <v>16.691710038811937</v>
      </c>
      <c r="O364">
        <v>1.3353368031049551</v>
      </c>
      <c r="P364" s="139">
        <v>46023</v>
      </c>
      <c r="Q364" s="113"/>
    </row>
    <row r="365" spans="2:17">
      <c r="B365" s="229">
        <v>2</v>
      </c>
      <c r="C365" s="6">
        <v>1865</v>
      </c>
      <c r="D365" s="1">
        <v>80</v>
      </c>
      <c r="E365" s="27" t="s">
        <v>67</v>
      </c>
      <c r="F365" s="6" t="s">
        <v>51</v>
      </c>
      <c r="G365" s="7">
        <v>2890</v>
      </c>
      <c r="H365" t="s">
        <v>481</v>
      </c>
      <c r="I365">
        <v>25</v>
      </c>
      <c r="J365">
        <v>19.501393200000003</v>
      </c>
      <c r="K365">
        <v>1.560111456</v>
      </c>
      <c r="L365">
        <v>90</v>
      </c>
      <c r="M365">
        <v>-15</v>
      </c>
      <c r="N365">
        <v>19.647109247727041</v>
      </c>
      <c r="O365">
        <v>1.5717687398181632</v>
      </c>
      <c r="P365" s="139">
        <v>46023</v>
      </c>
    </row>
    <row r="366" spans="2:17">
      <c r="B366" s="229">
        <v>2</v>
      </c>
      <c r="C366" s="6">
        <v>1865</v>
      </c>
      <c r="D366" s="1">
        <v>80</v>
      </c>
      <c r="E366" s="5" t="s">
        <v>0</v>
      </c>
      <c r="F366" s="6" t="s">
        <v>267</v>
      </c>
      <c r="G366" s="7">
        <v>14500</v>
      </c>
      <c r="H366" s="7">
        <v>3300</v>
      </c>
      <c r="I366" s="6">
        <v>100</v>
      </c>
      <c r="J366">
        <v>13.609080000000001</v>
      </c>
      <c r="K366">
        <v>1.0887264000000001</v>
      </c>
      <c r="L366">
        <v>90</v>
      </c>
      <c r="M366">
        <v>-30</v>
      </c>
      <c r="N366">
        <v>13.813216199999999</v>
      </c>
      <c r="O366">
        <v>1.105057296</v>
      </c>
      <c r="P366" s="139">
        <v>46023</v>
      </c>
    </row>
    <row r="367" spans="2:17">
      <c r="B367" s="229">
        <v>2</v>
      </c>
      <c r="C367" s="6">
        <v>1865</v>
      </c>
      <c r="D367" s="1">
        <v>80</v>
      </c>
      <c r="E367" s="5" t="s">
        <v>0</v>
      </c>
      <c r="F367" s="6" t="s">
        <v>51</v>
      </c>
      <c r="G367" s="7">
        <v>1950</v>
      </c>
      <c r="H367">
        <v>400</v>
      </c>
      <c r="I367">
        <v>100</v>
      </c>
      <c r="J367">
        <v>14.327280000000002</v>
      </c>
      <c r="K367">
        <v>1.1461824</v>
      </c>
      <c r="L367">
        <v>90</v>
      </c>
      <c r="M367">
        <v>-30</v>
      </c>
      <c r="N367">
        <v>14.542189200000001</v>
      </c>
      <c r="O367">
        <v>1.1633751360000002</v>
      </c>
      <c r="P367" s="139">
        <v>45839</v>
      </c>
    </row>
    <row r="368" spans="2:17">
      <c r="B368" s="229">
        <v>2</v>
      </c>
      <c r="C368" s="6" t="s">
        <v>481</v>
      </c>
      <c r="D368"/>
      <c r="E368"/>
      <c r="F368"/>
      <c r="G368"/>
      <c r="H368"/>
      <c r="I368"/>
      <c r="J368"/>
      <c r="K368"/>
      <c r="L368"/>
      <c r="M368"/>
      <c r="N368"/>
      <c r="O368"/>
      <c r="P368"/>
    </row>
    <row r="369" spans="2:16">
      <c r="B369" s="1">
        <v>86</v>
      </c>
      <c r="C369" s="6">
        <v>1860</v>
      </c>
      <c r="D369" s="1">
        <v>70</v>
      </c>
      <c r="E369" s="27" t="s">
        <v>3</v>
      </c>
      <c r="F369" s="6" t="s">
        <v>267</v>
      </c>
      <c r="G369" s="7">
        <v>11600</v>
      </c>
      <c r="H369">
        <v>3300</v>
      </c>
      <c r="I369">
        <v>100</v>
      </c>
      <c r="J369">
        <v>11.129579999999999</v>
      </c>
      <c r="K369">
        <v>0.77907059999999984</v>
      </c>
      <c r="L369">
        <v>90</v>
      </c>
      <c r="M369">
        <v>-30</v>
      </c>
      <c r="N369">
        <v>11.296523699999998</v>
      </c>
      <c r="O369">
        <v>0.79075665899999992</v>
      </c>
      <c r="P369" s="139">
        <v>46023</v>
      </c>
    </row>
    <row r="370" spans="2:16">
      <c r="B370" s="1">
        <v>86</v>
      </c>
      <c r="C370" s="6">
        <v>1860</v>
      </c>
      <c r="D370" s="1">
        <v>70</v>
      </c>
      <c r="E370" s="5" t="s">
        <v>0</v>
      </c>
      <c r="F370" s="6" t="s">
        <v>267</v>
      </c>
      <c r="G370" s="7">
        <v>11600</v>
      </c>
      <c r="H370" s="7">
        <v>3300</v>
      </c>
      <c r="I370">
        <v>100</v>
      </c>
      <c r="J370">
        <v>11.129579999999999</v>
      </c>
      <c r="K370">
        <v>0.77907059999999984</v>
      </c>
      <c r="L370">
        <v>90</v>
      </c>
      <c r="M370">
        <v>-30</v>
      </c>
      <c r="N370">
        <v>11.296523699999998</v>
      </c>
      <c r="O370">
        <v>0.79075665899999992</v>
      </c>
      <c r="P370" s="139">
        <v>46023</v>
      </c>
    </row>
    <row r="371" spans="2:16">
      <c r="B371" s="1">
        <v>86</v>
      </c>
      <c r="C371" s="6">
        <v>1860</v>
      </c>
      <c r="D371" s="1">
        <v>70</v>
      </c>
      <c r="E371" s="5" t="s">
        <v>0</v>
      </c>
      <c r="F371" s="6" t="s">
        <v>267</v>
      </c>
      <c r="G371" s="7">
        <v>11600</v>
      </c>
      <c r="H371" s="7">
        <v>3300</v>
      </c>
      <c r="I371">
        <v>100</v>
      </c>
      <c r="J371">
        <v>11.129579999999999</v>
      </c>
      <c r="K371">
        <v>0.77907059999999984</v>
      </c>
      <c r="L371">
        <v>90</v>
      </c>
      <c r="M371">
        <v>-30</v>
      </c>
      <c r="N371">
        <v>11.296523699999998</v>
      </c>
      <c r="O371">
        <v>0.79075665899999992</v>
      </c>
      <c r="P371" s="139">
        <v>46174</v>
      </c>
    </row>
    <row r="372" spans="2:16">
      <c r="B372" s="1">
        <v>86</v>
      </c>
      <c r="C372" s="6">
        <v>1860</v>
      </c>
      <c r="D372" s="1">
        <v>70</v>
      </c>
      <c r="E372" s="5" t="s">
        <v>0</v>
      </c>
      <c r="F372" s="6" t="s">
        <v>51</v>
      </c>
      <c r="G372" s="7">
        <v>1380</v>
      </c>
      <c r="H372" s="110">
        <v>400</v>
      </c>
      <c r="I372" s="6">
        <v>100</v>
      </c>
      <c r="J372">
        <v>10.493459999999999</v>
      </c>
      <c r="K372">
        <v>0.73454219999999992</v>
      </c>
      <c r="L372">
        <v>90</v>
      </c>
      <c r="M372">
        <v>-30</v>
      </c>
      <c r="N372">
        <v>10.650861899999997</v>
      </c>
      <c r="O372">
        <v>0.7455603329999998</v>
      </c>
      <c r="P372" s="139">
        <v>45931</v>
      </c>
    </row>
    <row r="373" spans="2:16">
      <c r="B373" s="1">
        <v>86</v>
      </c>
      <c r="C373" s="6">
        <v>1870</v>
      </c>
      <c r="D373" s="1">
        <v>70</v>
      </c>
      <c r="E373" s="5" t="s">
        <v>0</v>
      </c>
      <c r="F373" s="6" t="s">
        <v>267</v>
      </c>
      <c r="G373" s="7">
        <v>11600</v>
      </c>
      <c r="H373" s="7">
        <v>3300</v>
      </c>
      <c r="I373">
        <v>100</v>
      </c>
      <c r="J373">
        <v>11.129579999999999</v>
      </c>
      <c r="K373">
        <v>0.77907059999999984</v>
      </c>
      <c r="L373">
        <v>90</v>
      </c>
      <c r="M373">
        <v>-30</v>
      </c>
      <c r="N373">
        <v>11.296523699999998</v>
      </c>
      <c r="O373">
        <v>0.79075665899999992</v>
      </c>
      <c r="P373" s="139">
        <v>46023</v>
      </c>
    </row>
    <row r="374" spans="2:16">
      <c r="B374" s="1">
        <v>86</v>
      </c>
      <c r="C374" s="6">
        <v>1250</v>
      </c>
      <c r="D374" s="1">
        <v>70</v>
      </c>
      <c r="E374" s="5" t="s">
        <v>0</v>
      </c>
      <c r="F374" s="6" t="s">
        <v>267</v>
      </c>
      <c r="G374" s="7">
        <v>11600</v>
      </c>
      <c r="H374" s="7">
        <v>3300</v>
      </c>
      <c r="I374">
        <v>100</v>
      </c>
      <c r="J374">
        <v>11.129579999999999</v>
      </c>
      <c r="K374">
        <v>0.77907059999999984</v>
      </c>
      <c r="L374">
        <v>90</v>
      </c>
      <c r="M374">
        <v>-30</v>
      </c>
      <c r="N374">
        <v>11.296523699999998</v>
      </c>
      <c r="O374">
        <v>0.79075665899999992</v>
      </c>
      <c r="P374" s="139">
        <v>46023</v>
      </c>
    </row>
    <row r="375" spans="2:16">
      <c r="B375" s="229">
        <v>1833</v>
      </c>
      <c r="C375" s="6">
        <v>1870</v>
      </c>
      <c r="D375" s="1">
        <v>70</v>
      </c>
      <c r="E375" s="27" t="s">
        <v>3</v>
      </c>
      <c r="F375" s="6" t="s">
        <v>267</v>
      </c>
      <c r="G375" s="7">
        <v>8300</v>
      </c>
      <c r="H375">
        <v>3300</v>
      </c>
      <c r="I375">
        <v>100</v>
      </c>
      <c r="J375">
        <v>8.3080800000000021</v>
      </c>
      <c r="K375">
        <v>0.58156560000000013</v>
      </c>
      <c r="L375">
        <v>90</v>
      </c>
      <c r="M375">
        <v>-30</v>
      </c>
      <c r="N375">
        <v>8.4327012000000021</v>
      </c>
      <c r="O375">
        <v>0.59028908400000013</v>
      </c>
      <c r="P375" s="139">
        <v>46023</v>
      </c>
    </row>
    <row r="376" spans="2:16">
      <c r="B376" s="229">
        <v>1833</v>
      </c>
      <c r="C376" s="6">
        <v>1870</v>
      </c>
      <c r="D376" s="1">
        <v>70</v>
      </c>
      <c r="E376" s="27" t="s">
        <v>3</v>
      </c>
      <c r="F376" s="6" t="s">
        <v>51</v>
      </c>
      <c r="G376" s="7">
        <v>1080</v>
      </c>
      <c r="H376">
        <v>400</v>
      </c>
      <c r="I376">
        <v>100</v>
      </c>
      <c r="J376">
        <v>8.4756600000000013</v>
      </c>
      <c r="K376">
        <v>0.59329620000000005</v>
      </c>
      <c r="L376">
        <v>90</v>
      </c>
      <c r="M376">
        <v>-30</v>
      </c>
      <c r="N376">
        <v>8.602794900000001</v>
      </c>
      <c r="O376">
        <v>0.60219564300000006</v>
      </c>
      <c r="P376" s="139">
        <v>45809</v>
      </c>
    </row>
    <row r="377" spans="2:16">
      <c r="B377" s="229">
        <v>673</v>
      </c>
      <c r="C377" s="6">
        <v>1855</v>
      </c>
      <c r="D377" s="1">
        <v>80</v>
      </c>
      <c r="E377" s="5" t="s">
        <v>1</v>
      </c>
      <c r="F377" s="6" t="s">
        <v>46</v>
      </c>
      <c r="G377" s="7">
        <v>27180</v>
      </c>
      <c r="H377" t="s">
        <v>481</v>
      </c>
      <c r="I377">
        <v>20</v>
      </c>
      <c r="J377">
        <v>27.38</v>
      </c>
      <c r="K377">
        <v>2.1903999999999999</v>
      </c>
      <c r="L377">
        <v>0</v>
      </c>
      <c r="M377">
        <v>-45</v>
      </c>
      <c r="N377">
        <v>27.998354444276714</v>
      </c>
      <c r="O377">
        <v>2.2398683555421375</v>
      </c>
      <c r="P377" s="139">
        <v>46211</v>
      </c>
    </row>
    <row r="378" spans="2:16">
      <c r="B378" s="229">
        <v>986</v>
      </c>
      <c r="C378" s="6">
        <v>1855</v>
      </c>
      <c r="D378" s="1">
        <v>90</v>
      </c>
      <c r="E378" s="5" t="s">
        <v>1</v>
      </c>
      <c r="F378" s="6" t="s">
        <v>46</v>
      </c>
      <c r="G378" s="7">
        <v>21205</v>
      </c>
      <c r="H378" t="s">
        <v>481</v>
      </c>
      <c r="I378">
        <v>50</v>
      </c>
      <c r="J378">
        <v>21.404999999999998</v>
      </c>
      <c r="K378">
        <v>1.9264499999999998</v>
      </c>
      <c r="L378">
        <v>0</v>
      </c>
      <c r="M378">
        <v>-45</v>
      </c>
      <c r="N378">
        <v>21.888414056966511</v>
      </c>
      <c r="O378">
        <v>1.9699572651269859</v>
      </c>
      <c r="P378" s="139">
        <v>46211</v>
      </c>
    </row>
    <row r="379" spans="2:16">
      <c r="B379" s="229">
        <v>986</v>
      </c>
      <c r="C379" s="6">
        <v>2175</v>
      </c>
      <c r="D379" s="1">
        <v>90</v>
      </c>
      <c r="E379" s="5" t="s">
        <v>1</v>
      </c>
      <c r="F379" s="6" t="s">
        <v>46</v>
      </c>
      <c r="G379" s="7">
        <v>21205</v>
      </c>
      <c r="H379" t="s">
        <v>481</v>
      </c>
      <c r="I379">
        <v>50</v>
      </c>
      <c r="J379">
        <v>21.404999999999998</v>
      </c>
      <c r="K379">
        <v>1.9264499999999998</v>
      </c>
      <c r="L379">
        <v>0</v>
      </c>
      <c r="M379">
        <v>-45</v>
      </c>
      <c r="N379">
        <v>21.888414056966511</v>
      </c>
      <c r="O379">
        <v>1.9699572651269859</v>
      </c>
      <c r="P379" s="139">
        <v>46211</v>
      </c>
    </row>
    <row r="380" spans="2:16">
      <c r="B380" s="1" t="s">
        <v>346</v>
      </c>
      <c r="C380" s="6">
        <v>1870</v>
      </c>
      <c r="D380" s="1">
        <v>68</v>
      </c>
      <c r="E380" s="27" t="s">
        <v>47</v>
      </c>
      <c r="F380" s="6" t="s">
        <v>51</v>
      </c>
      <c r="G380" s="7">
        <v>2480</v>
      </c>
      <c r="H380">
        <v>300</v>
      </c>
      <c r="I380">
        <v>100</v>
      </c>
      <c r="J380">
        <v>16.767923199999998</v>
      </c>
      <c r="K380">
        <v>1.1402187775999999</v>
      </c>
      <c r="L380">
        <v>120</v>
      </c>
      <c r="M380">
        <v>15</v>
      </c>
      <c r="N380">
        <v>16.643561113624507</v>
      </c>
      <c r="O380">
        <v>1.1317621557264665</v>
      </c>
      <c r="P380" s="139">
        <v>46211</v>
      </c>
    </row>
    <row r="381" spans="2:16">
      <c r="B381" s="1" t="s">
        <v>346</v>
      </c>
      <c r="C381" s="6">
        <v>1870</v>
      </c>
      <c r="D381" s="1">
        <v>68</v>
      </c>
      <c r="E381" s="27" t="s">
        <v>47</v>
      </c>
      <c r="F381" s="6" t="s">
        <v>51</v>
      </c>
      <c r="G381" s="7">
        <v>2500</v>
      </c>
      <c r="H381">
        <v>300</v>
      </c>
      <c r="I381">
        <v>50</v>
      </c>
      <c r="J381">
        <v>16.901263199999999</v>
      </c>
      <c r="K381">
        <v>1.1492858976</v>
      </c>
      <c r="L381">
        <v>120</v>
      </c>
      <c r="M381">
        <v>15</v>
      </c>
      <c r="N381">
        <v>16.775912175376192</v>
      </c>
      <c r="O381">
        <v>1.1407620279255812</v>
      </c>
      <c r="P381" s="139">
        <v>46211</v>
      </c>
    </row>
    <row r="382" spans="2:16">
      <c r="B382" s="1" t="s">
        <v>346</v>
      </c>
      <c r="C382" s="6">
        <v>1870</v>
      </c>
      <c r="D382" s="1">
        <v>68</v>
      </c>
      <c r="E382" s="27" t="s">
        <v>47</v>
      </c>
      <c r="F382" s="6" t="s">
        <v>51</v>
      </c>
      <c r="G382" s="7">
        <v>2550</v>
      </c>
      <c r="H382">
        <v>300</v>
      </c>
      <c r="I382">
        <v>30</v>
      </c>
      <c r="J382">
        <v>17.234613199999998</v>
      </c>
      <c r="K382">
        <v>1.1719536975999998</v>
      </c>
      <c r="L382">
        <v>120</v>
      </c>
      <c r="M382">
        <v>15</v>
      </c>
      <c r="N382">
        <v>17.1067898297554</v>
      </c>
      <c r="O382">
        <v>1.1632617084233672</v>
      </c>
      <c r="P382" s="139">
        <v>46211</v>
      </c>
    </row>
    <row r="383" spans="2:16">
      <c r="B383" s="1" t="s">
        <v>346</v>
      </c>
      <c r="C383" s="6">
        <v>1870</v>
      </c>
      <c r="D383" s="1">
        <v>68</v>
      </c>
      <c r="E383" s="27" t="s">
        <v>47</v>
      </c>
      <c r="F383" s="6" t="s">
        <v>51</v>
      </c>
      <c r="G383" s="7">
        <v>2600</v>
      </c>
      <c r="H383">
        <v>300</v>
      </c>
      <c r="I383">
        <v>20</v>
      </c>
      <c r="J383">
        <v>17.567963200000001</v>
      </c>
      <c r="K383">
        <v>1.1946214976</v>
      </c>
      <c r="L383">
        <v>120</v>
      </c>
      <c r="M383">
        <v>15</v>
      </c>
      <c r="N383">
        <v>17.437667484134614</v>
      </c>
      <c r="O383">
        <v>1.1857613889211538</v>
      </c>
      <c r="P383" s="139">
        <v>46211</v>
      </c>
    </row>
    <row r="384" spans="2:16">
      <c r="B384" s="1" t="s">
        <v>346</v>
      </c>
      <c r="C384" s="6">
        <v>1870</v>
      </c>
      <c r="D384" s="1">
        <v>68</v>
      </c>
      <c r="E384" s="27" t="s">
        <v>47</v>
      </c>
      <c r="F384" s="6" t="s">
        <v>51</v>
      </c>
      <c r="G384" s="7">
        <v>2680</v>
      </c>
      <c r="H384">
        <v>300</v>
      </c>
      <c r="I384">
        <v>10</v>
      </c>
      <c r="J384">
        <v>18.1013232</v>
      </c>
      <c r="K384">
        <v>1.2308899776</v>
      </c>
      <c r="L384">
        <v>120</v>
      </c>
      <c r="M384">
        <v>15</v>
      </c>
      <c r="N384">
        <v>17.967071731141345</v>
      </c>
      <c r="O384">
        <v>1.2217608777176117</v>
      </c>
      <c r="P384" s="139">
        <v>46211</v>
      </c>
    </row>
    <row r="385" spans="2:16">
      <c r="B385" s="1" t="s">
        <v>372</v>
      </c>
      <c r="C385" s="6">
        <v>1270</v>
      </c>
      <c r="D385" s="1">
        <v>65</v>
      </c>
      <c r="E385" s="5" t="s">
        <v>108</v>
      </c>
      <c r="F385" s="6" t="s">
        <v>51</v>
      </c>
      <c r="G385" s="7">
        <v>2240</v>
      </c>
      <c r="H385">
        <v>500</v>
      </c>
      <c r="I385">
        <v>80</v>
      </c>
      <c r="J385">
        <v>15.167843200000004</v>
      </c>
      <c r="K385">
        <v>0.98590980800000017</v>
      </c>
      <c r="L385">
        <v>30</v>
      </c>
      <c r="M385">
        <v>-75</v>
      </c>
      <c r="N385">
        <v>15.743052221323763</v>
      </c>
      <c r="O385">
        <v>1.0232983943860445</v>
      </c>
      <c r="P385" s="139">
        <v>46211</v>
      </c>
    </row>
    <row r="386" spans="2:16">
      <c r="B386" s="1" t="s">
        <v>372</v>
      </c>
      <c r="C386" s="6">
        <v>1270</v>
      </c>
      <c r="D386" s="1">
        <v>65</v>
      </c>
      <c r="E386" s="5" t="s">
        <v>108</v>
      </c>
      <c r="F386" s="6" t="s">
        <v>51</v>
      </c>
      <c r="G386" s="7">
        <v>2940</v>
      </c>
      <c r="H386">
        <v>500</v>
      </c>
      <c r="I386">
        <v>20</v>
      </c>
      <c r="J386">
        <v>19.834743199999998</v>
      </c>
      <c r="K386">
        <v>1.2892583079999997</v>
      </c>
      <c r="L386">
        <v>30</v>
      </c>
      <c r="M386">
        <v>-75</v>
      </c>
      <c r="N386">
        <v>20.586934732694647</v>
      </c>
      <c r="O386">
        <v>1.3381507576251521</v>
      </c>
      <c r="P386" s="139">
        <v>46211</v>
      </c>
    </row>
    <row r="387" spans="2:16">
      <c r="B387" s="1" t="s">
        <v>372</v>
      </c>
      <c r="C387" s="6">
        <v>1270</v>
      </c>
      <c r="D387" s="1">
        <v>65</v>
      </c>
      <c r="E387" s="5" t="s">
        <v>108</v>
      </c>
      <c r="F387" s="6" t="s">
        <v>51</v>
      </c>
      <c r="G387" s="7">
        <v>2440</v>
      </c>
      <c r="H387">
        <v>500</v>
      </c>
      <c r="I387">
        <v>50</v>
      </c>
      <c r="J387">
        <v>16.501243200000001</v>
      </c>
      <c r="K387">
        <v>1.0725808080000001</v>
      </c>
      <c r="L387">
        <v>30</v>
      </c>
      <c r="M387">
        <v>-75</v>
      </c>
      <c r="N387">
        <v>17.127018653144013</v>
      </c>
      <c r="O387">
        <v>1.1132562124543608</v>
      </c>
      <c r="P387" s="139">
        <v>46211</v>
      </c>
    </row>
    <row r="388" spans="2:16">
      <c r="B388" s="1" t="s">
        <v>372</v>
      </c>
      <c r="C388" s="6">
        <v>1870</v>
      </c>
      <c r="D388" s="1">
        <v>65</v>
      </c>
      <c r="E388" s="5" t="s">
        <v>108</v>
      </c>
      <c r="F388" s="6" t="s">
        <v>51</v>
      </c>
      <c r="G388" s="7">
        <v>2240</v>
      </c>
      <c r="H388">
        <v>500</v>
      </c>
      <c r="I388">
        <v>50</v>
      </c>
      <c r="J388">
        <v>15.167843200000004</v>
      </c>
      <c r="K388">
        <v>0.98590980800000017</v>
      </c>
      <c r="L388">
        <v>30</v>
      </c>
      <c r="M388">
        <v>-75</v>
      </c>
      <c r="N388">
        <v>15.743052221323763</v>
      </c>
      <c r="O388">
        <v>1.0232983943860445</v>
      </c>
      <c r="P388" s="139">
        <v>46211</v>
      </c>
    </row>
    <row r="389" spans="2:16">
      <c r="B389" s="1" t="s">
        <v>372</v>
      </c>
      <c r="C389" s="6">
        <v>1870</v>
      </c>
      <c r="D389" s="1">
        <v>65</v>
      </c>
      <c r="E389" s="5" t="s">
        <v>108</v>
      </c>
      <c r="F389" s="6" t="s">
        <v>51</v>
      </c>
      <c r="G389" s="7">
        <v>2040</v>
      </c>
      <c r="H389">
        <v>500</v>
      </c>
      <c r="I389">
        <v>80</v>
      </c>
      <c r="J389">
        <v>13.834443200000003</v>
      </c>
      <c r="K389">
        <v>0.89923880800000022</v>
      </c>
      <c r="L389">
        <v>30</v>
      </c>
      <c r="M389">
        <v>-75</v>
      </c>
      <c r="N389">
        <v>14.359085789503508</v>
      </c>
      <c r="O389">
        <v>0.93334057631772804</v>
      </c>
      <c r="P389" s="139">
        <v>46211</v>
      </c>
    </row>
    <row r="390" spans="2:16">
      <c r="B390" s="1" t="s">
        <v>372</v>
      </c>
      <c r="C390" s="6">
        <v>1870</v>
      </c>
      <c r="D390" s="1">
        <v>65</v>
      </c>
      <c r="E390" s="5" t="s">
        <v>108</v>
      </c>
      <c r="F390" s="6" t="s">
        <v>51</v>
      </c>
      <c r="G390" s="7">
        <v>2740</v>
      </c>
      <c r="H390">
        <v>500</v>
      </c>
      <c r="I390">
        <v>20</v>
      </c>
      <c r="J390">
        <v>18.501343200000004</v>
      </c>
      <c r="K390">
        <v>1.2025873080000005</v>
      </c>
      <c r="L390">
        <v>30</v>
      </c>
      <c r="M390">
        <v>-75</v>
      </c>
      <c r="N390">
        <v>19.202968300874399</v>
      </c>
      <c r="O390">
        <v>1.2481929395568359</v>
      </c>
      <c r="P390" s="139">
        <v>46211</v>
      </c>
    </row>
    <row r="391" spans="2:16">
      <c r="B391" s="1" t="s">
        <v>372</v>
      </c>
      <c r="C391" s="6">
        <v>1870</v>
      </c>
      <c r="D391" s="1">
        <v>65</v>
      </c>
      <c r="E391" s="5" t="s">
        <v>0</v>
      </c>
      <c r="F391" s="6" t="s">
        <v>267</v>
      </c>
      <c r="G391" s="7">
        <v>10950</v>
      </c>
      <c r="H391">
        <v>3300</v>
      </c>
      <c r="I391">
        <v>100</v>
      </c>
      <c r="J391">
        <v>10.573829999999997</v>
      </c>
      <c r="K391">
        <v>0.68729894999999985</v>
      </c>
      <c r="L391">
        <v>90</v>
      </c>
      <c r="M391">
        <v>-30</v>
      </c>
      <c r="N391">
        <v>10.732437449999995</v>
      </c>
      <c r="O391">
        <v>0.69760843424999963</v>
      </c>
      <c r="P391" s="139">
        <v>46023</v>
      </c>
    </row>
    <row r="392" spans="2:16">
      <c r="B392" s="1" t="s">
        <v>372</v>
      </c>
      <c r="C392" s="6">
        <v>2175</v>
      </c>
      <c r="D392" s="1">
        <v>65</v>
      </c>
      <c r="E392" s="5" t="s">
        <v>108</v>
      </c>
      <c r="F392" s="6" t="s">
        <v>51</v>
      </c>
      <c r="G392" s="7">
        <v>2240</v>
      </c>
      <c r="H392">
        <v>500</v>
      </c>
      <c r="I392">
        <v>50</v>
      </c>
      <c r="J392">
        <v>15.167843200000004</v>
      </c>
      <c r="K392">
        <v>0.98590980800000017</v>
      </c>
      <c r="L392">
        <v>30</v>
      </c>
      <c r="M392">
        <v>-75</v>
      </c>
      <c r="N392">
        <v>15.743052221323763</v>
      </c>
      <c r="O392">
        <v>1.0232983943860445</v>
      </c>
      <c r="P392" s="139">
        <v>46211</v>
      </c>
    </row>
    <row r="393" spans="2:16">
      <c r="B393" s="1" t="s">
        <v>372</v>
      </c>
      <c r="C393" s="6">
        <v>2175</v>
      </c>
      <c r="D393" s="1">
        <v>65</v>
      </c>
      <c r="E393" s="5" t="s">
        <v>108</v>
      </c>
      <c r="F393" s="6" t="s">
        <v>51</v>
      </c>
      <c r="G393" s="7">
        <v>2040</v>
      </c>
      <c r="H393">
        <v>500</v>
      </c>
      <c r="I393">
        <v>80</v>
      </c>
      <c r="J393">
        <v>13.834443200000003</v>
      </c>
      <c r="K393">
        <v>0.89923880800000022</v>
      </c>
      <c r="L393">
        <v>30</v>
      </c>
      <c r="M393">
        <v>-75</v>
      </c>
      <c r="N393">
        <v>14.359085789503508</v>
      </c>
      <c r="O393">
        <v>0.93334057631772804</v>
      </c>
      <c r="P393" s="139">
        <v>46211</v>
      </c>
    </row>
    <row r="394" spans="2:16">
      <c r="B394" s="1" t="s">
        <v>372</v>
      </c>
      <c r="C394" s="6">
        <v>2175</v>
      </c>
      <c r="D394" s="1">
        <v>65</v>
      </c>
      <c r="E394" s="5" t="s">
        <v>108</v>
      </c>
      <c r="F394" s="6" t="s">
        <v>51</v>
      </c>
      <c r="G394" s="7">
        <v>2740</v>
      </c>
      <c r="H394">
        <v>500</v>
      </c>
      <c r="I394">
        <v>20</v>
      </c>
      <c r="J394">
        <v>18.501343200000004</v>
      </c>
      <c r="K394">
        <v>1.2025873080000005</v>
      </c>
      <c r="L394">
        <v>30</v>
      </c>
      <c r="M394">
        <v>-75</v>
      </c>
      <c r="N394">
        <v>19.202968300874399</v>
      </c>
      <c r="O394">
        <v>1.2481929395568359</v>
      </c>
      <c r="P394" s="139">
        <v>46211</v>
      </c>
    </row>
    <row r="395" spans="2:16">
      <c r="B395" s="1" t="s">
        <v>372</v>
      </c>
      <c r="C395" s="6">
        <v>2175</v>
      </c>
      <c r="D395" s="1">
        <v>65</v>
      </c>
      <c r="E395" s="5" t="s">
        <v>0</v>
      </c>
      <c r="F395" s="6" t="s">
        <v>267</v>
      </c>
      <c r="G395" s="7">
        <v>10950</v>
      </c>
      <c r="H395">
        <v>3300</v>
      </c>
      <c r="I395">
        <v>100</v>
      </c>
      <c r="J395">
        <v>10.573829999999997</v>
      </c>
      <c r="K395">
        <v>0.68729894999999985</v>
      </c>
      <c r="L395">
        <v>90</v>
      </c>
      <c r="M395">
        <v>-30</v>
      </c>
      <c r="N395">
        <v>10.732437449999995</v>
      </c>
      <c r="O395">
        <v>0.69760843424999963</v>
      </c>
      <c r="P395" s="139">
        <v>46023</v>
      </c>
    </row>
    <row r="396" spans="2:16">
      <c r="B396" s="1" t="s">
        <v>372</v>
      </c>
      <c r="C396" s="6" t="s">
        <v>481</v>
      </c>
      <c r="D396"/>
      <c r="E396"/>
      <c r="F396"/>
      <c r="G396"/>
      <c r="H396"/>
      <c r="I396"/>
      <c r="J396"/>
      <c r="K396"/>
      <c r="L396"/>
      <c r="M396"/>
      <c r="N396"/>
      <c r="O396"/>
      <c r="P396"/>
    </row>
    <row r="397" spans="2:16">
      <c r="B397" s="1" t="s">
        <v>437</v>
      </c>
      <c r="C397" s="6">
        <v>1870</v>
      </c>
      <c r="D397" s="1">
        <v>70</v>
      </c>
      <c r="E397" s="5" t="s">
        <v>0</v>
      </c>
      <c r="F397" s="6" t="s">
        <v>267</v>
      </c>
      <c r="G397" s="7">
        <v>10300</v>
      </c>
      <c r="H397">
        <v>3300</v>
      </c>
      <c r="I397">
        <v>100</v>
      </c>
      <c r="J397">
        <v>10.018080000000001</v>
      </c>
      <c r="K397">
        <v>0.70126560000000004</v>
      </c>
      <c r="L397">
        <v>90</v>
      </c>
      <c r="M397">
        <v>-30</v>
      </c>
      <c r="N397">
        <v>10.1683512</v>
      </c>
      <c r="O397">
        <v>0.711784584</v>
      </c>
      <c r="P397" s="139">
        <v>46023</v>
      </c>
    </row>
    <row r="398" spans="2:16">
      <c r="B398" s="1" t="s">
        <v>437</v>
      </c>
      <c r="C398" s="6">
        <v>1870</v>
      </c>
      <c r="D398" s="1">
        <v>70</v>
      </c>
      <c r="E398" s="5" t="s">
        <v>0</v>
      </c>
      <c r="F398" s="6" t="s">
        <v>51</v>
      </c>
      <c r="G398" s="7">
        <v>1337</v>
      </c>
      <c r="H398">
        <v>400</v>
      </c>
      <c r="I398">
        <v>100</v>
      </c>
      <c r="J398">
        <v>10.204242000000001</v>
      </c>
      <c r="K398">
        <v>0.71429693999999999</v>
      </c>
      <c r="L398">
        <v>90</v>
      </c>
      <c r="M398">
        <v>-30</v>
      </c>
      <c r="N398">
        <v>10.357305629999999</v>
      </c>
      <c r="O398">
        <v>0.72501139409999993</v>
      </c>
      <c r="P398" s="139">
        <v>45717</v>
      </c>
    </row>
    <row r="399" spans="2:16">
      <c r="B399" s="1">
        <v>9371</v>
      </c>
      <c r="C399" s="6" t="s">
        <v>481</v>
      </c>
      <c r="D399"/>
      <c r="E399"/>
      <c r="F399"/>
      <c r="G399"/>
      <c r="H399"/>
      <c r="I399"/>
      <c r="J399"/>
      <c r="K399"/>
      <c r="L399"/>
      <c r="M399"/>
      <c r="N399"/>
      <c r="O399"/>
      <c r="P399"/>
    </row>
    <row r="400" spans="2:16">
      <c r="B400" s="1">
        <v>9372</v>
      </c>
      <c r="C400" s="6" t="s">
        <v>481</v>
      </c>
      <c r="D400"/>
      <c r="E400"/>
      <c r="F400"/>
      <c r="G400"/>
      <c r="H400"/>
      <c r="I400"/>
      <c r="J400"/>
      <c r="K400"/>
      <c r="L400"/>
      <c r="M400"/>
      <c r="N400"/>
      <c r="O400"/>
      <c r="P400"/>
    </row>
    <row r="401" spans="2:16">
      <c r="B401" s="1">
        <v>9374</v>
      </c>
      <c r="C401" s="6" t="s">
        <v>481</v>
      </c>
      <c r="D401"/>
      <c r="E401"/>
      <c r="F401"/>
      <c r="G401"/>
      <c r="H401"/>
      <c r="I401"/>
      <c r="J401"/>
      <c r="K401"/>
      <c r="L401"/>
      <c r="M401"/>
      <c r="N401"/>
      <c r="O401"/>
      <c r="P401"/>
    </row>
    <row r="402" spans="2:16">
      <c r="B402" s="1">
        <v>9377</v>
      </c>
      <c r="C402" s="6" t="s">
        <v>481</v>
      </c>
      <c r="D402"/>
      <c r="E402"/>
      <c r="F402"/>
      <c r="G402"/>
      <c r="H402"/>
      <c r="I402"/>
      <c r="J402"/>
      <c r="K402"/>
      <c r="L402"/>
      <c r="M402"/>
      <c r="N402"/>
      <c r="O402"/>
      <c r="P402"/>
    </row>
    <row r="403" spans="2:16">
      <c r="B403" s="1">
        <v>204</v>
      </c>
      <c r="C403" s="6" t="s">
        <v>481</v>
      </c>
      <c r="D403"/>
      <c r="E403"/>
      <c r="F403"/>
      <c r="G403"/>
      <c r="H403"/>
      <c r="I403"/>
      <c r="J403"/>
      <c r="K403"/>
      <c r="L403"/>
      <c r="M403"/>
      <c r="N403"/>
      <c r="O403"/>
      <c r="P403"/>
    </row>
    <row r="404" spans="2:16">
      <c r="B404" s="1" t="s">
        <v>446</v>
      </c>
      <c r="C404" s="6">
        <v>1870</v>
      </c>
      <c r="D404" s="1">
        <v>50</v>
      </c>
      <c r="E404" s="27" t="s">
        <v>240</v>
      </c>
      <c r="F404" s="6" t="s">
        <v>267</v>
      </c>
      <c r="G404" s="7">
        <v>13000</v>
      </c>
      <c r="H404">
        <v>3300</v>
      </c>
      <c r="I404">
        <v>100</v>
      </c>
      <c r="J404">
        <v>12.32658</v>
      </c>
      <c r="K404">
        <v>0.61632900000000002</v>
      </c>
      <c r="L404">
        <v>90</v>
      </c>
      <c r="M404">
        <v>-30</v>
      </c>
      <c r="N404">
        <v>12.511478699999998</v>
      </c>
      <c r="O404">
        <v>0.62557393499999991</v>
      </c>
      <c r="P404" s="139">
        <v>46023</v>
      </c>
    </row>
    <row r="405" spans="2:16">
      <c r="B405" s="1">
        <v>247</v>
      </c>
      <c r="C405" s="6">
        <v>1870</v>
      </c>
      <c r="D405" s="1">
        <v>70</v>
      </c>
      <c r="E405" s="5" t="s">
        <v>0</v>
      </c>
      <c r="F405" s="6" t="s">
        <v>267</v>
      </c>
      <c r="G405" s="7">
        <v>8500</v>
      </c>
      <c r="H405">
        <v>3300</v>
      </c>
      <c r="I405">
        <v>100</v>
      </c>
      <c r="J405">
        <v>8.4790800000000015</v>
      </c>
      <c r="K405">
        <v>0.59353560000000016</v>
      </c>
      <c r="L405">
        <v>90</v>
      </c>
      <c r="M405">
        <v>-30</v>
      </c>
      <c r="N405">
        <v>8.6062662000000003</v>
      </c>
      <c r="O405">
        <v>0.60243863400000008</v>
      </c>
      <c r="P405" s="139">
        <v>46143</v>
      </c>
    </row>
    <row r="406" spans="2:16">
      <c r="B406" s="1" t="s">
        <v>475</v>
      </c>
      <c r="C406" s="6">
        <v>1870</v>
      </c>
      <c r="D406" s="1">
        <v>72</v>
      </c>
      <c r="E406" s="27" t="s">
        <v>2</v>
      </c>
      <c r="F406" t="s">
        <v>51</v>
      </c>
      <c r="G406" s="7">
        <v>2000</v>
      </c>
      <c r="H406" t="s">
        <v>481</v>
      </c>
      <c r="I406">
        <v>100</v>
      </c>
      <c r="J406">
        <v>13.390763200000002</v>
      </c>
      <c r="K406">
        <v>0.96413495040000019</v>
      </c>
      <c r="L406">
        <v>120</v>
      </c>
      <c r="M406">
        <v>15</v>
      </c>
      <c r="N406">
        <v>13.291448381471245</v>
      </c>
      <c r="O406">
        <v>0.95698428346592956</v>
      </c>
      <c r="P406" s="139">
        <v>46211</v>
      </c>
    </row>
    <row r="407" spans="2:16">
      <c r="B407" s="1" t="s">
        <v>475</v>
      </c>
      <c r="C407" s="6">
        <v>1870</v>
      </c>
      <c r="D407" s="1">
        <v>72</v>
      </c>
      <c r="E407" s="27" t="s">
        <v>2</v>
      </c>
      <c r="F407" t="s">
        <v>51</v>
      </c>
      <c r="G407" s="7">
        <v>2020</v>
      </c>
      <c r="H407" t="s">
        <v>481</v>
      </c>
      <c r="I407">
        <v>70</v>
      </c>
      <c r="J407">
        <v>13.524103200000003</v>
      </c>
      <c r="K407">
        <v>0.9737354304000001</v>
      </c>
      <c r="L407">
        <v>120</v>
      </c>
      <c r="M407">
        <v>15</v>
      </c>
      <c r="N407">
        <v>13.423799443222929</v>
      </c>
      <c r="O407">
        <v>0.9665135599120509</v>
      </c>
      <c r="P407" s="139">
        <v>46211</v>
      </c>
    </row>
    <row r="408" spans="2:16">
      <c r="B408" s="1" t="s">
        <v>475</v>
      </c>
      <c r="C408" s="6">
        <v>1870</v>
      </c>
      <c r="D408" s="1">
        <v>72</v>
      </c>
      <c r="E408" s="27" t="s">
        <v>2</v>
      </c>
      <c r="F408" t="s">
        <v>51</v>
      </c>
      <c r="G408" s="7">
        <v>2050</v>
      </c>
      <c r="H408" t="s">
        <v>481</v>
      </c>
      <c r="I408">
        <v>50</v>
      </c>
      <c r="J408">
        <v>13.7241132</v>
      </c>
      <c r="K408">
        <v>0.98813615040000002</v>
      </c>
      <c r="L408">
        <v>120</v>
      </c>
      <c r="M408">
        <v>15</v>
      </c>
      <c r="N408">
        <v>13.622326035850453</v>
      </c>
      <c r="O408">
        <v>0.98080747458123263</v>
      </c>
      <c r="P408" s="139">
        <v>46211</v>
      </c>
    </row>
    <row r="409" spans="2:16">
      <c r="B409" s="1" t="s">
        <v>475</v>
      </c>
      <c r="C409" s="6">
        <v>1870</v>
      </c>
      <c r="D409" s="1">
        <v>72</v>
      </c>
      <c r="E409" s="27" t="s">
        <v>2</v>
      </c>
      <c r="F409" t="s">
        <v>51</v>
      </c>
      <c r="G409" s="7">
        <v>2100</v>
      </c>
      <c r="H409" t="s">
        <v>481</v>
      </c>
      <c r="I409">
        <v>30</v>
      </c>
      <c r="J409">
        <v>14.057463200000001</v>
      </c>
      <c r="K409">
        <v>1.0121373504</v>
      </c>
      <c r="L409">
        <v>120</v>
      </c>
      <c r="M409">
        <v>15</v>
      </c>
      <c r="N409">
        <v>13.953203690229662</v>
      </c>
      <c r="O409">
        <v>1.0046306656965358</v>
      </c>
      <c r="P409" s="139">
        <v>46211</v>
      </c>
    </row>
    <row r="410" spans="2:16">
      <c r="B410" s="1" t="s">
        <v>476</v>
      </c>
      <c r="C410" s="6">
        <v>1870</v>
      </c>
      <c r="D410" s="1">
        <v>70</v>
      </c>
      <c r="E410" s="27" t="s">
        <v>2</v>
      </c>
      <c r="F410" t="s">
        <v>51</v>
      </c>
      <c r="G410" s="7">
        <v>1880</v>
      </c>
      <c r="H410" t="s">
        <v>481</v>
      </c>
      <c r="I410">
        <v>100</v>
      </c>
      <c r="J410">
        <v>12.590723200000001</v>
      </c>
      <c r="K410">
        <v>0.88135062400000008</v>
      </c>
      <c r="L410">
        <v>120</v>
      </c>
      <c r="M410">
        <v>15</v>
      </c>
      <c r="N410">
        <v>12.497342010961141</v>
      </c>
      <c r="O410">
        <v>0.87481394076727992</v>
      </c>
      <c r="P410" s="139">
        <v>46211</v>
      </c>
    </row>
    <row r="411" spans="2:16">
      <c r="B411" s="1" t="s">
        <v>476</v>
      </c>
      <c r="C411" s="6">
        <v>1870</v>
      </c>
      <c r="D411" s="1">
        <v>70</v>
      </c>
      <c r="E411" s="27" t="s">
        <v>2</v>
      </c>
      <c r="F411" t="s">
        <v>51</v>
      </c>
      <c r="G411" s="7">
        <v>1900</v>
      </c>
      <c r="H411" t="s">
        <v>481</v>
      </c>
      <c r="I411">
        <v>70</v>
      </c>
      <c r="J411">
        <v>12.724063200000002</v>
      </c>
      <c r="K411">
        <v>0.89068442400000014</v>
      </c>
      <c r="L411">
        <v>120</v>
      </c>
      <c r="M411">
        <v>15</v>
      </c>
      <c r="N411">
        <v>12.629693072712826</v>
      </c>
      <c r="O411">
        <v>0.88407851508989788</v>
      </c>
      <c r="P411" s="139">
        <v>46211</v>
      </c>
    </row>
    <row r="412" spans="2:16">
      <c r="B412" s="1" t="s">
        <v>476</v>
      </c>
      <c r="C412" s="6">
        <v>1870</v>
      </c>
      <c r="D412" s="1">
        <v>70</v>
      </c>
      <c r="E412" s="27" t="s">
        <v>2</v>
      </c>
      <c r="F412" t="s">
        <v>51</v>
      </c>
      <c r="G412" s="7">
        <v>1930</v>
      </c>
      <c r="H412" t="s">
        <v>481</v>
      </c>
      <c r="I412">
        <v>50</v>
      </c>
      <c r="J412">
        <v>12.9240732</v>
      </c>
      <c r="K412">
        <v>0.90468512400000001</v>
      </c>
      <c r="L412">
        <v>120</v>
      </c>
      <c r="M412">
        <v>15</v>
      </c>
      <c r="N412">
        <v>12.828219665340349</v>
      </c>
      <c r="O412">
        <v>0.89797537657382442</v>
      </c>
      <c r="P412" s="139">
        <v>46211</v>
      </c>
    </row>
    <row r="413" spans="2:16">
      <c r="B413" s="1" t="s">
        <v>476</v>
      </c>
      <c r="C413" s="6">
        <v>1870</v>
      </c>
      <c r="D413" s="1">
        <v>70</v>
      </c>
      <c r="E413" s="27" t="s">
        <v>2</v>
      </c>
      <c r="F413" t="s">
        <v>51</v>
      </c>
      <c r="G413" s="7">
        <v>1980</v>
      </c>
      <c r="H413" t="s">
        <v>481</v>
      </c>
      <c r="I413">
        <v>30</v>
      </c>
      <c r="J413">
        <v>13.257423200000002</v>
      </c>
      <c r="K413">
        <v>0.92801962400000015</v>
      </c>
      <c r="L413">
        <v>120</v>
      </c>
      <c r="M413">
        <v>15</v>
      </c>
      <c r="N413">
        <v>13.15909731971956</v>
      </c>
      <c r="O413">
        <v>0.92113681238036915</v>
      </c>
      <c r="P413" s="139">
        <v>46211</v>
      </c>
    </row>
    <row r="414" spans="2:16">
      <c r="B414" s="1" t="s">
        <v>476</v>
      </c>
      <c r="C414" s="6" t="s">
        <v>481</v>
      </c>
      <c r="D414"/>
      <c r="E414"/>
      <c r="F414"/>
      <c r="G414"/>
      <c r="H414"/>
      <c r="I414"/>
      <c r="J414"/>
      <c r="K414"/>
      <c r="L414"/>
      <c r="M414"/>
      <c r="N414"/>
      <c r="O414"/>
      <c r="P414"/>
    </row>
    <row r="415" spans="2:16">
      <c r="B415" s="1">
        <v>80</v>
      </c>
      <c r="C415" s="6">
        <v>1830</v>
      </c>
      <c r="D415" s="1">
        <v>65</v>
      </c>
      <c r="E415" s="27" t="s">
        <v>3</v>
      </c>
      <c r="F415" s="6" t="s">
        <v>267</v>
      </c>
      <c r="G415" s="7">
        <v>12000</v>
      </c>
      <c r="H415">
        <v>3300</v>
      </c>
      <c r="I415">
        <v>100</v>
      </c>
      <c r="J415">
        <v>11.471579999999999</v>
      </c>
      <c r="K415">
        <v>0.74565269999999995</v>
      </c>
      <c r="L415">
        <v>90</v>
      </c>
      <c r="M415">
        <v>-30</v>
      </c>
      <c r="N415">
        <v>11.643653699999998</v>
      </c>
      <c r="O415">
        <v>0.75683749049999982</v>
      </c>
      <c r="P415" s="139">
        <v>46023</v>
      </c>
    </row>
    <row r="416" spans="2:16">
      <c r="B416" s="1">
        <v>80</v>
      </c>
      <c r="C416" s="6">
        <v>1830</v>
      </c>
      <c r="D416" s="1">
        <v>65</v>
      </c>
      <c r="E416" s="27" t="s">
        <v>3</v>
      </c>
      <c r="F416" s="6" t="s">
        <v>51</v>
      </c>
      <c r="G416" s="7">
        <v>1450</v>
      </c>
      <c r="H416">
        <v>400</v>
      </c>
      <c r="I416">
        <v>100</v>
      </c>
      <c r="J416">
        <v>10.964279999999999</v>
      </c>
      <c r="K416">
        <v>0.71267819999999993</v>
      </c>
      <c r="L416">
        <v>90</v>
      </c>
      <c r="M416">
        <v>-30</v>
      </c>
      <c r="N416">
        <v>11.128744199999998</v>
      </c>
      <c r="O416">
        <v>0.7233683729999999</v>
      </c>
      <c r="P416" s="139">
        <v>45809</v>
      </c>
    </row>
    <row r="417" spans="2:16">
      <c r="B417" s="1">
        <v>80</v>
      </c>
      <c r="C417" s="6">
        <v>1830</v>
      </c>
      <c r="D417" s="1">
        <v>80</v>
      </c>
      <c r="E417" s="27" t="s">
        <v>47</v>
      </c>
      <c r="F417" s="6" t="s">
        <v>51</v>
      </c>
      <c r="G417" s="7">
        <v>2320</v>
      </c>
      <c r="H417">
        <v>300</v>
      </c>
      <c r="I417" t="s">
        <v>481</v>
      </c>
      <c r="J417">
        <v>15.7012032</v>
      </c>
      <c r="K417">
        <v>1.256096256</v>
      </c>
      <c r="L417">
        <v>120</v>
      </c>
      <c r="M417">
        <v>15</v>
      </c>
      <c r="N417">
        <v>15.584752619611038</v>
      </c>
      <c r="O417">
        <v>1.2467802095688831</v>
      </c>
      <c r="P417" s="139">
        <v>45809</v>
      </c>
    </row>
    <row r="418" spans="2:16">
      <c r="B418" s="1">
        <v>80</v>
      </c>
      <c r="C418" s="6">
        <v>1830</v>
      </c>
      <c r="D418" s="1">
        <v>80</v>
      </c>
      <c r="E418" s="27" t="s">
        <v>47</v>
      </c>
      <c r="F418" s="6" t="s">
        <v>51</v>
      </c>
      <c r="G418" s="7" t="s">
        <v>482</v>
      </c>
      <c r="H418">
        <v>300</v>
      </c>
      <c r="I418" t="s">
        <v>481</v>
      </c>
      <c r="J418" t="s">
        <v>482</v>
      </c>
      <c r="K418" t="s">
        <v>482</v>
      </c>
      <c r="L418">
        <v>120</v>
      </c>
      <c r="M418">
        <v>15</v>
      </c>
      <c r="N418" t="s">
        <v>482</v>
      </c>
      <c r="O418" t="s">
        <v>482</v>
      </c>
      <c r="P418" t="s">
        <v>482</v>
      </c>
    </row>
    <row r="419" spans="2:16">
      <c r="B419" s="1">
        <v>80</v>
      </c>
      <c r="C419" s="6">
        <v>1830</v>
      </c>
      <c r="D419" s="1">
        <v>80</v>
      </c>
      <c r="E419" s="27" t="s">
        <v>468</v>
      </c>
      <c r="F419" t="s">
        <v>51</v>
      </c>
      <c r="G419" s="7">
        <v>2850</v>
      </c>
      <c r="H419" t="s">
        <v>481</v>
      </c>
      <c r="I419">
        <v>50</v>
      </c>
      <c r="J419">
        <v>19.234713200000002</v>
      </c>
      <c r="K419">
        <v>1.5387770560000003</v>
      </c>
      <c r="L419">
        <v>60</v>
      </c>
      <c r="M419">
        <v>-45</v>
      </c>
      <c r="N419">
        <v>19.669113141256688</v>
      </c>
      <c r="O419">
        <v>1.5735290513005351</v>
      </c>
      <c r="P419" s="139">
        <v>46211</v>
      </c>
    </row>
    <row r="420" spans="2:16">
      <c r="B420" s="1">
        <v>80</v>
      </c>
      <c r="C420" s="6">
        <v>1840</v>
      </c>
      <c r="D420" s="1">
        <v>70</v>
      </c>
      <c r="E420" s="27" t="s">
        <v>47</v>
      </c>
      <c r="F420" s="6" t="s">
        <v>51</v>
      </c>
      <c r="G420" s="7">
        <v>2210</v>
      </c>
      <c r="H420">
        <v>300</v>
      </c>
      <c r="I420" t="s">
        <v>481</v>
      </c>
      <c r="J420">
        <v>14.967833199999999</v>
      </c>
      <c r="K420">
        <v>1.0477483239999998</v>
      </c>
      <c r="L420">
        <v>120</v>
      </c>
      <c r="M420">
        <v>15</v>
      </c>
      <c r="N420">
        <v>14.856821779976777</v>
      </c>
      <c r="O420">
        <v>1.0399775245983744</v>
      </c>
      <c r="P420" s="139">
        <v>45261</v>
      </c>
    </row>
    <row r="421" spans="2:16">
      <c r="B421" s="1">
        <v>80</v>
      </c>
      <c r="C421" s="6">
        <v>1840</v>
      </c>
      <c r="D421" s="1">
        <v>80</v>
      </c>
      <c r="E421" s="27" t="s">
        <v>67</v>
      </c>
      <c r="F421" s="6" t="s">
        <v>51</v>
      </c>
      <c r="G421" s="7">
        <v>2630</v>
      </c>
      <c r="H421" t="s">
        <v>481</v>
      </c>
      <c r="I421">
        <v>100</v>
      </c>
      <c r="J421">
        <v>17.767973199999997</v>
      </c>
      <c r="K421">
        <v>1.4214378559999996</v>
      </c>
      <c r="L421">
        <v>90</v>
      </c>
      <c r="M421">
        <v>-15</v>
      </c>
      <c r="N421">
        <v>17.900736987913568</v>
      </c>
      <c r="O421">
        <v>1.4320589590330854</v>
      </c>
      <c r="P421" s="139">
        <v>45536</v>
      </c>
    </row>
    <row r="422" spans="2:16">
      <c r="B422" s="1">
        <v>80</v>
      </c>
      <c r="C422" s="6">
        <v>1840</v>
      </c>
      <c r="D422" s="1">
        <v>80</v>
      </c>
      <c r="E422" s="27" t="s">
        <v>47</v>
      </c>
      <c r="F422" s="6" t="s">
        <v>51</v>
      </c>
      <c r="G422" s="7">
        <v>2470</v>
      </c>
      <c r="H422">
        <v>300</v>
      </c>
      <c r="I422">
        <v>100</v>
      </c>
      <c r="J422">
        <v>16.7012532</v>
      </c>
      <c r="K422">
        <v>1.3361002559999999</v>
      </c>
      <c r="L422">
        <v>120</v>
      </c>
      <c r="M422">
        <v>15</v>
      </c>
      <c r="N422">
        <v>16.577385582748668</v>
      </c>
      <c r="O422">
        <v>1.3261908466198935</v>
      </c>
      <c r="P422" s="139">
        <v>45809</v>
      </c>
    </row>
    <row r="423" spans="2:16">
      <c r="B423" s="1">
        <v>80</v>
      </c>
      <c r="C423" s="6" t="s">
        <v>481</v>
      </c>
      <c r="D423"/>
      <c r="E423"/>
      <c r="F423"/>
      <c r="G423"/>
      <c r="H423"/>
      <c r="I423"/>
      <c r="J423"/>
      <c r="K423"/>
      <c r="L423"/>
      <c r="M423"/>
      <c r="N423"/>
      <c r="O423"/>
      <c r="P423"/>
    </row>
    <row r="424" spans="2:16">
      <c r="B424"/>
      <c r="C424"/>
      <c r="D424"/>
      <c r="E424"/>
      <c r="F424"/>
      <c r="G424"/>
      <c r="H424"/>
      <c r="I424"/>
      <c r="J424"/>
      <c r="K424"/>
      <c r="L424"/>
      <c r="M424"/>
      <c r="N424"/>
      <c r="O424"/>
      <c r="P424"/>
    </row>
    <row r="425" spans="2:16">
      <c r="B425"/>
      <c r="C425"/>
      <c r="D425"/>
      <c r="E425"/>
      <c r="F425"/>
      <c r="G425"/>
      <c r="H425"/>
      <c r="I425"/>
      <c r="J425"/>
      <c r="K425"/>
      <c r="L425"/>
      <c r="M425"/>
      <c r="N425"/>
      <c r="O425"/>
      <c r="P425"/>
    </row>
    <row r="426" spans="2:16">
      <c r="B426"/>
      <c r="C426"/>
      <c r="D426"/>
      <c r="E426"/>
      <c r="F426"/>
      <c r="G426"/>
      <c r="H426"/>
      <c r="I426"/>
      <c r="J426"/>
      <c r="K426"/>
      <c r="L426"/>
      <c r="M426"/>
      <c r="N426"/>
      <c r="O426"/>
      <c r="P426"/>
    </row>
    <row r="427" spans="2:16">
      <c r="B427"/>
      <c r="C427"/>
      <c r="D427"/>
      <c r="E427"/>
      <c r="F427"/>
      <c r="G427"/>
      <c r="H427"/>
      <c r="I427"/>
      <c r="J427"/>
      <c r="K427"/>
      <c r="L427"/>
      <c r="M427"/>
      <c r="N427"/>
      <c r="O427"/>
      <c r="P427"/>
    </row>
    <row r="428" spans="2:16">
      <c r="B428"/>
      <c r="C428"/>
      <c r="D428"/>
      <c r="E428"/>
      <c r="F428"/>
      <c r="G428"/>
      <c r="H428"/>
      <c r="I428"/>
      <c r="J428"/>
      <c r="K428"/>
      <c r="L428"/>
      <c r="M428"/>
      <c r="N428"/>
      <c r="O428"/>
      <c r="P428"/>
    </row>
    <row r="429" spans="2:16">
      <c r="B429"/>
      <c r="C429"/>
      <c r="D429"/>
      <c r="E429"/>
      <c r="F429"/>
      <c r="G429"/>
      <c r="H429"/>
      <c r="I429"/>
      <c r="J429"/>
      <c r="K429"/>
      <c r="L429"/>
      <c r="M429"/>
      <c r="N429"/>
      <c r="O429"/>
      <c r="P429"/>
    </row>
    <row r="430" spans="2:16">
      <c r="B430"/>
      <c r="C430"/>
      <c r="D430"/>
      <c r="E430"/>
      <c r="F430"/>
      <c r="G430"/>
      <c r="H430"/>
      <c r="I430"/>
      <c r="J430"/>
      <c r="K430"/>
      <c r="L430"/>
      <c r="M430"/>
      <c r="N430"/>
      <c r="O430"/>
      <c r="P430"/>
    </row>
    <row r="431" spans="2:16">
      <c r="B431"/>
      <c r="C431"/>
      <c r="D431"/>
      <c r="E431"/>
      <c r="F431"/>
      <c r="G431"/>
      <c r="H431"/>
      <c r="I431"/>
      <c r="J431"/>
      <c r="K431"/>
      <c r="L431"/>
      <c r="M431"/>
      <c r="N431"/>
      <c r="O431"/>
      <c r="P431"/>
    </row>
    <row r="432" spans="2:16">
      <c r="B432"/>
      <c r="C432"/>
      <c r="D432"/>
      <c r="E432"/>
      <c r="F432"/>
      <c r="G432"/>
      <c r="H432"/>
      <c r="I432"/>
      <c r="J432"/>
      <c r="K432"/>
      <c r="L432"/>
      <c r="M432"/>
      <c r="N432"/>
      <c r="O432"/>
      <c r="P432"/>
    </row>
    <row r="433" spans="2:16">
      <c r="B433"/>
      <c r="C433"/>
      <c r="D433"/>
      <c r="E433"/>
      <c r="F433"/>
      <c r="G433"/>
      <c r="H433"/>
      <c r="I433"/>
      <c r="J433"/>
      <c r="K433"/>
      <c r="L433"/>
      <c r="M433"/>
      <c r="N433"/>
      <c r="O433"/>
      <c r="P433"/>
    </row>
    <row r="434" spans="2:16">
      <c r="B434"/>
      <c r="C434"/>
      <c r="D434"/>
      <c r="E434"/>
      <c r="F434"/>
      <c r="G434"/>
      <c r="H434"/>
      <c r="I434"/>
      <c r="J434"/>
      <c r="K434"/>
      <c r="L434"/>
      <c r="M434"/>
      <c r="N434"/>
      <c r="O434"/>
      <c r="P434"/>
    </row>
    <row r="435" spans="2:16">
      <c r="B435" s="6"/>
      <c r="C435" s="6"/>
      <c r="D435" s="6"/>
      <c r="F435" s="74"/>
      <c r="G435" s="7"/>
      <c r="H435" s="110"/>
      <c r="I435" s="74"/>
      <c r="J435" s="7"/>
      <c r="K435" s="74"/>
      <c r="L435" s="6"/>
      <c r="M435" s="74"/>
      <c r="N435" s="7"/>
      <c r="O435" s="7"/>
    </row>
    <row r="436" spans="2:16">
      <c r="B436" s="6"/>
      <c r="C436" s="6"/>
      <c r="D436" s="6"/>
      <c r="F436" s="74"/>
      <c r="G436" s="7"/>
      <c r="H436" s="110"/>
      <c r="I436" s="74"/>
      <c r="J436" s="7"/>
      <c r="K436" s="74"/>
      <c r="L436" s="6"/>
      <c r="M436" s="74"/>
      <c r="N436" s="7"/>
      <c r="O436" s="7"/>
    </row>
    <row r="437" spans="2:16">
      <c r="B437" s="6"/>
      <c r="C437" s="6"/>
      <c r="D437" s="6"/>
      <c r="F437" s="74"/>
      <c r="G437" s="7"/>
      <c r="H437" s="110"/>
      <c r="I437" s="74"/>
      <c r="J437" s="7"/>
      <c r="K437" s="74"/>
      <c r="L437" s="6"/>
      <c r="M437" s="74"/>
      <c r="N437" s="7"/>
      <c r="O437" s="7"/>
    </row>
    <row r="438" spans="2:16">
      <c r="B438" s="6"/>
      <c r="C438" s="6"/>
      <c r="D438" s="6"/>
      <c r="F438" s="74"/>
      <c r="G438" s="7"/>
      <c r="H438" s="110"/>
      <c r="I438" s="74"/>
      <c r="J438" s="7"/>
      <c r="K438" s="74"/>
      <c r="L438" s="6"/>
      <c r="M438" s="74"/>
      <c r="N438" s="7"/>
      <c r="O438" s="7"/>
    </row>
    <row r="439" spans="2:16">
      <c r="B439" s="6"/>
      <c r="C439" s="6"/>
      <c r="D439" s="6"/>
      <c r="F439" s="74"/>
      <c r="G439" s="7"/>
      <c r="H439" s="110"/>
      <c r="I439" s="74"/>
      <c r="J439" s="7"/>
      <c r="K439" s="74"/>
      <c r="L439" s="6"/>
      <c r="M439" s="74"/>
      <c r="N439" s="7"/>
      <c r="O439" s="7"/>
    </row>
    <row r="440" spans="2:16">
      <c r="B440" s="6"/>
      <c r="C440" s="6"/>
      <c r="D440" s="6"/>
      <c r="F440" s="74"/>
      <c r="G440" s="7"/>
      <c r="H440" s="110"/>
      <c r="I440" s="74"/>
      <c r="J440" s="7"/>
      <c r="K440" s="74"/>
      <c r="L440" s="6"/>
      <c r="M440" s="74"/>
      <c r="N440" s="7"/>
      <c r="O440" s="7"/>
    </row>
    <row r="441" spans="2:16">
      <c r="B441" s="6"/>
      <c r="C441" s="6"/>
      <c r="D441" s="6"/>
      <c r="F441" s="74"/>
      <c r="G441" s="7"/>
      <c r="H441" s="110"/>
      <c r="I441" s="74"/>
      <c r="J441" s="7"/>
      <c r="K441" s="74"/>
      <c r="L441" s="6"/>
      <c r="M441" s="74"/>
      <c r="N441" s="7"/>
      <c r="O441" s="7"/>
    </row>
    <row r="442" spans="2:16">
      <c r="B442" s="6"/>
      <c r="C442" s="6"/>
      <c r="D442" s="6"/>
      <c r="F442" s="74"/>
      <c r="G442" s="7"/>
      <c r="H442" s="110"/>
      <c r="I442" s="74"/>
      <c r="J442" s="7"/>
      <c r="K442" s="74"/>
      <c r="L442" s="6"/>
      <c r="M442" s="74"/>
      <c r="N442" s="7"/>
      <c r="O442" s="7"/>
    </row>
    <row r="443" spans="2:16">
      <c r="B443" s="6"/>
      <c r="C443" s="6"/>
      <c r="D443" s="6"/>
      <c r="F443" s="74"/>
      <c r="G443" s="7"/>
      <c r="H443" s="110"/>
      <c r="I443" s="74"/>
      <c r="J443" s="7"/>
      <c r="K443" s="74"/>
      <c r="L443" s="6"/>
      <c r="M443" s="74"/>
      <c r="N443" s="7"/>
      <c r="O443" s="7"/>
    </row>
    <row r="444" spans="2:16">
      <c r="B444" s="6"/>
      <c r="C444" s="6"/>
      <c r="D444" s="6"/>
      <c r="F444" s="74"/>
      <c r="G444" s="7"/>
      <c r="H444" s="110"/>
      <c r="I444" s="74"/>
      <c r="J444" s="7"/>
      <c r="K444" s="74"/>
      <c r="L444" s="6"/>
      <c r="M444" s="74"/>
      <c r="N444" s="7"/>
      <c r="O444" s="7"/>
    </row>
    <row r="445" spans="2:16">
      <c r="B445" s="6"/>
      <c r="C445" s="6"/>
      <c r="D445" s="6"/>
      <c r="F445" s="74"/>
      <c r="G445" s="7"/>
      <c r="H445" s="110"/>
      <c r="I445" s="74"/>
      <c r="J445" s="7"/>
      <c r="K445" s="74"/>
      <c r="L445" s="6"/>
      <c r="M445" s="74"/>
      <c r="N445" s="7"/>
      <c r="O445" s="7"/>
    </row>
    <row r="446" spans="2:16">
      <c r="B446" s="6"/>
      <c r="C446" s="6"/>
      <c r="D446" s="6"/>
      <c r="F446" s="74"/>
      <c r="G446" s="7"/>
      <c r="H446" s="110"/>
      <c r="I446" s="74"/>
      <c r="J446" s="7"/>
      <c r="K446" s="74"/>
      <c r="L446" s="6"/>
      <c r="M446" s="74"/>
      <c r="N446" s="7"/>
      <c r="O446" s="7"/>
    </row>
    <row r="447" spans="2:16">
      <c r="B447" s="6"/>
      <c r="C447" s="6"/>
      <c r="D447" s="6"/>
      <c r="F447" s="74"/>
      <c r="G447" s="7"/>
      <c r="H447" s="110"/>
      <c r="I447" s="74"/>
      <c r="J447" s="7"/>
      <c r="K447" s="74"/>
      <c r="L447" s="6"/>
      <c r="M447" s="74"/>
      <c r="N447" s="7"/>
      <c r="O447" s="7"/>
    </row>
    <row r="448" spans="2:16">
      <c r="B448" s="6"/>
      <c r="C448" s="6"/>
      <c r="D448" s="6"/>
      <c r="F448" s="74"/>
      <c r="G448" s="7"/>
      <c r="H448" s="110"/>
      <c r="I448" s="74"/>
      <c r="J448" s="7"/>
      <c r="K448" s="74"/>
      <c r="L448" s="6"/>
      <c r="M448" s="74"/>
      <c r="N448" s="7"/>
      <c r="O448" s="7"/>
    </row>
    <row r="449" spans="2:15">
      <c r="B449" s="6"/>
      <c r="C449" s="6"/>
      <c r="D449" s="6"/>
      <c r="F449" s="74"/>
      <c r="G449" s="7"/>
      <c r="H449" s="110"/>
      <c r="I449" s="74"/>
      <c r="J449" s="7"/>
      <c r="K449" s="74"/>
      <c r="L449" s="6"/>
      <c r="M449" s="74"/>
      <c r="N449" s="7"/>
      <c r="O449" s="7"/>
    </row>
    <row r="450" spans="2:15">
      <c r="B450" s="6"/>
      <c r="C450" s="6"/>
      <c r="D450" s="6"/>
      <c r="F450" s="74"/>
      <c r="G450" s="7"/>
      <c r="H450" s="110"/>
      <c r="I450" s="74"/>
      <c r="J450" s="7"/>
      <c r="K450" s="74"/>
      <c r="L450" s="6"/>
      <c r="M450" s="74"/>
      <c r="N450" s="7"/>
      <c r="O450" s="7"/>
    </row>
    <row r="451" spans="2:15">
      <c r="B451" s="6"/>
      <c r="C451" s="6"/>
      <c r="D451" s="6"/>
      <c r="F451" s="74"/>
      <c r="G451" s="7"/>
      <c r="H451" s="110"/>
      <c r="I451" s="74"/>
      <c r="J451" s="7"/>
      <c r="K451" s="74"/>
      <c r="L451" s="6"/>
      <c r="M451" s="74"/>
      <c r="N451" s="7"/>
      <c r="O451" s="7"/>
    </row>
    <row r="452" spans="2:15">
      <c r="B452" s="6"/>
      <c r="C452" s="6"/>
      <c r="D452" s="6"/>
      <c r="F452" s="74"/>
      <c r="G452" s="7"/>
      <c r="H452" s="110"/>
      <c r="I452" s="74"/>
      <c r="J452" s="7"/>
      <c r="K452" s="74"/>
      <c r="L452" s="6"/>
      <c r="M452" s="74"/>
      <c r="N452" s="7"/>
      <c r="O452" s="7"/>
    </row>
    <row r="453" spans="2:15">
      <c r="B453" s="6"/>
      <c r="C453" s="6"/>
      <c r="D453" s="6"/>
      <c r="F453" s="74"/>
      <c r="G453" s="7"/>
      <c r="H453" s="110"/>
      <c r="I453" s="74"/>
      <c r="J453" s="7"/>
      <c r="K453" s="74"/>
      <c r="L453" s="6"/>
      <c r="M453" s="74"/>
      <c r="N453" s="7"/>
      <c r="O453" s="7"/>
    </row>
    <row r="454" spans="2:15">
      <c r="B454" s="6"/>
      <c r="C454" s="6"/>
      <c r="D454" s="6"/>
      <c r="F454" s="74"/>
      <c r="G454" s="7"/>
      <c r="H454" s="110"/>
      <c r="I454" s="74"/>
      <c r="J454" s="7"/>
      <c r="K454" s="74"/>
      <c r="L454" s="6"/>
      <c r="M454" s="74"/>
      <c r="N454" s="7"/>
      <c r="O454" s="7"/>
    </row>
    <row r="455" spans="2:15">
      <c r="B455" s="6"/>
      <c r="C455" s="6"/>
      <c r="D455" s="6"/>
      <c r="F455" s="74"/>
      <c r="G455" s="7"/>
      <c r="H455" s="110"/>
      <c r="I455" s="74"/>
      <c r="J455" s="7"/>
      <c r="K455" s="74"/>
      <c r="L455" s="6"/>
      <c r="M455" s="74"/>
      <c r="N455" s="7"/>
      <c r="O455" s="7"/>
    </row>
    <row r="456" spans="2:15">
      <c r="B456" s="6"/>
      <c r="C456" s="6"/>
      <c r="D456" s="6"/>
      <c r="F456" s="74"/>
      <c r="G456" s="7"/>
      <c r="H456" s="110"/>
      <c r="I456" s="74"/>
      <c r="J456" s="7"/>
      <c r="K456" s="74"/>
      <c r="L456" s="6"/>
      <c r="M456" s="74"/>
      <c r="N456" s="7"/>
      <c r="O456" s="7"/>
    </row>
    <row r="457" spans="2:15">
      <c r="B457" s="6"/>
      <c r="C457" s="6"/>
      <c r="D457" s="6"/>
      <c r="F457" s="74"/>
      <c r="G457" s="7"/>
      <c r="H457" s="110"/>
      <c r="I457" s="74"/>
      <c r="J457" s="7"/>
      <c r="K457" s="74"/>
      <c r="L457" s="6"/>
      <c r="M457" s="74"/>
      <c r="N457" s="7"/>
      <c r="O457" s="7"/>
    </row>
    <row r="458" spans="2:15">
      <c r="B458" s="6"/>
      <c r="C458" s="6"/>
      <c r="D458" s="6"/>
      <c r="F458" s="74"/>
      <c r="G458" s="7"/>
      <c r="H458" s="110"/>
      <c r="I458" s="74"/>
      <c r="J458" s="7"/>
      <c r="K458" s="74"/>
      <c r="L458" s="6"/>
      <c r="M458" s="74"/>
      <c r="N458" s="7"/>
      <c r="O458" s="7"/>
    </row>
    <row r="459" spans="2:15">
      <c r="B459" s="6"/>
      <c r="C459" s="6"/>
      <c r="D459" s="6"/>
      <c r="F459" s="74"/>
      <c r="G459" s="7"/>
      <c r="H459" s="110"/>
      <c r="I459" s="74"/>
      <c r="J459" s="7"/>
      <c r="K459" s="74"/>
      <c r="L459" s="6"/>
      <c r="M459" s="74"/>
      <c r="N459" s="7"/>
      <c r="O459" s="7"/>
    </row>
    <row r="460" spans="2:15">
      <c r="B460" s="6"/>
      <c r="C460" s="6"/>
      <c r="D460" s="6"/>
      <c r="F460" s="74"/>
      <c r="G460" s="7"/>
      <c r="H460" s="110"/>
      <c r="I460" s="74"/>
      <c r="J460" s="7"/>
      <c r="K460" s="74"/>
      <c r="L460" s="6"/>
      <c r="M460" s="74"/>
      <c r="N460" s="7"/>
      <c r="O460" s="7"/>
    </row>
    <row r="461" spans="2:15">
      <c r="B461" s="6"/>
      <c r="C461" s="6"/>
      <c r="D461" s="6"/>
      <c r="F461" s="74"/>
      <c r="G461" s="7"/>
      <c r="H461" s="110"/>
      <c r="I461" s="74"/>
      <c r="J461" s="7"/>
      <c r="K461" s="74"/>
      <c r="L461" s="6"/>
      <c r="M461" s="74"/>
      <c r="N461" s="7"/>
      <c r="O461" s="7"/>
    </row>
    <row r="462" spans="2:15">
      <c r="B462" s="6"/>
      <c r="C462" s="6"/>
      <c r="D462" s="6"/>
      <c r="F462" s="74"/>
      <c r="G462" s="7"/>
      <c r="H462" s="110"/>
      <c r="I462" s="74"/>
      <c r="J462" s="7"/>
      <c r="K462" s="74"/>
      <c r="L462" s="6"/>
      <c r="M462" s="74"/>
      <c r="N462" s="7"/>
      <c r="O462" s="7"/>
    </row>
    <row r="463" spans="2:15">
      <c r="B463" s="6"/>
      <c r="C463" s="6"/>
      <c r="D463" s="6"/>
      <c r="F463" s="74"/>
      <c r="G463" s="7"/>
      <c r="H463" s="110"/>
      <c r="I463" s="74"/>
      <c r="J463" s="7"/>
      <c r="K463" s="74"/>
      <c r="L463" s="6"/>
      <c r="M463" s="74"/>
      <c r="N463" s="7"/>
      <c r="O463" s="7"/>
    </row>
    <row r="464" spans="2:15">
      <c r="B464" s="6"/>
      <c r="C464" s="6"/>
      <c r="D464" s="6"/>
      <c r="F464" s="74"/>
      <c r="G464" s="7"/>
      <c r="H464" s="110"/>
      <c r="I464" s="74"/>
      <c r="J464" s="7"/>
      <c r="K464" s="74"/>
      <c r="L464" s="6"/>
      <c r="M464" s="74"/>
      <c r="N464" s="7"/>
      <c r="O464" s="7"/>
    </row>
    <row r="465" spans="2:15">
      <c r="B465" s="6"/>
      <c r="C465" s="6"/>
      <c r="D465" s="6"/>
      <c r="F465" s="74"/>
      <c r="G465" s="7"/>
      <c r="H465" s="110"/>
      <c r="I465" s="74"/>
      <c r="J465" s="7"/>
      <c r="K465" s="74"/>
      <c r="L465" s="6"/>
      <c r="M465" s="74"/>
      <c r="N465" s="7"/>
      <c r="O465" s="7"/>
    </row>
    <row r="466" spans="2:15">
      <c r="B466" s="6"/>
      <c r="C466" s="6"/>
      <c r="D466" s="6"/>
      <c r="F466" s="74"/>
      <c r="G466" s="7"/>
      <c r="H466" s="110"/>
      <c r="I466" s="74"/>
      <c r="J466" s="7"/>
      <c r="K466" s="74"/>
      <c r="L466" s="6"/>
      <c r="M466" s="74"/>
      <c r="N466" s="7"/>
      <c r="O466" s="7"/>
    </row>
    <row r="467" spans="2:15">
      <c r="B467" s="6"/>
      <c r="C467" s="6"/>
      <c r="D467" s="6"/>
      <c r="F467" s="74"/>
      <c r="G467" s="7"/>
      <c r="H467" s="110"/>
      <c r="I467" s="74"/>
      <c r="J467" s="7"/>
      <c r="K467" s="74"/>
      <c r="L467" s="6"/>
      <c r="M467" s="74"/>
      <c r="N467" s="7"/>
      <c r="O467" s="7"/>
    </row>
    <row r="468" spans="2:15">
      <c r="B468" s="6"/>
      <c r="C468" s="6"/>
      <c r="D468" s="6"/>
      <c r="F468" s="74"/>
      <c r="G468" s="7"/>
      <c r="H468" s="110"/>
      <c r="I468" s="74"/>
      <c r="J468" s="7"/>
      <c r="K468" s="74"/>
      <c r="L468" s="6"/>
      <c r="M468" s="74"/>
      <c r="N468" s="7"/>
      <c r="O468" s="7"/>
    </row>
    <row r="469" spans="2:15">
      <c r="B469" s="6"/>
      <c r="C469" s="6"/>
      <c r="D469" s="6"/>
      <c r="F469" s="74"/>
      <c r="G469" s="7"/>
      <c r="H469" s="110"/>
      <c r="I469" s="74"/>
      <c r="J469" s="7"/>
      <c r="K469" s="74"/>
      <c r="L469" s="6"/>
      <c r="M469" s="74"/>
      <c r="N469" s="7"/>
      <c r="O469" s="7"/>
    </row>
    <row r="470" spans="2:15">
      <c r="B470" s="6"/>
      <c r="C470" s="6"/>
      <c r="D470" s="6"/>
      <c r="F470" s="74"/>
      <c r="G470" s="7"/>
      <c r="H470" s="110"/>
      <c r="I470" s="74"/>
      <c r="J470" s="7"/>
      <c r="K470" s="74"/>
      <c r="L470" s="6"/>
      <c r="M470" s="74"/>
      <c r="N470" s="7"/>
      <c r="O470" s="7"/>
    </row>
    <row r="471" spans="2:15">
      <c r="B471" s="6"/>
      <c r="C471" s="6"/>
      <c r="D471" s="6"/>
      <c r="F471" s="74"/>
      <c r="G471" s="7"/>
      <c r="H471" s="110"/>
      <c r="I471" s="74"/>
      <c r="J471" s="7"/>
      <c r="K471" s="74"/>
      <c r="L471" s="6"/>
      <c r="M471" s="74"/>
      <c r="N471" s="7"/>
      <c r="O471" s="7"/>
    </row>
    <row r="472" spans="2:15">
      <c r="B472" s="6"/>
      <c r="C472" s="6"/>
      <c r="D472" s="6"/>
      <c r="F472" s="74"/>
      <c r="G472" s="7"/>
      <c r="H472" s="110"/>
      <c r="I472" s="74"/>
      <c r="J472" s="7"/>
      <c r="K472" s="74"/>
      <c r="L472" s="6"/>
      <c r="M472" s="74"/>
      <c r="N472" s="7"/>
      <c r="O472" s="7"/>
    </row>
    <row r="473" spans="2:15">
      <c r="B473" s="6"/>
      <c r="C473" s="6"/>
      <c r="D473" s="6"/>
      <c r="F473" s="74"/>
      <c r="G473" s="7"/>
      <c r="H473" s="110"/>
      <c r="I473" s="74"/>
      <c r="J473" s="7"/>
      <c r="K473" s="74"/>
      <c r="L473" s="6"/>
      <c r="M473" s="74"/>
      <c r="N473" s="7"/>
      <c r="O473" s="7"/>
    </row>
    <row r="474" spans="2:15">
      <c r="B474" s="6"/>
      <c r="C474" s="6"/>
      <c r="D474" s="6"/>
      <c r="F474" s="74"/>
      <c r="G474" s="7"/>
      <c r="H474" s="110"/>
      <c r="I474" s="74"/>
      <c r="J474" s="7"/>
      <c r="K474" s="74"/>
      <c r="L474" s="6"/>
      <c r="M474" s="74"/>
      <c r="N474" s="7"/>
      <c r="O474" s="7"/>
    </row>
    <row r="475" spans="2:15">
      <c r="B475" s="6"/>
      <c r="C475" s="6"/>
      <c r="D475" s="6"/>
      <c r="F475" s="74"/>
      <c r="G475" s="7"/>
      <c r="H475" s="110"/>
      <c r="I475" s="74"/>
      <c r="J475" s="7"/>
      <c r="K475" s="74"/>
      <c r="L475" s="6"/>
      <c r="M475" s="74"/>
      <c r="N475" s="7"/>
      <c r="O475" s="7"/>
    </row>
    <row r="476" spans="2:15">
      <c r="B476" s="6"/>
      <c r="C476" s="6"/>
      <c r="D476" s="6"/>
      <c r="F476" s="74"/>
      <c r="G476" s="7"/>
      <c r="H476" s="110"/>
      <c r="I476" s="74"/>
      <c r="J476" s="7"/>
      <c r="K476" s="74"/>
      <c r="L476" s="6"/>
      <c r="M476" s="74"/>
      <c r="N476" s="7"/>
      <c r="O476" s="7"/>
    </row>
    <row r="477" spans="2:15">
      <c r="B477" s="6"/>
      <c r="C477" s="6"/>
      <c r="D477" s="6"/>
      <c r="F477" s="74"/>
      <c r="G477" s="7"/>
      <c r="H477" s="110"/>
      <c r="I477" s="74"/>
      <c r="J477" s="7"/>
      <c r="K477" s="74"/>
      <c r="L477" s="6"/>
      <c r="M477" s="74"/>
      <c r="N477" s="7"/>
      <c r="O477" s="7"/>
    </row>
    <row r="478" spans="2:15">
      <c r="B478" s="6"/>
      <c r="C478" s="6"/>
      <c r="D478" s="6"/>
      <c r="F478" s="74"/>
      <c r="G478" s="7"/>
      <c r="H478" s="110"/>
      <c r="I478" s="74"/>
      <c r="J478" s="7"/>
      <c r="K478" s="74"/>
      <c r="L478" s="6"/>
      <c r="M478" s="74"/>
      <c r="N478" s="7"/>
      <c r="O478" s="7"/>
    </row>
    <row r="479" spans="2:15">
      <c r="B479" s="6"/>
      <c r="C479" s="6"/>
      <c r="D479" s="6"/>
      <c r="F479" s="74"/>
      <c r="G479" s="7"/>
      <c r="H479" s="110"/>
      <c r="I479" s="74"/>
      <c r="J479" s="7"/>
      <c r="K479" s="74"/>
      <c r="L479" s="6"/>
      <c r="M479" s="74"/>
      <c r="N479" s="7"/>
      <c r="O479" s="7"/>
    </row>
    <row r="480" spans="2:15">
      <c r="B480" s="6"/>
      <c r="C480" s="6"/>
      <c r="D480" s="6"/>
      <c r="F480" s="74"/>
      <c r="G480" s="7"/>
      <c r="H480" s="110"/>
      <c r="I480" s="74"/>
      <c r="J480" s="7"/>
      <c r="K480" s="74"/>
      <c r="L480" s="6"/>
      <c r="M480" s="74"/>
      <c r="N480" s="7"/>
      <c r="O480" s="7"/>
    </row>
    <row r="481" spans="2:15">
      <c r="B481" s="6"/>
      <c r="C481" s="6"/>
      <c r="D481" s="6"/>
      <c r="F481" s="74"/>
      <c r="G481" s="7"/>
      <c r="H481" s="110"/>
      <c r="I481" s="74"/>
      <c r="J481" s="7"/>
      <c r="K481" s="74"/>
      <c r="L481" s="6"/>
      <c r="M481" s="74"/>
      <c r="N481" s="7"/>
      <c r="O481" s="7"/>
    </row>
    <row r="482" spans="2:15">
      <c r="B482" s="6"/>
      <c r="C482" s="6"/>
      <c r="D482" s="6"/>
      <c r="F482" s="74"/>
      <c r="G482" s="7"/>
      <c r="H482" s="110"/>
      <c r="I482" s="74"/>
      <c r="J482" s="7"/>
      <c r="K482" s="74"/>
      <c r="L482" s="6"/>
      <c r="M482" s="74"/>
      <c r="N482" s="7"/>
      <c r="O482" s="7"/>
    </row>
    <row r="483" spans="2:15">
      <c r="B483" s="6"/>
      <c r="C483" s="6"/>
      <c r="D483" s="6"/>
      <c r="F483" s="74"/>
      <c r="G483" s="7"/>
      <c r="H483" s="110"/>
      <c r="I483" s="74"/>
      <c r="J483" s="7"/>
      <c r="K483" s="74"/>
      <c r="L483" s="6"/>
      <c r="M483" s="74"/>
      <c r="N483" s="7"/>
      <c r="O483" s="7"/>
    </row>
    <row r="484" spans="2:15">
      <c r="B484" s="6"/>
      <c r="C484" s="6"/>
      <c r="D484" s="6"/>
      <c r="F484" s="74"/>
      <c r="G484" s="7"/>
      <c r="H484" s="110"/>
      <c r="I484" s="74"/>
      <c r="J484" s="7"/>
      <c r="K484" s="74"/>
      <c r="L484" s="6"/>
      <c r="M484" s="74"/>
      <c r="N484" s="7"/>
      <c r="O484" s="7"/>
    </row>
    <row r="485" spans="2:15">
      <c r="B485" s="6"/>
      <c r="C485" s="6"/>
      <c r="D485" s="6"/>
      <c r="F485" s="74"/>
      <c r="G485" s="7"/>
      <c r="H485" s="110"/>
      <c r="I485" s="74"/>
      <c r="J485" s="7"/>
      <c r="K485" s="74"/>
      <c r="L485" s="6"/>
      <c r="M485" s="74"/>
      <c r="N485" s="7"/>
      <c r="O485" s="7"/>
    </row>
    <row r="486" spans="2:15">
      <c r="B486" s="6"/>
      <c r="C486" s="6"/>
      <c r="D486" s="6"/>
      <c r="F486" s="74"/>
      <c r="G486" s="7"/>
      <c r="H486" s="110"/>
      <c r="I486" s="74"/>
      <c r="J486" s="7"/>
      <c r="K486" s="74"/>
      <c r="L486" s="6"/>
      <c r="M486" s="74"/>
      <c r="N486" s="7"/>
      <c r="O486" s="7"/>
    </row>
    <row r="487" spans="2:15">
      <c r="B487" s="6"/>
      <c r="C487" s="6"/>
      <c r="D487" s="6"/>
      <c r="F487" s="74"/>
      <c r="G487" s="7"/>
      <c r="H487" s="110"/>
      <c r="I487" s="74"/>
      <c r="J487" s="7"/>
      <c r="K487" s="74"/>
      <c r="L487" s="6"/>
      <c r="M487" s="74"/>
      <c r="N487" s="7"/>
      <c r="O487" s="7"/>
    </row>
    <row r="488" spans="2:15">
      <c r="B488" s="6"/>
      <c r="C488" s="6"/>
      <c r="D488" s="6"/>
      <c r="F488" s="74"/>
      <c r="G488" s="7"/>
      <c r="H488" s="110"/>
      <c r="I488" s="74"/>
      <c r="J488" s="7"/>
      <c r="K488" s="74"/>
      <c r="L488" s="6"/>
      <c r="M488" s="74"/>
      <c r="N488" s="7"/>
      <c r="O488" s="7"/>
    </row>
    <row r="489" spans="2:15">
      <c r="B489" s="6"/>
      <c r="C489" s="6"/>
      <c r="D489" s="6"/>
      <c r="F489" s="74"/>
      <c r="G489" s="7"/>
      <c r="H489" s="110"/>
      <c r="I489" s="74"/>
      <c r="J489" s="7"/>
      <c r="K489" s="74"/>
      <c r="L489" s="6"/>
      <c r="M489" s="74"/>
      <c r="N489" s="7"/>
      <c r="O489" s="7"/>
    </row>
    <row r="490" spans="2:15">
      <c r="B490" s="6"/>
      <c r="C490" s="6"/>
      <c r="D490" s="6"/>
      <c r="F490" s="74"/>
      <c r="G490" s="7"/>
      <c r="H490" s="110"/>
      <c r="I490" s="74"/>
      <c r="J490" s="7"/>
      <c r="K490" s="74"/>
      <c r="L490" s="6"/>
      <c r="M490" s="74"/>
      <c r="N490" s="7"/>
      <c r="O490" s="7"/>
    </row>
    <row r="491" spans="2:15">
      <c r="B491" s="6"/>
      <c r="C491" s="6"/>
      <c r="D491" s="6"/>
      <c r="F491" s="74"/>
      <c r="G491" s="7"/>
      <c r="H491" s="110"/>
      <c r="I491" s="74"/>
      <c r="J491" s="7"/>
      <c r="K491" s="74"/>
      <c r="L491" s="6"/>
      <c r="M491" s="74"/>
      <c r="N491" s="7"/>
      <c r="O491" s="7"/>
    </row>
    <row r="492" spans="2:15">
      <c r="B492" s="6"/>
      <c r="C492" s="6"/>
      <c r="D492" s="6"/>
      <c r="F492" s="74"/>
      <c r="G492" s="7"/>
      <c r="H492" s="110"/>
      <c r="I492" s="74"/>
      <c r="J492" s="7"/>
      <c r="K492" s="74"/>
      <c r="L492" s="6"/>
      <c r="M492" s="74"/>
      <c r="N492" s="7"/>
      <c r="O492" s="7"/>
    </row>
    <row r="493" spans="2:15">
      <c r="B493" s="6"/>
      <c r="C493" s="6"/>
      <c r="D493" s="6"/>
      <c r="F493" s="74"/>
      <c r="G493" s="7"/>
      <c r="H493" s="110"/>
      <c r="I493" s="74"/>
      <c r="J493" s="7"/>
      <c r="K493" s="74"/>
      <c r="L493" s="6"/>
      <c r="M493" s="74"/>
      <c r="N493" s="7"/>
      <c r="O493" s="7"/>
    </row>
    <row r="494" spans="2:15">
      <c r="B494" s="6"/>
      <c r="C494" s="6"/>
      <c r="D494" s="6"/>
      <c r="F494" s="74"/>
      <c r="G494" s="7"/>
      <c r="H494" s="110"/>
      <c r="I494" s="74"/>
      <c r="J494" s="7"/>
      <c r="K494" s="74"/>
      <c r="L494" s="6"/>
      <c r="M494" s="74"/>
      <c r="N494" s="7"/>
      <c r="O494" s="7"/>
    </row>
    <row r="495" spans="2:15">
      <c r="B495" s="6"/>
      <c r="C495" s="6"/>
      <c r="D495" s="6"/>
      <c r="F495" s="74"/>
      <c r="G495" s="7"/>
      <c r="H495" s="110"/>
      <c r="I495" s="74"/>
      <c r="J495" s="7"/>
      <c r="K495" s="74"/>
      <c r="L495" s="6"/>
      <c r="M495" s="74"/>
      <c r="N495" s="7"/>
      <c r="O495" s="7"/>
    </row>
    <row r="496" spans="2:15">
      <c r="B496" s="6"/>
      <c r="C496" s="6"/>
      <c r="D496" s="6"/>
      <c r="F496" s="74"/>
      <c r="G496" s="7"/>
      <c r="H496" s="110"/>
      <c r="I496" s="74"/>
      <c r="J496" s="7"/>
      <c r="K496" s="74"/>
      <c r="L496" s="6"/>
      <c r="M496" s="74"/>
      <c r="N496" s="7"/>
      <c r="O496" s="7"/>
    </row>
    <row r="497" spans="2:15">
      <c r="B497" s="6"/>
      <c r="C497" s="6"/>
      <c r="D497" s="6"/>
      <c r="F497" s="74"/>
      <c r="G497" s="7"/>
      <c r="H497" s="110"/>
      <c r="I497" s="74"/>
      <c r="J497" s="7"/>
      <c r="K497" s="74"/>
      <c r="L497" s="6"/>
      <c r="M497" s="74"/>
      <c r="N497" s="7"/>
      <c r="O497" s="7"/>
    </row>
    <row r="498" spans="2:15">
      <c r="B498" s="6"/>
      <c r="C498" s="6"/>
      <c r="D498" s="6"/>
      <c r="F498" s="74"/>
      <c r="G498" s="7"/>
      <c r="H498" s="110"/>
      <c r="I498" s="74"/>
      <c r="J498" s="7"/>
      <c r="K498" s="74"/>
      <c r="L498" s="6"/>
      <c r="M498" s="74"/>
      <c r="N498" s="7"/>
      <c r="O498" s="7"/>
    </row>
    <row r="499" spans="2:15">
      <c r="B499" s="6"/>
      <c r="C499" s="6"/>
      <c r="D499" s="6"/>
      <c r="F499" s="74"/>
      <c r="G499" s="7"/>
      <c r="H499" s="110"/>
      <c r="I499" s="74"/>
      <c r="J499" s="7"/>
      <c r="K499" s="74"/>
      <c r="L499" s="6"/>
      <c r="M499" s="74"/>
      <c r="N499" s="7"/>
      <c r="O499" s="7"/>
    </row>
    <row r="500" spans="2:15">
      <c r="B500" s="6"/>
      <c r="C500" s="6"/>
      <c r="D500" s="6"/>
      <c r="F500" s="74"/>
      <c r="G500" s="7"/>
      <c r="H500" s="110"/>
      <c r="I500" s="74"/>
      <c r="J500" s="7"/>
      <c r="K500" s="74"/>
      <c r="L500" s="6"/>
      <c r="M500" s="74"/>
      <c r="N500" s="7"/>
      <c r="O500" s="7"/>
    </row>
    <row r="501" spans="2:15">
      <c r="B501" s="6"/>
      <c r="C501" s="6"/>
      <c r="D501" s="6"/>
      <c r="F501" s="74"/>
      <c r="G501" s="7"/>
      <c r="H501" s="110"/>
      <c r="I501" s="74"/>
      <c r="J501" s="7"/>
      <c r="K501" s="74"/>
      <c r="L501" s="6"/>
      <c r="M501" s="74"/>
      <c r="N501" s="7"/>
      <c r="O501" s="7"/>
    </row>
    <row r="502" spans="2:15">
      <c r="B502" s="6"/>
      <c r="C502" s="6"/>
      <c r="D502" s="6"/>
      <c r="F502" s="74"/>
      <c r="G502" s="7"/>
      <c r="H502" s="110"/>
      <c r="I502" s="74"/>
      <c r="J502" s="7"/>
      <c r="K502" s="74"/>
      <c r="L502" s="6"/>
      <c r="M502" s="74"/>
      <c r="N502" s="7"/>
      <c r="O502" s="7"/>
    </row>
    <row r="503" spans="2:15">
      <c r="B503" s="6"/>
      <c r="C503" s="6"/>
      <c r="D503" s="6"/>
      <c r="F503" s="74"/>
      <c r="G503" s="7"/>
      <c r="H503" s="110"/>
      <c r="I503" s="74"/>
      <c r="J503" s="7"/>
      <c r="K503" s="74"/>
      <c r="L503" s="6"/>
      <c r="M503" s="74"/>
      <c r="N503" s="7"/>
      <c r="O503" s="7"/>
    </row>
    <row r="504" spans="2:15">
      <c r="B504" s="6"/>
      <c r="C504" s="6"/>
      <c r="D504" s="6"/>
      <c r="F504" s="74"/>
      <c r="G504" s="7"/>
      <c r="H504" s="110"/>
      <c r="I504" s="74"/>
      <c r="J504" s="7"/>
      <c r="K504" s="74"/>
      <c r="L504" s="6"/>
      <c r="M504" s="74"/>
      <c r="N504" s="7"/>
      <c r="O504" s="7"/>
    </row>
    <row r="505" spans="2:15">
      <c r="B505" s="6"/>
      <c r="C505" s="6"/>
      <c r="D505" s="6"/>
      <c r="F505" s="74"/>
      <c r="G505" s="7"/>
      <c r="H505" s="110"/>
      <c r="I505" s="74"/>
      <c r="J505" s="7"/>
      <c r="K505" s="74"/>
      <c r="L505" s="6"/>
      <c r="M505" s="74"/>
      <c r="N505" s="7"/>
      <c r="O505" s="7"/>
    </row>
    <row r="506" spans="2:15">
      <c r="B506" s="6"/>
      <c r="C506" s="6"/>
      <c r="D506" s="6"/>
      <c r="F506" s="74"/>
      <c r="G506" s="7"/>
      <c r="H506" s="110"/>
      <c r="I506" s="74"/>
      <c r="J506" s="7"/>
      <c r="K506" s="74"/>
      <c r="L506" s="6"/>
      <c r="M506" s="74"/>
      <c r="N506" s="7"/>
      <c r="O506" s="7"/>
    </row>
    <row r="507" spans="2:15">
      <c r="F507" s="43"/>
      <c r="G507" s="7"/>
      <c r="H507" s="110"/>
      <c r="I507" s="43"/>
      <c r="J507" s="7"/>
      <c r="K507" s="74"/>
      <c r="L507" s="1"/>
      <c r="M507" s="43"/>
      <c r="N507" s="7"/>
      <c r="O507" s="7"/>
    </row>
    <row r="508" spans="2:15">
      <c r="F508" s="43"/>
      <c r="G508" s="7"/>
      <c r="H508" s="110"/>
      <c r="I508" s="43"/>
      <c r="J508" s="7"/>
      <c r="K508" s="74"/>
      <c r="L508" s="1"/>
      <c r="M508" s="43"/>
      <c r="N508" s="7"/>
      <c r="O508" s="7"/>
    </row>
    <row r="509" spans="2:15">
      <c r="F509" s="43"/>
      <c r="G509" s="7"/>
      <c r="H509" s="110"/>
      <c r="I509" s="43"/>
      <c r="J509" s="7"/>
      <c r="K509" s="74"/>
      <c r="L509" s="1"/>
      <c r="M509" s="43"/>
      <c r="N509" s="7"/>
      <c r="O509" s="7"/>
    </row>
    <row r="510" spans="2:15">
      <c r="F510" s="43"/>
      <c r="G510" s="7"/>
      <c r="H510" s="110"/>
      <c r="I510" s="43"/>
      <c r="J510" s="7"/>
      <c r="K510" s="74"/>
      <c r="L510" s="1"/>
      <c r="M510" s="43"/>
      <c r="N510" s="7"/>
      <c r="O510" s="7"/>
    </row>
    <row r="511" spans="2:15">
      <c r="F511" s="43"/>
      <c r="G511" s="7"/>
      <c r="H511" s="110"/>
      <c r="I511" s="43"/>
      <c r="J511" s="7"/>
      <c r="K511" s="74"/>
      <c r="L511" s="1"/>
      <c r="M511" s="43"/>
      <c r="N511" s="7"/>
      <c r="O511" s="7"/>
    </row>
    <row r="512" spans="2:15">
      <c r="F512" s="43"/>
      <c r="G512" s="7"/>
      <c r="H512" s="110"/>
      <c r="I512" s="43"/>
      <c r="J512" s="7"/>
      <c r="K512" s="74"/>
      <c r="L512" s="1"/>
      <c r="M512" s="43"/>
      <c r="N512" s="7"/>
      <c r="O512" s="7"/>
    </row>
    <row r="513" spans="6:15">
      <c r="F513" s="43"/>
      <c r="G513" s="7"/>
      <c r="H513" s="110"/>
      <c r="I513" s="43"/>
      <c r="J513" s="7"/>
      <c r="K513" s="74"/>
      <c r="L513" s="1"/>
      <c r="M513" s="43"/>
      <c r="N513" s="7"/>
      <c r="O513" s="7"/>
    </row>
    <row r="514" spans="6:15">
      <c r="F514" s="43"/>
      <c r="G514" s="7"/>
      <c r="H514" s="110"/>
      <c r="I514" s="43"/>
      <c r="J514" s="7"/>
      <c r="K514" s="74"/>
      <c r="L514" s="1"/>
      <c r="M514" s="43"/>
      <c r="N514" s="7"/>
      <c r="O514" s="7"/>
    </row>
    <row r="515" spans="6:15">
      <c r="F515" s="43"/>
      <c r="G515" s="7"/>
      <c r="H515" s="110"/>
      <c r="I515" s="43"/>
      <c r="J515" s="7"/>
      <c r="K515" s="74"/>
      <c r="L515" s="1"/>
      <c r="M515" s="43"/>
      <c r="N515" s="7"/>
      <c r="O515" s="7"/>
    </row>
    <row r="516" spans="6:15">
      <c r="F516" s="43"/>
      <c r="G516" s="7"/>
      <c r="H516" s="110"/>
      <c r="I516" s="43"/>
      <c r="J516" s="7"/>
      <c r="K516" s="74"/>
      <c r="L516" s="1"/>
      <c r="M516" s="43"/>
      <c r="N516" s="7"/>
      <c r="O516" s="7"/>
    </row>
    <row r="517" spans="6:15">
      <c r="F517" s="43"/>
      <c r="G517" s="7"/>
      <c r="H517" s="110"/>
      <c r="I517" s="43"/>
      <c r="J517" s="7"/>
      <c r="K517" s="74"/>
      <c r="L517" s="1"/>
      <c r="M517" s="43"/>
      <c r="N517" s="7"/>
      <c r="O517" s="7"/>
    </row>
    <row r="518" spans="6:15">
      <c r="F518" s="43"/>
      <c r="G518" s="7"/>
      <c r="H518" s="110"/>
      <c r="I518" s="43"/>
      <c r="J518" s="7"/>
      <c r="K518" s="74"/>
      <c r="L518" s="1"/>
      <c r="M518" s="43"/>
      <c r="N518" s="7"/>
      <c r="O518" s="7"/>
    </row>
    <row r="519" spans="6:15">
      <c r="F519" s="43"/>
      <c r="G519" s="7"/>
      <c r="H519" s="110"/>
      <c r="I519" s="43"/>
      <c r="J519" s="7"/>
      <c r="K519" s="74"/>
      <c r="L519" s="1"/>
      <c r="M519" s="43"/>
      <c r="N519" s="7"/>
      <c r="O519" s="7"/>
    </row>
    <row r="520" spans="6:15">
      <c r="F520" s="43"/>
      <c r="G520" s="7"/>
      <c r="H520" s="110"/>
      <c r="I520" s="43"/>
      <c r="J520" s="7"/>
      <c r="K520" s="74"/>
      <c r="L520" s="1"/>
      <c r="M520" s="43"/>
      <c r="N520" s="7"/>
      <c r="O520" s="7"/>
    </row>
    <row r="521" spans="6:15">
      <c r="F521" s="43"/>
      <c r="G521" s="7"/>
      <c r="H521" s="110"/>
      <c r="I521" s="43"/>
      <c r="J521" s="7"/>
      <c r="K521" s="74"/>
      <c r="L521" s="1"/>
      <c r="M521" s="43"/>
      <c r="N521" s="7"/>
      <c r="O521" s="7"/>
    </row>
    <row r="522" spans="6:15">
      <c r="F522" s="43"/>
      <c r="G522" s="7"/>
      <c r="H522" s="110"/>
      <c r="I522" s="43"/>
      <c r="J522" s="7"/>
      <c r="K522" s="74"/>
      <c r="L522" s="1"/>
      <c r="M522" s="43"/>
      <c r="N522" s="7"/>
      <c r="O522" s="7"/>
    </row>
    <row r="523" spans="6:15">
      <c r="F523" s="43"/>
      <c r="G523" s="7"/>
      <c r="H523" s="110"/>
      <c r="I523" s="43"/>
      <c r="J523" s="7"/>
      <c r="K523" s="74"/>
      <c r="L523" s="1"/>
      <c r="M523" s="43"/>
      <c r="N523" s="7"/>
      <c r="O523" s="7"/>
    </row>
    <row r="524" spans="6:15">
      <c r="F524" s="43"/>
      <c r="G524" s="7"/>
      <c r="H524" s="110"/>
      <c r="I524" s="43"/>
      <c r="J524" s="7"/>
      <c r="K524" s="74"/>
      <c r="L524" s="1"/>
      <c r="M524" s="43"/>
      <c r="N524" s="7"/>
      <c r="O524" s="7"/>
    </row>
    <row r="525" spans="6:15">
      <c r="F525" s="43"/>
      <c r="G525" s="7"/>
      <c r="H525" s="110"/>
      <c r="I525" s="43"/>
      <c r="J525" s="7"/>
      <c r="K525" s="74"/>
      <c r="L525" s="1"/>
      <c r="M525" s="43"/>
      <c r="N525" s="7"/>
      <c r="O525" s="7"/>
    </row>
    <row r="526" spans="6:15">
      <c r="F526" s="43"/>
      <c r="G526" s="7"/>
      <c r="H526" s="110"/>
      <c r="I526" s="43"/>
      <c r="J526" s="7"/>
      <c r="K526" s="74"/>
      <c r="L526" s="1"/>
      <c r="M526" s="43"/>
      <c r="N526" s="7"/>
      <c r="O526" s="7"/>
    </row>
    <row r="527" spans="6:15">
      <c r="F527" s="43"/>
      <c r="G527" s="7"/>
      <c r="H527" s="110"/>
      <c r="I527" s="43"/>
      <c r="J527" s="7"/>
      <c r="K527" s="74"/>
      <c r="L527" s="1"/>
      <c r="M527" s="43"/>
      <c r="N527" s="7"/>
      <c r="O527" s="7"/>
    </row>
    <row r="528" spans="6:15">
      <c r="F528" s="43"/>
      <c r="G528" s="7"/>
      <c r="H528" s="110"/>
      <c r="I528" s="43"/>
      <c r="J528" s="7"/>
      <c r="K528" s="74"/>
      <c r="L528" s="1"/>
      <c r="M528" s="43"/>
      <c r="N528" s="7"/>
      <c r="O528" s="7"/>
    </row>
    <row r="529" spans="6:15">
      <c r="F529" s="43"/>
      <c r="G529" s="7"/>
      <c r="H529" s="110"/>
      <c r="I529" s="43"/>
      <c r="J529" s="7"/>
      <c r="K529" s="74"/>
      <c r="L529" s="1"/>
      <c r="M529" s="43"/>
      <c r="N529" s="7"/>
      <c r="O529" s="7"/>
    </row>
    <row r="530" spans="6:15">
      <c r="F530" s="43"/>
      <c r="G530" s="7"/>
      <c r="H530" s="110"/>
      <c r="I530" s="43"/>
      <c r="J530" s="7"/>
      <c r="K530" s="74"/>
      <c r="L530" s="1"/>
      <c r="M530" s="43"/>
      <c r="N530" s="7"/>
      <c r="O530" s="7"/>
    </row>
    <row r="531" spans="6:15">
      <c r="F531" s="43"/>
      <c r="G531" s="7"/>
      <c r="H531" s="110"/>
      <c r="I531" s="43"/>
      <c r="J531" s="7"/>
      <c r="K531" s="74"/>
      <c r="L531" s="1"/>
      <c r="M531" s="43"/>
      <c r="N531" s="7"/>
      <c r="O531" s="7"/>
    </row>
    <row r="532" spans="6:15">
      <c r="F532" s="43"/>
      <c r="G532" s="7"/>
      <c r="H532" s="110"/>
      <c r="I532" s="43"/>
      <c r="J532" s="7"/>
      <c r="K532" s="74"/>
      <c r="L532" s="1"/>
      <c r="M532" s="43"/>
      <c r="N532" s="7"/>
      <c r="O532" s="7"/>
    </row>
    <row r="533" spans="6:15">
      <c r="F533" s="43"/>
      <c r="G533" s="7"/>
      <c r="H533" s="110"/>
      <c r="I533" s="43"/>
      <c r="J533" s="7"/>
      <c r="K533" s="74"/>
      <c r="L533" s="1"/>
      <c r="M533" s="43"/>
      <c r="N533" s="7"/>
      <c r="O533" s="7"/>
    </row>
    <row r="534" spans="6:15">
      <c r="F534" s="43"/>
      <c r="G534" s="7"/>
      <c r="H534" s="110"/>
      <c r="I534" s="43"/>
      <c r="J534" s="7"/>
      <c r="K534" s="74"/>
      <c r="L534" s="1"/>
      <c r="M534" s="43"/>
      <c r="N534" s="7"/>
      <c r="O534" s="7"/>
    </row>
    <row r="535" spans="6:15">
      <c r="F535" s="43"/>
      <c r="G535" s="7"/>
      <c r="H535" s="110"/>
      <c r="I535" s="43"/>
      <c r="J535" s="7"/>
      <c r="K535" s="74"/>
      <c r="L535" s="1"/>
      <c r="M535" s="43"/>
      <c r="N535" s="7"/>
      <c r="O535" s="7"/>
    </row>
    <row r="536" spans="6:15">
      <c r="F536" s="43"/>
      <c r="G536" s="7"/>
      <c r="H536" s="110"/>
      <c r="I536" s="43"/>
      <c r="J536" s="7"/>
      <c r="K536" s="74"/>
      <c r="L536" s="1"/>
      <c r="M536" s="43"/>
      <c r="N536" s="7"/>
      <c r="O536" s="7"/>
    </row>
    <row r="537" spans="6:15">
      <c r="F537" s="43"/>
      <c r="G537" s="7"/>
      <c r="H537" s="110"/>
      <c r="I537" s="43"/>
      <c r="J537" s="7"/>
      <c r="K537" s="74"/>
      <c r="L537" s="1"/>
      <c r="M537" s="43"/>
      <c r="N537" s="7"/>
      <c r="O537" s="7"/>
    </row>
    <row r="538" spans="6:15">
      <c r="F538" s="43"/>
      <c r="G538" s="7"/>
      <c r="H538" s="110"/>
      <c r="I538" s="43"/>
      <c r="J538" s="7"/>
      <c r="K538" s="74"/>
      <c r="L538" s="1"/>
      <c r="M538" s="43"/>
      <c r="N538" s="7"/>
      <c r="O538" s="7"/>
    </row>
    <row r="539" spans="6:15">
      <c r="F539" s="43"/>
      <c r="G539" s="7"/>
      <c r="H539" s="110"/>
      <c r="I539" s="43"/>
      <c r="J539" s="7"/>
      <c r="K539" s="74"/>
      <c r="L539" s="1"/>
      <c r="M539" s="43"/>
      <c r="N539" s="7"/>
      <c r="O539" s="7"/>
    </row>
    <row r="540" spans="6:15">
      <c r="F540" s="43"/>
      <c r="G540" s="7"/>
      <c r="H540" s="110"/>
      <c r="I540" s="43"/>
      <c r="J540" s="7"/>
      <c r="K540" s="74"/>
      <c r="L540" s="1"/>
      <c r="M540" s="43"/>
      <c r="N540" s="7"/>
      <c r="O540" s="7"/>
    </row>
    <row r="541" spans="6:15">
      <c r="F541" s="43"/>
      <c r="G541" s="7"/>
      <c r="H541" s="110"/>
      <c r="I541" s="43"/>
      <c r="J541" s="7"/>
      <c r="K541" s="74"/>
      <c r="L541" s="1"/>
      <c r="M541" s="43"/>
      <c r="N541" s="7"/>
      <c r="O541" s="7"/>
    </row>
    <row r="542" spans="6:15">
      <c r="F542" s="43"/>
      <c r="G542" s="7"/>
      <c r="H542" s="110"/>
      <c r="I542" s="43"/>
      <c r="J542" s="7"/>
      <c r="K542" s="74"/>
      <c r="L542" s="1"/>
      <c r="M542" s="43"/>
      <c r="N542" s="7"/>
      <c r="O542" s="7"/>
    </row>
    <row r="543" spans="6:15">
      <c r="F543" s="43"/>
      <c r="G543" s="7"/>
      <c r="H543" s="110"/>
      <c r="I543" s="43"/>
      <c r="J543" s="7"/>
      <c r="K543" s="74"/>
      <c r="L543" s="1"/>
      <c r="M543" s="43"/>
      <c r="N543" s="7"/>
      <c r="O543" s="7"/>
    </row>
    <row r="544" spans="6:15">
      <c r="F544" s="43"/>
      <c r="G544" s="7"/>
      <c r="H544" s="110"/>
      <c r="I544" s="43"/>
      <c r="J544" s="7"/>
      <c r="K544" s="74"/>
      <c r="L544" s="1"/>
      <c r="M544" s="43"/>
      <c r="N544" s="7"/>
      <c r="O544" s="7"/>
    </row>
    <row r="545" spans="6:15">
      <c r="F545" s="43"/>
      <c r="G545" s="7"/>
      <c r="H545" s="110"/>
      <c r="I545" s="43"/>
      <c r="J545" s="7"/>
      <c r="K545" s="74"/>
      <c r="L545" s="1"/>
      <c r="M545" s="43"/>
      <c r="N545" s="7"/>
      <c r="O545" s="7"/>
    </row>
    <row r="546" spans="6:15">
      <c r="F546" s="43"/>
      <c r="G546" s="7"/>
      <c r="H546" s="110"/>
      <c r="I546" s="43"/>
      <c r="J546" s="7"/>
      <c r="K546" s="74"/>
      <c r="L546" s="1"/>
      <c r="M546" s="43"/>
      <c r="N546" s="7"/>
      <c r="O546" s="7"/>
    </row>
    <row r="547" spans="6:15">
      <c r="F547" s="43"/>
      <c r="G547" s="7"/>
      <c r="H547" s="110"/>
      <c r="I547" s="43"/>
      <c r="J547" s="7"/>
      <c r="K547" s="74"/>
      <c r="L547" s="1"/>
      <c r="M547" s="43"/>
      <c r="N547" s="7"/>
      <c r="O547" s="7"/>
    </row>
    <row r="548" spans="6:15">
      <c r="F548" s="43"/>
      <c r="G548" s="7"/>
      <c r="H548" s="110"/>
      <c r="I548" s="43"/>
      <c r="J548" s="7"/>
      <c r="K548" s="74"/>
      <c r="L548" s="1"/>
      <c r="M548" s="43"/>
      <c r="N548" s="7"/>
      <c r="O548" s="7"/>
    </row>
    <row r="549" spans="6:15">
      <c r="F549" s="43"/>
      <c r="G549" s="7"/>
      <c r="H549" s="110"/>
      <c r="I549" s="43"/>
      <c r="J549" s="7"/>
      <c r="K549" s="74"/>
      <c r="L549" s="1"/>
      <c r="M549" s="43"/>
      <c r="N549" s="7"/>
      <c r="O549" s="7"/>
    </row>
    <row r="550" spans="6:15">
      <c r="F550" s="43"/>
      <c r="G550" s="7"/>
      <c r="H550" s="110"/>
      <c r="I550" s="43"/>
      <c r="J550" s="7"/>
      <c r="K550" s="74"/>
      <c r="L550" s="1"/>
      <c r="M550" s="43"/>
      <c r="N550" s="7"/>
      <c r="O550" s="7"/>
    </row>
    <row r="551" spans="6:15">
      <c r="F551" s="43"/>
      <c r="G551" s="7"/>
      <c r="H551" s="110"/>
      <c r="I551" s="43"/>
      <c r="J551" s="7"/>
      <c r="K551" s="74"/>
      <c r="L551" s="1"/>
      <c r="M551" s="43"/>
      <c r="N551" s="7"/>
      <c r="O551" s="7"/>
    </row>
    <row r="552" spans="6:15">
      <c r="F552" s="43"/>
      <c r="G552" s="7"/>
      <c r="H552" s="110"/>
      <c r="I552" s="43"/>
      <c r="J552" s="7"/>
      <c r="K552" s="74"/>
      <c r="L552" s="1"/>
      <c r="M552" s="43"/>
      <c r="N552" s="7"/>
      <c r="O552" s="7"/>
    </row>
    <row r="553" spans="6:15">
      <c r="F553" s="43"/>
      <c r="G553" s="7"/>
      <c r="H553" s="110"/>
      <c r="I553" s="43"/>
      <c r="J553" s="7"/>
      <c r="K553" s="74"/>
      <c r="L553" s="1"/>
      <c r="M553" s="43"/>
      <c r="N553" s="7"/>
      <c r="O553" s="7"/>
    </row>
    <row r="554" spans="6:15">
      <c r="F554" s="43"/>
      <c r="G554" s="7"/>
      <c r="H554" s="110"/>
      <c r="I554" s="43"/>
      <c r="J554" s="7"/>
      <c r="K554" s="74"/>
      <c r="L554" s="1"/>
      <c r="M554" s="43"/>
      <c r="N554" s="7"/>
      <c r="O554" s="7"/>
    </row>
    <row r="555" spans="6:15">
      <c r="F555" s="43"/>
      <c r="G555" s="7"/>
      <c r="H555" s="110"/>
      <c r="I555" s="43"/>
      <c r="J555" s="7"/>
      <c r="K555" s="74"/>
      <c r="L555" s="1"/>
      <c r="M555" s="43"/>
      <c r="N555" s="7"/>
      <c r="O555" s="7"/>
    </row>
    <row r="556" spans="6:15">
      <c r="F556" s="43"/>
      <c r="G556" s="7"/>
      <c r="H556" s="110"/>
      <c r="I556" s="43"/>
      <c r="J556" s="7"/>
      <c r="K556" s="74"/>
      <c r="L556" s="1"/>
      <c r="M556" s="43"/>
      <c r="N556" s="7"/>
      <c r="O556" s="7"/>
    </row>
    <row r="557" spans="6:15">
      <c r="F557" s="43"/>
      <c r="G557" s="7"/>
      <c r="H557" s="110"/>
      <c r="I557" s="43"/>
      <c r="J557" s="7"/>
      <c r="K557" s="74"/>
      <c r="L557" s="1"/>
      <c r="M557" s="43"/>
      <c r="N557" s="7"/>
      <c r="O557" s="7"/>
    </row>
    <row r="558" spans="6:15">
      <c r="F558" s="43"/>
      <c r="G558" s="7"/>
      <c r="H558" s="110"/>
      <c r="I558" s="43"/>
      <c r="J558" s="7"/>
      <c r="K558" s="74"/>
      <c r="L558" s="1"/>
      <c r="M558" s="43"/>
      <c r="N558" s="7"/>
      <c r="O558" s="7"/>
    </row>
    <row r="559" spans="6:15">
      <c r="F559" s="43"/>
      <c r="G559" s="7"/>
      <c r="H559" s="110"/>
      <c r="I559" s="43"/>
      <c r="J559" s="7"/>
      <c r="K559" s="74"/>
      <c r="L559" s="1"/>
      <c r="M559" s="43"/>
      <c r="N559" s="7"/>
      <c r="O559" s="7"/>
    </row>
    <row r="560" spans="6:15">
      <c r="F560" s="43"/>
      <c r="G560" s="7"/>
      <c r="H560" s="110"/>
      <c r="I560" s="43"/>
      <c r="J560" s="7"/>
      <c r="K560" s="74"/>
      <c r="L560" s="1"/>
      <c r="M560" s="43"/>
      <c r="N560" s="7"/>
      <c r="O560" s="7"/>
    </row>
    <row r="561" spans="6:15">
      <c r="F561" s="43"/>
      <c r="G561" s="7"/>
      <c r="H561" s="110"/>
      <c r="I561" s="43"/>
      <c r="J561" s="7"/>
      <c r="K561" s="74"/>
      <c r="L561" s="1"/>
      <c r="M561" s="43"/>
      <c r="N561" s="7"/>
      <c r="O561" s="7"/>
    </row>
    <row r="562" spans="6:15">
      <c r="F562" s="43"/>
      <c r="G562" s="7"/>
      <c r="H562" s="110"/>
      <c r="I562" s="43"/>
      <c r="J562" s="7"/>
      <c r="K562" s="74"/>
      <c r="L562" s="1"/>
      <c r="M562" s="43"/>
      <c r="N562" s="7"/>
      <c r="O562" s="7"/>
    </row>
    <row r="563" spans="6:15">
      <c r="F563" s="43"/>
      <c r="G563" s="7"/>
      <c r="H563" s="110"/>
      <c r="I563" s="43"/>
      <c r="J563" s="7"/>
      <c r="K563" s="74"/>
      <c r="L563" s="1"/>
      <c r="M563" s="43"/>
      <c r="N563" s="7"/>
      <c r="O563" s="7"/>
    </row>
    <row r="564" spans="6:15">
      <c r="F564" s="43"/>
      <c r="G564" s="7"/>
      <c r="H564" s="110"/>
      <c r="I564" s="43"/>
      <c r="J564" s="7"/>
      <c r="K564" s="74"/>
      <c r="L564" s="1"/>
      <c r="M564" s="43"/>
      <c r="N564" s="7"/>
      <c r="O564" s="7"/>
    </row>
    <row r="565" spans="6:15">
      <c r="F565" s="43"/>
      <c r="G565" s="7"/>
      <c r="H565" s="110"/>
      <c r="I565" s="43"/>
      <c r="J565" s="7"/>
      <c r="K565" s="74"/>
      <c r="L565" s="1"/>
      <c r="M565" s="43"/>
      <c r="N565" s="7"/>
      <c r="O565" s="7"/>
    </row>
    <row r="566" spans="6:15">
      <c r="F566" s="43"/>
      <c r="G566" s="7"/>
      <c r="H566" s="110"/>
      <c r="I566" s="43"/>
      <c r="J566" s="7"/>
      <c r="K566" s="74"/>
      <c r="L566" s="1"/>
      <c r="M566" s="43"/>
      <c r="N566" s="7"/>
      <c r="O566" s="7"/>
    </row>
    <row r="567" spans="6:15">
      <c r="F567" s="43"/>
      <c r="G567" s="7"/>
      <c r="H567" s="110"/>
      <c r="I567" s="43"/>
      <c r="J567" s="7"/>
      <c r="K567" s="74"/>
      <c r="L567" s="1"/>
      <c r="M567" s="43"/>
      <c r="N567" s="7"/>
      <c r="O567" s="7"/>
    </row>
    <row r="568" spans="6:15">
      <c r="F568" s="43"/>
      <c r="G568" s="7"/>
      <c r="H568" s="110"/>
      <c r="I568" s="43"/>
      <c r="J568" s="7"/>
      <c r="K568" s="74"/>
      <c r="L568" s="1"/>
      <c r="M568" s="43"/>
      <c r="N568" s="7"/>
      <c r="O568" s="7"/>
    </row>
    <row r="569" spans="6:15">
      <c r="F569" s="43"/>
      <c r="G569" s="7"/>
      <c r="H569" s="110"/>
      <c r="I569" s="43"/>
      <c r="J569" s="7"/>
      <c r="K569" s="74"/>
      <c r="L569" s="1"/>
      <c r="M569" s="43"/>
      <c r="N569" s="7"/>
      <c r="O569" s="7"/>
    </row>
    <row r="570" spans="6:15">
      <c r="F570" s="43"/>
      <c r="G570" s="7"/>
      <c r="H570" s="110"/>
      <c r="I570" s="43"/>
      <c r="J570" s="7"/>
      <c r="K570" s="74"/>
      <c r="L570" s="1"/>
      <c r="M570" s="43"/>
      <c r="N570" s="7"/>
      <c r="O570" s="7"/>
    </row>
    <row r="571" spans="6:15">
      <c r="F571" s="43"/>
      <c r="G571" s="7"/>
      <c r="H571" s="110"/>
      <c r="I571" s="43"/>
      <c r="J571" s="7"/>
      <c r="K571" s="74"/>
      <c r="L571" s="1"/>
      <c r="M571" s="43"/>
      <c r="N571" s="7"/>
      <c r="O571" s="7"/>
    </row>
    <row r="572" spans="6:15">
      <c r="F572" s="43"/>
      <c r="G572" s="7"/>
      <c r="H572" s="110"/>
      <c r="I572" s="43"/>
      <c r="J572" s="7"/>
      <c r="K572" s="74"/>
      <c r="L572" s="1"/>
      <c r="M572" s="43"/>
      <c r="N572" s="7"/>
      <c r="O572" s="7"/>
    </row>
    <row r="573" spans="6:15">
      <c r="F573" s="43"/>
      <c r="G573" s="7"/>
      <c r="H573" s="110"/>
      <c r="I573" s="43"/>
      <c r="J573" s="7"/>
      <c r="K573" s="74"/>
      <c r="L573" s="1"/>
      <c r="M573" s="43"/>
      <c r="N573" s="7"/>
      <c r="O573" s="7"/>
    </row>
    <row r="574" spans="6:15">
      <c r="F574" s="43"/>
      <c r="G574" s="7"/>
      <c r="H574" s="110"/>
      <c r="I574" s="43"/>
      <c r="J574" s="7"/>
      <c r="K574" s="74"/>
      <c r="L574" s="1"/>
      <c r="M574" s="43"/>
      <c r="N574" s="7"/>
      <c r="O574" s="7"/>
    </row>
    <row r="575" spans="6:15">
      <c r="F575" s="43"/>
      <c r="G575" s="7"/>
      <c r="H575" s="110"/>
      <c r="I575" s="43"/>
      <c r="J575" s="7"/>
      <c r="K575" s="74"/>
      <c r="L575" s="1"/>
      <c r="M575" s="43"/>
      <c r="N575" s="7"/>
      <c r="O575" s="7"/>
    </row>
    <row r="576" spans="6:15">
      <c r="F576" s="43"/>
      <c r="G576" s="7"/>
      <c r="H576" s="110"/>
      <c r="I576" s="43"/>
      <c r="J576" s="7"/>
      <c r="K576" s="74"/>
      <c r="L576" s="1"/>
      <c r="M576" s="43"/>
      <c r="N576" s="7"/>
      <c r="O576" s="7"/>
    </row>
    <row r="577" spans="6:15">
      <c r="F577" s="43"/>
      <c r="G577" s="7"/>
      <c r="H577" s="110"/>
      <c r="I577" s="43"/>
      <c r="J577" s="7"/>
      <c r="K577" s="74"/>
      <c r="L577" s="1"/>
      <c r="M577" s="43"/>
      <c r="N577" s="7"/>
      <c r="O577" s="7"/>
    </row>
    <row r="578" spans="6:15">
      <c r="F578" s="43"/>
      <c r="G578" s="7"/>
      <c r="H578" s="110"/>
      <c r="I578" s="43"/>
      <c r="J578" s="7"/>
      <c r="K578" s="74"/>
      <c r="L578" s="1"/>
      <c r="M578" s="43"/>
      <c r="N578" s="7"/>
      <c r="O578" s="7"/>
    </row>
    <row r="579" spans="6:15">
      <c r="F579" s="43"/>
      <c r="G579" s="7"/>
      <c r="H579" s="110"/>
      <c r="I579" s="43"/>
      <c r="J579" s="7"/>
      <c r="K579" s="74"/>
      <c r="L579" s="1"/>
      <c r="M579" s="43"/>
      <c r="N579" s="7"/>
      <c r="O579" s="7"/>
    </row>
    <row r="580" spans="6:15">
      <c r="F580" s="43"/>
      <c r="G580" s="7"/>
      <c r="H580" s="110"/>
      <c r="I580" s="43"/>
      <c r="J580" s="7"/>
      <c r="K580" s="74"/>
      <c r="L580" s="1"/>
      <c r="M580" s="43"/>
      <c r="N580" s="7"/>
      <c r="O580" s="7"/>
    </row>
    <row r="581" spans="6:15">
      <c r="F581" s="43"/>
      <c r="G581" s="7"/>
      <c r="H581" s="110"/>
      <c r="I581" s="43"/>
      <c r="J581" s="7"/>
      <c r="K581" s="74"/>
      <c r="L581" s="1"/>
      <c r="M581" s="43"/>
      <c r="N581" s="7"/>
      <c r="O581" s="7"/>
    </row>
    <row r="582" spans="6:15">
      <c r="F582" s="43"/>
      <c r="G582" s="7"/>
      <c r="H582" s="110"/>
      <c r="I582" s="43"/>
      <c r="J582" s="7"/>
      <c r="K582" s="74"/>
      <c r="L582" s="1"/>
      <c r="M582" s="43"/>
      <c r="N582" s="7"/>
      <c r="O582" s="7"/>
    </row>
    <row r="583" spans="6:15">
      <c r="F583" s="43"/>
      <c r="G583" s="7"/>
      <c r="H583" s="110"/>
      <c r="I583" s="43"/>
      <c r="J583" s="7"/>
      <c r="K583" s="74"/>
      <c r="L583" s="1"/>
      <c r="M583" s="43"/>
      <c r="N583" s="7"/>
      <c r="O583" s="7"/>
    </row>
    <row r="584" spans="6:15">
      <c r="F584" s="43"/>
      <c r="G584" s="7"/>
      <c r="H584" s="110"/>
      <c r="I584" s="43"/>
      <c r="J584" s="7"/>
      <c r="K584" s="74"/>
      <c r="L584" s="1"/>
      <c r="M584" s="43"/>
      <c r="N584" s="7"/>
      <c r="O584" s="7"/>
    </row>
    <row r="585" spans="6:15">
      <c r="F585" s="43"/>
      <c r="G585" s="7"/>
      <c r="H585" s="110"/>
      <c r="I585" s="43"/>
      <c r="J585" s="7"/>
      <c r="K585" s="74"/>
      <c r="L585" s="1"/>
      <c r="M585" s="43"/>
      <c r="N585" s="7"/>
      <c r="O585" s="7"/>
    </row>
    <row r="586" spans="6:15">
      <c r="F586" s="43"/>
      <c r="G586" s="7"/>
      <c r="H586" s="110"/>
      <c r="I586" s="43"/>
      <c r="J586" s="7"/>
      <c r="K586" s="74"/>
      <c r="L586" s="1"/>
      <c r="M586" s="43"/>
      <c r="N586" s="7"/>
      <c r="O586" s="7"/>
    </row>
    <row r="587" spans="6:15">
      <c r="F587" s="43"/>
      <c r="G587" s="7"/>
      <c r="H587" s="110"/>
      <c r="I587" s="43"/>
      <c r="J587" s="7"/>
      <c r="K587" s="74"/>
      <c r="L587" s="1"/>
      <c r="M587" s="43"/>
      <c r="N587" s="7"/>
      <c r="O587" s="7"/>
    </row>
    <row r="588" spans="6:15">
      <c r="F588" s="43"/>
      <c r="G588" s="7"/>
      <c r="H588" s="110"/>
      <c r="I588" s="43"/>
      <c r="J588" s="7"/>
      <c r="K588" s="74"/>
      <c r="L588" s="1"/>
      <c r="M588" s="43"/>
      <c r="N588" s="7"/>
      <c r="O588" s="7"/>
    </row>
    <row r="589" spans="6:15">
      <c r="F589" s="43"/>
      <c r="G589" s="7"/>
      <c r="H589" s="110"/>
      <c r="I589" s="43"/>
      <c r="J589" s="7"/>
      <c r="K589" s="74"/>
      <c r="L589" s="1"/>
      <c r="M589" s="43"/>
      <c r="N589" s="7"/>
      <c r="O589" s="7"/>
    </row>
    <row r="590" spans="6:15">
      <c r="F590" s="43"/>
      <c r="G590" s="7"/>
      <c r="H590" s="110"/>
      <c r="I590" s="43"/>
      <c r="J590" s="7"/>
      <c r="K590" s="74"/>
      <c r="L590" s="1"/>
      <c r="M590" s="43"/>
      <c r="N590" s="7"/>
      <c r="O590" s="7"/>
    </row>
    <row r="591" spans="6:15">
      <c r="F591" s="43"/>
      <c r="G591" s="7"/>
      <c r="H591" s="110"/>
      <c r="I591" s="43"/>
      <c r="J591" s="7"/>
      <c r="K591" s="74"/>
      <c r="L591" s="1"/>
      <c r="M591" s="43"/>
      <c r="N591" s="7"/>
      <c r="O591" s="7"/>
    </row>
    <row r="592" spans="6:15">
      <c r="F592" s="43"/>
      <c r="G592" s="7"/>
      <c r="H592" s="110"/>
      <c r="I592" s="43"/>
      <c r="J592" s="7"/>
      <c r="K592" s="74"/>
      <c r="L592" s="1"/>
      <c r="M592" s="43"/>
      <c r="N592" s="7"/>
      <c r="O592" s="7"/>
    </row>
    <row r="593" spans="6:15">
      <c r="F593" s="43"/>
      <c r="G593" s="7"/>
      <c r="H593" s="110"/>
      <c r="I593" s="43"/>
      <c r="J593" s="7"/>
      <c r="K593" s="74"/>
      <c r="L593" s="1"/>
      <c r="M593" s="43"/>
      <c r="N593" s="7"/>
      <c r="O593" s="7"/>
    </row>
    <row r="594" spans="6:15">
      <c r="F594" s="43"/>
      <c r="G594" s="7"/>
      <c r="H594" s="110"/>
      <c r="I594" s="43"/>
      <c r="J594" s="7"/>
      <c r="K594" s="74"/>
      <c r="L594" s="1"/>
      <c r="M594" s="43"/>
      <c r="N594" s="7"/>
      <c r="O594" s="7"/>
    </row>
    <row r="595" spans="6:15">
      <c r="F595" s="43"/>
      <c r="G595" s="7"/>
      <c r="H595" s="110"/>
      <c r="I595" s="43"/>
      <c r="J595" s="7"/>
      <c r="K595" s="74"/>
      <c r="L595" s="1"/>
      <c r="M595" s="43"/>
      <c r="N595" s="7"/>
      <c r="O595" s="7"/>
    </row>
    <row r="596" spans="6:15">
      <c r="F596" s="43"/>
      <c r="G596" s="7"/>
      <c r="H596" s="110"/>
      <c r="I596" s="43"/>
      <c r="J596" s="7"/>
      <c r="K596" s="74"/>
      <c r="L596" s="1"/>
      <c r="M596" s="43"/>
      <c r="N596" s="7"/>
      <c r="O596" s="7"/>
    </row>
    <row r="597" spans="6:15">
      <c r="F597" s="43"/>
      <c r="G597" s="7"/>
      <c r="H597" s="110"/>
      <c r="I597" s="43"/>
      <c r="J597" s="7"/>
      <c r="K597" s="74"/>
      <c r="L597" s="1"/>
      <c r="M597" s="43"/>
      <c r="N597" s="7"/>
      <c r="O597" s="7"/>
    </row>
    <row r="598" spans="6:15">
      <c r="F598" s="43"/>
      <c r="G598" s="7"/>
      <c r="H598" s="110"/>
      <c r="I598" s="43"/>
      <c r="J598" s="7"/>
      <c r="K598" s="74"/>
      <c r="L598" s="1"/>
      <c r="M598" s="43"/>
      <c r="N598" s="7"/>
      <c r="O598" s="7"/>
    </row>
    <row r="599" spans="6:15">
      <c r="F599" s="43"/>
      <c r="G599" s="7"/>
      <c r="H599" s="110"/>
      <c r="I599" s="43"/>
      <c r="J599" s="7"/>
      <c r="K599" s="74"/>
      <c r="L599" s="1"/>
      <c r="M599" s="43"/>
      <c r="N599" s="7"/>
      <c r="O599" s="7"/>
    </row>
    <row r="600" spans="6:15">
      <c r="F600" s="43"/>
      <c r="G600" s="7"/>
      <c r="H600" s="110"/>
      <c r="I600" s="43"/>
      <c r="J600" s="7"/>
      <c r="K600" s="74"/>
      <c r="L600" s="1"/>
      <c r="M600" s="43"/>
      <c r="N600" s="7"/>
      <c r="O600" s="7"/>
    </row>
    <row r="601" spans="6:15">
      <c r="F601" s="43"/>
      <c r="G601" s="7"/>
      <c r="H601" s="110"/>
      <c r="I601" s="43"/>
      <c r="J601" s="7"/>
      <c r="K601" s="74"/>
      <c r="L601" s="1"/>
      <c r="M601" s="43"/>
      <c r="N601" s="7"/>
      <c r="O601" s="7"/>
    </row>
    <row r="602" spans="6:15">
      <c r="F602" s="43"/>
      <c r="G602" s="7"/>
      <c r="H602" s="110"/>
      <c r="I602" s="43"/>
      <c r="J602" s="7"/>
      <c r="K602" s="74"/>
      <c r="L602" s="1"/>
      <c r="M602" s="43"/>
      <c r="N602" s="7"/>
      <c r="O602" s="7"/>
    </row>
    <row r="603" spans="6:15">
      <c r="F603" s="43"/>
      <c r="G603" s="7"/>
      <c r="H603" s="110"/>
      <c r="I603" s="43"/>
      <c r="J603" s="7"/>
      <c r="K603" s="74"/>
      <c r="L603" s="1"/>
      <c r="M603" s="43"/>
      <c r="N603" s="7"/>
      <c r="O603" s="7"/>
    </row>
    <row r="604" spans="6:15">
      <c r="F604" s="43"/>
      <c r="G604" s="7"/>
      <c r="H604" s="110"/>
      <c r="I604" s="43"/>
      <c r="J604" s="7"/>
      <c r="K604" s="74"/>
      <c r="L604" s="1"/>
      <c r="M604" s="43"/>
      <c r="N604" s="7"/>
      <c r="O604" s="7"/>
    </row>
    <row r="605" spans="6:15">
      <c r="F605" s="43"/>
      <c r="G605" s="7"/>
      <c r="H605" s="110"/>
      <c r="I605" s="43"/>
      <c r="J605" s="7"/>
      <c r="K605" s="74"/>
      <c r="L605" s="1"/>
      <c r="M605" s="43"/>
      <c r="N605" s="7"/>
      <c r="O605" s="7"/>
    </row>
    <row r="606" spans="6:15">
      <c r="F606" s="43"/>
      <c r="G606" s="7"/>
      <c r="H606" s="110"/>
      <c r="I606" s="43"/>
      <c r="J606" s="7"/>
      <c r="K606" s="74"/>
      <c r="L606" s="1"/>
      <c r="M606" s="43"/>
      <c r="N606" s="7"/>
      <c r="O606" s="7"/>
    </row>
    <row r="607" spans="6:15">
      <c r="F607" s="43"/>
      <c r="G607" s="7"/>
      <c r="H607" s="110"/>
      <c r="I607" s="43"/>
      <c r="J607" s="7"/>
      <c r="K607" s="74"/>
      <c r="L607" s="1"/>
      <c r="M607" s="43"/>
      <c r="N607" s="7"/>
      <c r="O607" s="7"/>
    </row>
    <row r="608" spans="6:15">
      <c r="F608" s="43"/>
      <c r="G608" s="7"/>
      <c r="H608" s="110"/>
      <c r="I608" s="43"/>
      <c r="J608" s="7"/>
      <c r="K608" s="74"/>
      <c r="L608" s="1"/>
      <c r="M608" s="43"/>
      <c r="N608" s="7"/>
      <c r="O608" s="7"/>
    </row>
    <row r="609" spans="6:15">
      <c r="F609" s="43"/>
      <c r="G609" s="7"/>
      <c r="H609" s="110"/>
      <c r="I609" s="43"/>
      <c r="J609" s="7"/>
      <c r="K609" s="74"/>
      <c r="L609" s="1"/>
      <c r="M609" s="43"/>
      <c r="N609" s="7"/>
      <c r="O609" s="7"/>
    </row>
    <row r="610" spans="6:15">
      <c r="F610" s="43"/>
      <c r="G610" s="7"/>
      <c r="H610" s="110"/>
      <c r="I610" s="43"/>
      <c r="J610" s="7"/>
      <c r="K610" s="74"/>
      <c r="L610" s="1"/>
      <c r="M610" s="43"/>
      <c r="N610" s="7"/>
      <c r="O610" s="7"/>
    </row>
    <row r="611" spans="6:15">
      <c r="F611" s="43"/>
      <c r="G611" s="7"/>
      <c r="H611" s="110"/>
      <c r="I611" s="43"/>
      <c r="J611" s="7"/>
      <c r="K611" s="74"/>
      <c r="L611" s="1"/>
      <c r="M611" s="43"/>
      <c r="N611" s="7"/>
      <c r="O611" s="7"/>
    </row>
    <row r="612" spans="6:15">
      <c r="F612" s="43"/>
      <c r="G612" s="7"/>
      <c r="H612" s="110"/>
      <c r="I612" s="43"/>
      <c r="J612" s="7"/>
      <c r="K612" s="74"/>
      <c r="L612" s="1"/>
      <c r="M612" s="43"/>
      <c r="N612" s="7"/>
      <c r="O612" s="7"/>
    </row>
    <row r="613" spans="6:15">
      <c r="F613" s="43"/>
      <c r="G613" s="7"/>
      <c r="H613" s="110"/>
      <c r="I613" s="43"/>
      <c r="J613" s="7"/>
      <c r="K613" s="74"/>
      <c r="L613" s="1"/>
      <c r="M613" s="43"/>
      <c r="N613" s="7"/>
      <c r="O613" s="7"/>
    </row>
    <row r="614" spans="6:15">
      <c r="F614" s="43"/>
      <c r="G614" s="7"/>
      <c r="H614" s="110"/>
      <c r="I614" s="43"/>
      <c r="J614" s="7"/>
      <c r="K614" s="74"/>
      <c r="L614" s="1"/>
      <c r="M614" s="43"/>
      <c r="N614" s="7"/>
      <c r="O614" s="7"/>
    </row>
    <row r="615" spans="6:15">
      <c r="F615" s="43"/>
      <c r="G615" s="7"/>
      <c r="H615" s="110"/>
      <c r="I615" s="43"/>
      <c r="J615" s="7"/>
      <c r="K615" s="74"/>
      <c r="L615" s="1"/>
      <c r="M615" s="43"/>
      <c r="N615" s="7"/>
      <c r="O615" s="7"/>
    </row>
    <row r="616" spans="6:15">
      <c r="F616" s="43"/>
      <c r="G616" s="7"/>
      <c r="H616" s="110"/>
      <c r="I616" s="43"/>
      <c r="J616" s="7"/>
      <c r="K616" s="74"/>
      <c r="L616" s="1"/>
      <c r="M616" s="43"/>
      <c r="N616" s="7"/>
      <c r="O616" s="7"/>
    </row>
    <row r="617" spans="6:15">
      <c r="F617" s="43"/>
      <c r="G617" s="7"/>
      <c r="H617" s="110"/>
      <c r="I617" s="43"/>
      <c r="J617" s="7"/>
      <c r="K617" s="74"/>
      <c r="L617" s="1"/>
      <c r="M617" s="43"/>
      <c r="N617" s="7"/>
      <c r="O617" s="7"/>
    </row>
    <row r="618" spans="6:15">
      <c r="F618" s="43"/>
      <c r="G618" s="7"/>
      <c r="H618" s="110"/>
      <c r="I618" s="43"/>
      <c r="J618" s="7"/>
      <c r="K618" s="74"/>
      <c r="L618" s="1"/>
      <c r="M618" s="43"/>
      <c r="N618" s="7"/>
      <c r="O618" s="7"/>
    </row>
    <row r="619" spans="6:15">
      <c r="F619" s="43"/>
      <c r="G619" s="7"/>
      <c r="H619" s="110"/>
      <c r="I619" s="43"/>
      <c r="J619" s="7"/>
      <c r="K619" s="74"/>
      <c r="L619" s="1"/>
      <c r="M619" s="43"/>
      <c r="N619" s="7"/>
      <c r="O619" s="7"/>
    </row>
    <row r="620" spans="6:15">
      <c r="F620" s="43"/>
      <c r="G620" s="7"/>
      <c r="H620" s="110"/>
      <c r="I620" s="43"/>
      <c r="J620" s="7"/>
      <c r="K620" s="74"/>
      <c r="L620" s="1"/>
      <c r="M620" s="43"/>
      <c r="N620" s="7"/>
      <c r="O620" s="7"/>
    </row>
    <row r="621" spans="6:15">
      <c r="F621" s="43"/>
      <c r="G621" s="7"/>
      <c r="H621" s="110"/>
      <c r="I621" s="43"/>
      <c r="J621" s="7"/>
      <c r="K621" s="74"/>
      <c r="L621" s="1"/>
      <c r="M621" s="43"/>
      <c r="N621" s="7"/>
      <c r="O621" s="7"/>
    </row>
    <row r="622" spans="6:15">
      <c r="F622" s="43"/>
      <c r="G622" s="7"/>
      <c r="H622" s="110"/>
      <c r="I622" s="43"/>
      <c r="J622" s="7"/>
      <c r="K622" s="74"/>
      <c r="L622" s="1"/>
      <c r="M622" s="43"/>
      <c r="N622" s="7"/>
      <c r="O622" s="7"/>
    </row>
    <row r="623" spans="6:15">
      <c r="F623" s="43"/>
      <c r="G623" s="7"/>
      <c r="H623" s="110"/>
      <c r="I623" s="43"/>
      <c r="J623" s="7"/>
      <c r="K623" s="74"/>
      <c r="L623" s="1"/>
      <c r="M623" s="43"/>
      <c r="N623" s="7"/>
      <c r="O623" s="7"/>
    </row>
    <row r="624" spans="6:15">
      <c r="F624" s="43"/>
      <c r="G624" s="7"/>
      <c r="H624" s="110"/>
      <c r="I624" s="43"/>
      <c r="J624" s="7"/>
      <c r="K624" s="74"/>
      <c r="L624" s="1"/>
      <c r="M624" s="43"/>
      <c r="N624" s="7"/>
      <c r="O624" s="7"/>
    </row>
    <row r="625" spans="6:15">
      <c r="F625" s="43"/>
      <c r="G625" s="7"/>
      <c r="H625" s="110"/>
      <c r="I625" s="43"/>
      <c r="J625" s="7"/>
      <c r="K625" s="74"/>
      <c r="L625" s="1"/>
      <c r="M625" s="43"/>
      <c r="N625" s="7"/>
      <c r="O625" s="7"/>
    </row>
    <row r="626" spans="6:15">
      <c r="F626" s="43"/>
      <c r="G626" s="7"/>
      <c r="H626" s="110"/>
      <c r="I626" s="43"/>
      <c r="J626" s="7"/>
      <c r="K626" s="74"/>
      <c r="L626" s="1"/>
      <c r="M626" s="43"/>
      <c r="N626" s="7"/>
      <c r="O626" s="7"/>
    </row>
    <row r="627" spans="6:15">
      <c r="F627" s="43"/>
      <c r="G627" s="7"/>
      <c r="H627" s="110"/>
      <c r="I627" s="43"/>
      <c r="J627" s="7"/>
      <c r="K627" s="74"/>
      <c r="L627" s="1"/>
      <c r="M627" s="43"/>
      <c r="N627" s="7"/>
      <c r="O627" s="7"/>
    </row>
    <row r="628" spans="6:15">
      <c r="F628" s="43"/>
      <c r="G628" s="7"/>
      <c r="H628" s="110"/>
      <c r="I628" s="43"/>
      <c r="J628" s="7"/>
      <c r="K628" s="74"/>
      <c r="L628" s="1"/>
      <c r="M628" s="43"/>
      <c r="N628" s="7"/>
      <c r="O628" s="7"/>
    </row>
    <row r="629" spans="6:15">
      <c r="F629" s="43"/>
      <c r="G629" s="7"/>
      <c r="H629" s="110"/>
      <c r="I629" s="43"/>
      <c r="J629" s="7"/>
      <c r="K629" s="74"/>
      <c r="L629" s="1"/>
      <c r="M629" s="43"/>
      <c r="N629" s="7"/>
      <c r="O629" s="7"/>
    </row>
    <row r="630" spans="6:15">
      <c r="F630" s="43"/>
      <c r="G630" s="7"/>
      <c r="H630" s="110"/>
      <c r="I630" s="43"/>
      <c r="J630" s="7"/>
      <c r="K630" s="74"/>
      <c r="L630" s="1"/>
      <c r="M630" s="43"/>
      <c r="N630" s="7"/>
      <c r="O630" s="7"/>
    </row>
    <row r="631" spans="6:15">
      <c r="F631" s="43"/>
      <c r="G631" s="7"/>
      <c r="H631" s="110"/>
      <c r="I631" s="43"/>
      <c r="J631" s="7"/>
      <c r="K631" s="74"/>
      <c r="L631" s="1"/>
      <c r="M631" s="43"/>
      <c r="N631" s="7"/>
      <c r="O631" s="7"/>
    </row>
    <row r="632" spans="6:15">
      <c r="F632" s="43"/>
      <c r="G632" s="7"/>
      <c r="H632" s="110"/>
      <c r="I632" s="43"/>
      <c r="J632" s="7"/>
      <c r="K632" s="74"/>
      <c r="L632" s="1"/>
      <c r="M632" s="43"/>
      <c r="N632" s="7"/>
      <c r="O632" s="7"/>
    </row>
    <row r="633" spans="6:15">
      <c r="F633" s="43"/>
      <c r="G633" s="7"/>
      <c r="H633" s="110"/>
      <c r="I633" s="43"/>
      <c r="J633" s="7"/>
      <c r="K633" s="74"/>
      <c r="L633" s="1"/>
      <c r="M633" s="43"/>
      <c r="N633" s="7"/>
      <c r="O633" s="7"/>
    </row>
    <row r="634" spans="6:15">
      <c r="F634" s="43"/>
      <c r="G634" s="7"/>
      <c r="H634" s="110"/>
      <c r="I634" s="43"/>
      <c r="J634" s="7"/>
      <c r="K634" s="74"/>
      <c r="L634" s="1"/>
      <c r="M634" s="43"/>
      <c r="N634" s="7"/>
      <c r="O634" s="7"/>
    </row>
    <row r="635" spans="6:15">
      <c r="F635" s="43"/>
      <c r="G635" s="7"/>
      <c r="H635" s="110"/>
      <c r="I635" s="43"/>
      <c r="J635" s="7"/>
      <c r="K635" s="74"/>
      <c r="L635" s="1"/>
      <c r="M635" s="43"/>
      <c r="N635" s="7"/>
      <c r="O635" s="7"/>
    </row>
    <row r="636" spans="6:15">
      <c r="F636" s="43"/>
      <c r="G636" s="7"/>
      <c r="H636" s="110"/>
      <c r="I636" s="43"/>
      <c r="J636" s="7"/>
      <c r="K636" s="74"/>
      <c r="L636" s="1"/>
      <c r="M636" s="43"/>
      <c r="N636" s="7"/>
      <c r="O636" s="7"/>
    </row>
    <row r="637" spans="6:15">
      <c r="F637" s="43"/>
      <c r="G637" s="7"/>
      <c r="H637" s="110"/>
      <c r="I637" s="43"/>
      <c r="J637" s="7"/>
      <c r="K637" s="74"/>
      <c r="L637" s="1"/>
      <c r="M637" s="43"/>
      <c r="N637" s="7"/>
      <c r="O637" s="7"/>
    </row>
    <row r="638" spans="6:15">
      <c r="F638" s="43"/>
      <c r="G638" s="7"/>
      <c r="H638" s="110"/>
      <c r="I638" s="43"/>
      <c r="J638" s="7"/>
      <c r="K638" s="74"/>
      <c r="L638" s="1"/>
      <c r="M638" s="43"/>
      <c r="N638" s="7"/>
      <c r="O638" s="7"/>
    </row>
    <row r="639" spans="6:15">
      <c r="F639" s="43"/>
      <c r="G639" s="7"/>
      <c r="H639" s="110"/>
      <c r="I639" s="43"/>
      <c r="J639" s="7"/>
      <c r="K639" s="74"/>
      <c r="L639" s="1"/>
      <c r="M639" s="43"/>
      <c r="N639" s="7"/>
      <c r="O639" s="7"/>
    </row>
    <row r="640" spans="6:15">
      <c r="F640" s="43"/>
      <c r="G640" s="7"/>
      <c r="H640" s="110"/>
      <c r="I640" s="43"/>
      <c r="J640" s="7"/>
      <c r="K640" s="74"/>
      <c r="L640" s="1"/>
      <c r="M640" s="43"/>
      <c r="N640" s="7"/>
      <c r="O640" s="7"/>
    </row>
    <row r="641" spans="6:15">
      <c r="F641" s="43"/>
      <c r="G641" s="7"/>
      <c r="H641" s="110"/>
      <c r="I641" s="43"/>
      <c r="J641" s="7"/>
      <c r="K641" s="74"/>
      <c r="L641" s="1"/>
      <c r="M641" s="43"/>
      <c r="N641" s="7"/>
      <c r="O641" s="7"/>
    </row>
    <row r="642" spans="6:15">
      <c r="F642" s="43"/>
      <c r="G642" s="7"/>
      <c r="H642" s="110"/>
      <c r="I642" s="43"/>
      <c r="J642" s="7"/>
      <c r="K642" s="74"/>
      <c r="L642" s="1"/>
      <c r="M642" s="43"/>
      <c r="N642" s="7"/>
      <c r="O642" s="7"/>
    </row>
    <row r="643" spans="6:15">
      <c r="F643" s="43"/>
      <c r="G643" s="7"/>
      <c r="H643" s="110"/>
      <c r="I643" s="43"/>
      <c r="J643" s="7"/>
      <c r="K643" s="74"/>
      <c r="L643" s="1"/>
      <c r="M643" s="43"/>
      <c r="N643" s="7"/>
      <c r="O643" s="7"/>
    </row>
    <row r="644" spans="6:15">
      <c r="F644" s="43"/>
      <c r="G644" s="7"/>
      <c r="H644" s="110"/>
      <c r="I644" s="43"/>
      <c r="J644" s="7"/>
      <c r="K644" s="74"/>
      <c r="L644" s="1"/>
      <c r="M644" s="43"/>
      <c r="N644" s="7"/>
      <c r="O644" s="7"/>
    </row>
    <row r="645" spans="6:15">
      <c r="F645" s="43"/>
      <c r="G645" s="7"/>
      <c r="H645" s="110"/>
      <c r="I645" s="43"/>
      <c r="J645" s="7"/>
      <c r="K645" s="74"/>
      <c r="L645" s="1"/>
      <c r="M645" s="43"/>
      <c r="N645" s="7"/>
      <c r="O645" s="7"/>
    </row>
    <row r="646" spans="6:15">
      <c r="F646" s="43"/>
      <c r="G646" s="7"/>
      <c r="H646" s="110"/>
      <c r="I646" s="43"/>
      <c r="J646" s="7"/>
      <c r="K646" s="74"/>
      <c r="L646" s="1"/>
      <c r="M646" s="43"/>
      <c r="N646" s="7"/>
      <c r="O646" s="7"/>
    </row>
    <row r="647" spans="6:15">
      <c r="F647" s="43"/>
      <c r="G647" s="7"/>
      <c r="H647" s="110"/>
      <c r="I647" s="43"/>
      <c r="J647" s="7"/>
      <c r="K647" s="74"/>
      <c r="L647" s="1"/>
      <c r="M647" s="43"/>
      <c r="N647" s="7"/>
      <c r="O647" s="7"/>
    </row>
    <row r="648" spans="6:15">
      <c r="F648" s="43"/>
      <c r="G648" s="7"/>
      <c r="H648" s="110"/>
      <c r="I648" s="43"/>
      <c r="J648" s="7"/>
      <c r="K648" s="74"/>
      <c r="L648" s="1"/>
      <c r="M648" s="43"/>
      <c r="N648" s="7"/>
      <c r="O648" s="7"/>
    </row>
    <row r="649" spans="6:15">
      <c r="F649" s="43"/>
      <c r="G649" s="7"/>
      <c r="H649" s="110"/>
      <c r="I649" s="43"/>
      <c r="J649" s="7"/>
      <c r="K649" s="74"/>
      <c r="L649" s="1"/>
      <c r="M649" s="43"/>
      <c r="N649" s="7"/>
      <c r="O649" s="7"/>
    </row>
    <row r="650" spans="6:15">
      <c r="F650" s="43"/>
      <c r="G650" s="7"/>
      <c r="H650" s="110"/>
      <c r="I650" s="43"/>
      <c r="J650" s="7"/>
      <c r="K650" s="74"/>
      <c r="L650" s="1"/>
      <c r="M650" s="43"/>
      <c r="N650" s="7"/>
      <c r="O650" s="7"/>
    </row>
    <row r="651" spans="6:15">
      <c r="F651" s="43"/>
      <c r="G651" s="7"/>
      <c r="H651" s="110"/>
      <c r="I651" s="43"/>
      <c r="J651" s="7"/>
      <c r="K651" s="74"/>
      <c r="L651" s="1"/>
      <c r="M651" s="43"/>
      <c r="N651" s="7"/>
      <c r="O651" s="7"/>
    </row>
    <row r="652" spans="6:15">
      <c r="F652" s="43"/>
      <c r="G652" s="7"/>
      <c r="H652" s="110"/>
      <c r="I652" s="43"/>
      <c r="J652" s="7"/>
      <c r="K652" s="74"/>
      <c r="L652" s="1"/>
      <c r="M652" s="43"/>
      <c r="N652" s="7"/>
      <c r="O652" s="7"/>
    </row>
    <row r="653" spans="6:15">
      <c r="F653" s="43"/>
      <c r="G653" s="7"/>
      <c r="H653" s="110"/>
      <c r="I653" s="43"/>
      <c r="J653" s="7"/>
      <c r="K653" s="74"/>
      <c r="L653" s="1"/>
      <c r="M653" s="43"/>
      <c r="N653" s="7"/>
      <c r="O653" s="7"/>
    </row>
    <row r="654" spans="6:15">
      <c r="F654" s="43"/>
      <c r="G654" s="7"/>
      <c r="H654" s="110"/>
      <c r="I654" s="43"/>
      <c r="J654" s="7"/>
      <c r="K654" s="74"/>
      <c r="L654" s="1"/>
      <c r="M654" s="43"/>
      <c r="N654" s="7"/>
      <c r="O654" s="7"/>
    </row>
    <row r="655" spans="6:15">
      <c r="F655" s="43"/>
      <c r="G655" s="7"/>
      <c r="H655" s="110"/>
      <c r="I655" s="43"/>
      <c r="J655" s="7"/>
      <c r="K655" s="74"/>
      <c r="L655" s="1"/>
      <c r="M655" s="43"/>
      <c r="N655" s="7"/>
      <c r="O655" s="7"/>
    </row>
    <row r="656" spans="6:15">
      <c r="F656" s="43"/>
      <c r="G656" s="7"/>
      <c r="H656" s="110"/>
      <c r="I656" s="43"/>
      <c r="J656" s="7"/>
      <c r="K656" s="74"/>
      <c r="L656" s="1"/>
      <c r="M656" s="43"/>
      <c r="N656" s="7"/>
      <c r="O656" s="7"/>
    </row>
    <row r="657" spans="6:15">
      <c r="F657" s="43"/>
      <c r="G657" s="7"/>
      <c r="H657" s="110"/>
      <c r="I657" s="43"/>
      <c r="J657" s="7"/>
      <c r="K657" s="74"/>
      <c r="L657" s="1"/>
      <c r="M657" s="43"/>
      <c r="N657" s="7"/>
      <c r="O657" s="7"/>
    </row>
    <row r="658" spans="6:15">
      <c r="F658" s="43"/>
      <c r="G658" s="7"/>
      <c r="H658" s="110"/>
      <c r="I658" s="43"/>
      <c r="J658" s="7"/>
      <c r="K658" s="74"/>
      <c r="L658" s="1"/>
      <c r="M658" s="43"/>
      <c r="N658" s="7"/>
      <c r="O658" s="7"/>
    </row>
    <row r="659" spans="6:15">
      <c r="F659" s="43"/>
      <c r="G659" s="7"/>
      <c r="H659" s="110"/>
      <c r="I659" s="43"/>
      <c r="J659" s="7"/>
      <c r="K659" s="74"/>
      <c r="L659" s="1"/>
      <c r="M659" s="43"/>
      <c r="N659" s="7"/>
      <c r="O659" s="7"/>
    </row>
    <row r="660" spans="6:15">
      <c r="F660" s="43"/>
      <c r="G660" s="7"/>
      <c r="H660" s="110"/>
      <c r="I660" s="43"/>
      <c r="J660" s="7"/>
      <c r="K660" s="74"/>
      <c r="L660" s="1"/>
      <c r="M660" s="43"/>
      <c r="N660" s="7"/>
      <c r="O660" s="7"/>
    </row>
    <row r="661" spans="6:15">
      <c r="F661" s="43"/>
      <c r="G661" s="7"/>
      <c r="H661" s="110"/>
      <c r="I661" s="43"/>
      <c r="J661" s="7"/>
      <c r="K661" s="74"/>
      <c r="L661" s="1"/>
      <c r="M661" s="43"/>
      <c r="N661" s="7"/>
      <c r="O661" s="7"/>
    </row>
    <row r="662" spans="6:15">
      <c r="F662" s="43"/>
      <c r="G662" s="7"/>
      <c r="H662" s="110"/>
      <c r="I662" s="43"/>
      <c r="J662" s="7"/>
      <c r="K662" s="74"/>
      <c r="L662" s="1"/>
      <c r="M662" s="43"/>
      <c r="N662" s="7"/>
      <c r="O662" s="7"/>
    </row>
    <row r="663" spans="6:15">
      <c r="F663" s="43"/>
      <c r="G663" s="7"/>
      <c r="H663" s="110"/>
      <c r="I663" s="43"/>
      <c r="J663" s="7"/>
      <c r="K663" s="74"/>
      <c r="L663" s="1"/>
      <c r="M663" s="43"/>
      <c r="N663" s="7"/>
      <c r="O663" s="7"/>
    </row>
    <row r="664" spans="6:15">
      <c r="F664" s="43"/>
      <c r="G664" s="7"/>
      <c r="H664" s="110"/>
      <c r="I664" s="43"/>
      <c r="J664" s="7"/>
      <c r="K664" s="74"/>
      <c r="L664" s="1"/>
      <c r="M664" s="43"/>
      <c r="N664" s="7"/>
      <c r="O664" s="7"/>
    </row>
    <row r="665" spans="6:15">
      <c r="F665" s="43"/>
      <c r="G665" s="7"/>
      <c r="H665" s="110"/>
      <c r="I665" s="43"/>
      <c r="J665" s="7"/>
      <c r="K665" s="74"/>
      <c r="L665" s="1"/>
      <c r="M665" s="43"/>
      <c r="N665" s="7"/>
      <c r="O665" s="7"/>
    </row>
    <row r="666" spans="6:15">
      <c r="F666" s="43"/>
      <c r="G666" s="7"/>
      <c r="H666" s="110"/>
      <c r="I666" s="43"/>
      <c r="J666" s="7"/>
      <c r="K666" s="74"/>
      <c r="L666" s="1"/>
      <c r="M666" s="43"/>
      <c r="N666" s="7"/>
      <c r="O666" s="7"/>
    </row>
    <row r="667" spans="6:15">
      <c r="F667" s="43"/>
      <c r="G667" s="7"/>
      <c r="H667" s="110"/>
      <c r="I667" s="43"/>
      <c r="J667" s="7"/>
      <c r="K667" s="74"/>
      <c r="L667" s="1"/>
      <c r="M667" s="43"/>
      <c r="N667" s="7"/>
      <c r="O667" s="7"/>
    </row>
    <row r="668" spans="6:15">
      <c r="F668" s="43"/>
      <c r="G668" s="7"/>
      <c r="H668" s="110"/>
      <c r="I668" s="43"/>
      <c r="J668" s="7"/>
      <c r="K668" s="74"/>
      <c r="L668" s="1"/>
      <c r="M668" s="43"/>
      <c r="N668" s="7"/>
      <c r="O668" s="7"/>
    </row>
    <row r="669" spans="6:15">
      <c r="F669" s="43"/>
      <c r="G669" s="7"/>
      <c r="H669" s="110"/>
      <c r="I669" s="43"/>
      <c r="J669" s="7"/>
      <c r="K669" s="74"/>
      <c r="L669" s="1"/>
      <c r="M669" s="43"/>
      <c r="N669" s="7"/>
      <c r="O669" s="7"/>
    </row>
    <row r="670" spans="6:15">
      <c r="F670" s="43"/>
      <c r="G670" s="7"/>
      <c r="H670" s="110"/>
      <c r="I670" s="43"/>
      <c r="J670" s="7"/>
      <c r="K670" s="74"/>
      <c r="L670" s="1"/>
      <c r="M670" s="43"/>
      <c r="N670" s="7"/>
      <c r="O670" s="7"/>
    </row>
    <row r="671" spans="6:15">
      <c r="F671" s="43"/>
      <c r="G671" s="7"/>
      <c r="H671" s="110"/>
      <c r="I671" s="43"/>
      <c r="J671" s="7"/>
      <c r="K671" s="74"/>
      <c r="L671" s="1"/>
      <c r="M671" s="43"/>
      <c r="N671" s="7"/>
      <c r="O671" s="7"/>
    </row>
    <row r="672" spans="6:15">
      <c r="F672" s="43"/>
      <c r="G672" s="7"/>
      <c r="H672" s="110"/>
      <c r="I672" s="43"/>
      <c r="J672" s="7"/>
      <c r="K672" s="74"/>
      <c r="L672" s="1"/>
      <c r="M672" s="43"/>
      <c r="N672" s="7"/>
      <c r="O672" s="7"/>
    </row>
    <row r="673" spans="6:15">
      <c r="F673" s="43"/>
      <c r="G673" s="7"/>
      <c r="H673" s="110"/>
      <c r="I673" s="43"/>
      <c r="J673" s="7"/>
      <c r="K673" s="74"/>
      <c r="L673" s="1"/>
      <c r="M673" s="43"/>
      <c r="N673" s="7"/>
      <c r="O673" s="7"/>
    </row>
    <row r="674" spans="6:15">
      <c r="F674" s="43"/>
      <c r="G674" s="7"/>
      <c r="H674" s="110"/>
      <c r="I674" s="43"/>
      <c r="J674" s="7"/>
      <c r="K674" s="74"/>
      <c r="L674" s="1"/>
      <c r="M674" s="43"/>
      <c r="N674" s="7"/>
      <c r="O674" s="7"/>
    </row>
    <row r="675" spans="6:15">
      <c r="F675" s="43"/>
      <c r="G675" s="7"/>
      <c r="H675" s="110"/>
      <c r="I675" s="43"/>
      <c r="J675" s="7"/>
      <c r="K675" s="74"/>
      <c r="L675" s="1"/>
      <c r="M675" s="43"/>
      <c r="N675" s="7"/>
      <c r="O675" s="7"/>
    </row>
    <row r="676" spans="6:15">
      <c r="F676" s="43"/>
      <c r="G676" s="7"/>
      <c r="H676" s="110"/>
      <c r="I676" s="43"/>
      <c r="J676" s="7"/>
      <c r="K676" s="74"/>
      <c r="L676" s="1"/>
      <c r="M676" s="43"/>
      <c r="N676" s="7"/>
      <c r="O676" s="7"/>
    </row>
    <row r="677" spans="6:15">
      <c r="F677" s="43"/>
      <c r="G677" s="7"/>
      <c r="H677" s="110"/>
      <c r="I677" s="43"/>
      <c r="J677" s="7"/>
      <c r="K677" s="74"/>
      <c r="L677" s="1"/>
      <c r="M677" s="43"/>
      <c r="N677" s="7"/>
      <c r="O677" s="7"/>
    </row>
    <row r="678" spans="6:15">
      <c r="F678" s="43"/>
      <c r="G678" s="7"/>
      <c r="H678" s="110"/>
      <c r="I678" s="43"/>
      <c r="J678" s="7"/>
      <c r="K678" s="74"/>
      <c r="L678" s="1"/>
      <c r="M678" s="43"/>
      <c r="N678" s="7"/>
      <c r="O678" s="7"/>
    </row>
    <row r="679" spans="6:15">
      <c r="F679" s="43"/>
      <c r="G679" s="7"/>
      <c r="H679" s="110"/>
      <c r="I679" s="43"/>
      <c r="J679" s="7"/>
      <c r="K679" s="74"/>
      <c r="L679" s="1"/>
      <c r="M679" s="43"/>
      <c r="N679" s="7"/>
      <c r="O679" s="7"/>
    </row>
    <row r="680" spans="6:15">
      <c r="F680" s="43"/>
      <c r="G680" s="7"/>
      <c r="H680" s="110"/>
      <c r="I680" s="43"/>
      <c r="J680" s="7"/>
      <c r="K680" s="74"/>
      <c r="L680" s="1"/>
      <c r="M680" s="43"/>
      <c r="N680" s="7"/>
      <c r="O680" s="7"/>
    </row>
    <row r="681" spans="6:15">
      <c r="F681" s="43"/>
      <c r="G681" s="7"/>
      <c r="H681" s="110"/>
      <c r="I681" s="43"/>
      <c r="J681" s="7"/>
      <c r="K681" s="74"/>
      <c r="L681" s="1"/>
      <c r="M681" s="43"/>
      <c r="N681" s="7"/>
      <c r="O681" s="7"/>
    </row>
    <row r="682" spans="6:15">
      <c r="F682" s="43"/>
      <c r="G682" s="7"/>
      <c r="H682" s="110"/>
      <c r="I682" s="43"/>
      <c r="J682" s="7"/>
      <c r="K682" s="74"/>
      <c r="L682" s="1"/>
      <c r="M682" s="43"/>
      <c r="N682" s="7"/>
      <c r="O682" s="7"/>
    </row>
    <row r="683" spans="6:15">
      <c r="F683" s="43"/>
      <c r="G683" s="7"/>
      <c r="H683" s="110"/>
      <c r="I683" s="43"/>
      <c r="J683" s="7"/>
      <c r="K683" s="74"/>
      <c r="L683" s="1"/>
      <c r="M683" s="43"/>
      <c r="N683" s="7"/>
      <c r="O683" s="7"/>
    </row>
    <row r="684" spans="6:15">
      <c r="F684" s="43"/>
      <c r="G684" s="7"/>
      <c r="H684" s="110"/>
      <c r="I684" s="43"/>
      <c r="J684" s="7"/>
      <c r="K684" s="74"/>
      <c r="L684" s="1"/>
      <c r="M684" s="43"/>
      <c r="N684" s="7"/>
      <c r="O684" s="7"/>
    </row>
    <row r="685" spans="6:15">
      <c r="F685" s="43"/>
      <c r="G685" s="7"/>
      <c r="H685" s="110"/>
      <c r="I685" s="43"/>
      <c r="J685" s="7"/>
      <c r="K685" s="74"/>
      <c r="L685" s="1"/>
      <c r="M685" s="43"/>
      <c r="N685" s="7"/>
      <c r="O685" s="7"/>
    </row>
    <row r="686" spans="6:15">
      <c r="H686" s="142"/>
      <c r="I686" s="43"/>
      <c r="J686" s="9"/>
      <c r="K686" s="74"/>
      <c r="L686" s="1"/>
      <c r="M686" s="43"/>
    </row>
    <row r="687" spans="6:15">
      <c r="H687" s="142"/>
      <c r="I687" s="43"/>
      <c r="J687" s="9"/>
      <c r="K687" s="74"/>
      <c r="L687" s="1"/>
      <c r="M687" s="43"/>
    </row>
    <row r="688" spans="6:15">
      <c r="H688" s="142"/>
      <c r="I688" s="43"/>
      <c r="J688" s="9"/>
      <c r="K688" s="74"/>
      <c r="L688" s="1"/>
      <c r="M688" s="43"/>
    </row>
    <row r="689" spans="8:13">
      <c r="H689" s="142"/>
      <c r="I689" s="43"/>
      <c r="J689" s="9"/>
      <c r="K689" s="74"/>
      <c r="L689" s="1"/>
      <c r="M689" s="43"/>
    </row>
    <row r="690" spans="8:13">
      <c r="H690" s="142"/>
      <c r="I690" s="43"/>
      <c r="J690" s="9"/>
      <c r="K690" s="74"/>
      <c r="L690" s="1"/>
      <c r="M690" s="43"/>
    </row>
    <row r="691" spans="8:13">
      <c r="H691" s="142"/>
      <c r="I691" s="43"/>
      <c r="J691" s="9"/>
      <c r="K691" s="74"/>
      <c r="L691" s="1"/>
      <c r="M691" s="43"/>
    </row>
    <row r="692" spans="8:13">
      <c r="H692" s="142"/>
      <c r="I692" s="43"/>
      <c r="J692" s="9"/>
      <c r="K692" s="74"/>
      <c r="L692" s="1"/>
      <c r="M692" s="43"/>
    </row>
    <row r="693" spans="8:13">
      <c r="H693" s="142"/>
      <c r="I693" s="43"/>
      <c r="J693" s="9"/>
      <c r="K693" s="74"/>
      <c r="L693" s="1"/>
      <c r="M693" s="43"/>
    </row>
    <row r="694" spans="8:13">
      <c r="H694" s="142"/>
      <c r="I694" s="43"/>
      <c r="J694" s="9"/>
      <c r="K694" s="74"/>
      <c r="L694" s="1"/>
      <c r="M694" s="43"/>
    </row>
    <row r="695" spans="8:13">
      <c r="H695" s="142"/>
      <c r="I695" s="43"/>
      <c r="J695" s="9"/>
      <c r="K695" s="74"/>
      <c r="L695" s="1"/>
      <c r="M695" s="43"/>
    </row>
    <row r="696" spans="8:13">
      <c r="H696" s="142"/>
      <c r="I696" s="43"/>
      <c r="J696" s="9"/>
      <c r="K696" s="74"/>
      <c r="L696" s="1"/>
      <c r="M696" s="43"/>
    </row>
    <row r="697" spans="8:13">
      <c r="H697" s="142"/>
      <c r="I697" s="43"/>
      <c r="J697" s="9"/>
      <c r="K697" s="74"/>
      <c r="L697" s="1"/>
      <c r="M697" s="43"/>
    </row>
    <row r="698" spans="8:13">
      <c r="H698" s="142"/>
      <c r="I698" s="43"/>
      <c r="J698" s="9"/>
      <c r="K698" s="74"/>
      <c r="L698" s="1"/>
      <c r="M698" s="43"/>
    </row>
    <row r="699" spans="8:13">
      <c r="H699" s="142"/>
      <c r="I699" s="43"/>
      <c r="J699" s="9"/>
      <c r="K699" s="74"/>
      <c r="L699" s="1"/>
      <c r="M699" s="43"/>
    </row>
    <row r="700" spans="8:13">
      <c r="H700" s="142"/>
      <c r="I700" s="43"/>
      <c r="J700" s="9"/>
      <c r="K700" s="74"/>
      <c r="L700" s="1"/>
      <c r="M700" s="43"/>
    </row>
    <row r="701" spans="8:13">
      <c r="H701" s="142"/>
      <c r="I701" s="43"/>
      <c r="J701" s="9"/>
      <c r="K701" s="74"/>
      <c r="L701" s="1"/>
      <c r="M701" s="43"/>
    </row>
    <row r="702" spans="8:13">
      <c r="H702" s="142"/>
      <c r="I702" s="43"/>
      <c r="J702" s="9"/>
      <c r="K702" s="74"/>
      <c r="L702" s="1"/>
      <c r="M702" s="43"/>
    </row>
    <row r="703" spans="8:13">
      <c r="H703" s="142"/>
      <c r="I703" s="43"/>
      <c r="J703" s="9"/>
      <c r="K703" s="74"/>
      <c r="L703" s="1"/>
      <c r="M703" s="43"/>
    </row>
    <row r="704" spans="8:13">
      <c r="H704" s="142"/>
      <c r="I704" s="43"/>
      <c r="J704" s="9"/>
      <c r="K704" s="74"/>
      <c r="L704" s="1"/>
      <c r="M704" s="43"/>
    </row>
    <row r="705" spans="8:13">
      <c r="H705" s="142"/>
      <c r="I705" s="43"/>
      <c r="J705" s="9"/>
      <c r="K705" s="74"/>
      <c r="L705" s="1"/>
      <c r="M705" s="43"/>
    </row>
    <row r="706" spans="8:13">
      <c r="H706" s="142"/>
      <c r="I706" s="43"/>
      <c r="J706" s="9"/>
      <c r="K706" s="74"/>
      <c r="L706" s="1"/>
      <c r="M706" s="43"/>
    </row>
    <row r="707" spans="8:13">
      <c r="H707" s="142"/>
      <c r="I707" s="43"/>
      <c r="J707" s="9"/>
      <c r="K707" s="74"/>
      <c r="L707" s="1"/>
      <c r="M707" s="43"/>
    </row>
    <row r="708" spans="8:13">
      <c r="H708" s="142"/>
      <c r="I708" s="43"/>
      <c r="J708" s="9"/>
      <c r="K708" s="74"/>
      <c r="L708" s="1"/>
      <c r="M708" s="43"/>
    </row>
    <row r="709" spans="8:13">
      <c r="H709" s="142"/>
      <c r="I709" s="43"/>
      <c r="J709" s="9"/>
      <c r="K709" s="74"/>
      <c r="L709" s="1"/>
      <c r="M709" s="43"/>
    </row>
    <row r="710" spans="8:13">
      <c r="H710" s="142"/>
      <c r="I710" s="43"/>
      <c r="J710" s="9"/>
      <c r="K710" s="74"/>
      <c r="L710" s="1"/>
      <c r="M710" s="43"/>
    </row>
    <row r="711" spans="8:13">
      <c r="H711" s="142"/>
      <c r="I711" s="43"/>
      <c r="J711" s="9"/>
      <c r="K711" s="74"/>
      <c r="L711" s="1"/>
      <c r="M711" s="43"/>
    </row>
    <row r="712" spans="8:13">
      <c r="H712" s="142"/>
      <c r="I712" s="43"/>
      <c r="J712" s="9"/>
      <c r="K712" s="74"/>
      <c r="L712" s="1"/>
      <c r="M712" s="43"/>
    </row>
    <row r="713" spans="8:13">
      <c r="H713" s="142"/>
      <c r="I713" s="43"/>
      <c r="J713" s="9"/>
      <c r="K713" s="74"/>
      <c r="L713" s="1"/>
      <c r="M713" s="43"/>
    </row>
    <row r="714" spans="8:13">
      <c r="H714" s="142"/>
      <c r="I714" s="43"/>
      <c r="J714" s="9"/>
      <c r="K714" s="74"/>
      <c r="L714" s="1"/>
      <c r="M714" s="43"/>
    </row>
    <row r="715" spans="8:13">
      <c r="H715" s="142"/>
      <c r="I715" s="43"/>
      <c r="J715" s="9"/>
      <c r="K715" s="74"/>
      <c r="L715" s="1"/>
      <c r="M715" s="43"/>
    </row>
    <row r="716" spans="8:13">
      <c r="H716" s="142"/>
      <c r="I716" s="43"/>
      <c r="J716" s="9"/>
      <c r="K716" s="74"/>
      <c r="L716" s="1"/>
      <c r="M716" s="43"/>
    </row>
    <row r="717" spans="8:13">
      <c r="H717" s="142"/>
      <c r="I717" s="43"/>
      <c r="J717" s="9"/>
      <c r="K717" s="74"/>
      <c r="L717" s="1"/>
      <c r="M717" s="43"/>
    </row>
    <row r="718" spans="8:13">
      <c r="H718" s="142"/>
      <c r="I718" s="43"/>
      <c r="J718" s="9"/>
      <c r="K718" s="74"/>
      <c r="L718" s="1"/>
      <c r="M718" s="43"/>
    </row>
    <row r="719" spans="8:13">
      <c r="H719" s="142"/>
      <c r="I719" s="43"/>
      <c r="J719" s="9"/>
      <c r="K719" s="74"/>
      <c r="L719" s="1"/>
      <c r="M719" s="43"/>
    </row>
    <row r="720" spans="8:13">
      <c r="H720" s="142"/>
      <c r="I720" s="43"/>
      <c r="J720" s="9"/>
      <c r="K720" s="74"/>
      <c r="L720" s="1"/>
      <c r="M720" s="43"/>
    </row>
    <row r="721" spans="8:13">
      <c r="H721" s="142"/>
      <c r="I721" s="43"/>
      <c r="J721" s="9"/>
      <c r="K721" s="74"/>
      <c r="L721" s="1"/>
      <c r="M721" s="43"/>
    </row>
    <row r="722" spans="8:13">
      <c r="H722" s="142"/>
      <c r="I722" s="43"/>
      <c r="J722" s="9"/>
      <c r="K722" s="74"/>
      <c r="L722" s="1"/>
      <c r="M722" s="43"/>
    </row>
    <row r="723" spans="8:13">
      <c r="H723" s="142"/>
      <c r="I723" s="43"/>
      <c r="J723" s="9"/>
      <c r="K723" s="74"/>
      <c r="L723" s="1"/>
      <c r="M723" s="43"/>
    </row>
    <row r="724" spans="8:13">
      <c r="H724" s="142"/>
      <c r="I724" s="43"/>
      <c r="J724" s="9"/>
      <c r="K724" s="74"/>
      <c r="L724" s="1"/>
      <c r="M724" s="43"/>
    </row>
    <row r="725" spans="8:13">
      <c r="H725" s="142"/>
      <c r="I725" s="43"/>
      <c r="J725" s="9"/>
      <c r="K725" s="74"/>
      <c r="L725" s="1"/>
      <c r="M725" s="43"/>
    </row>
    <row r="726" spans="8:13">
      <c r="H726" s="142"/>
      <c r="I726" s="43"/>
      <c r="J726" s="9"/>
      <c r="K726" s="74"/>
      <c r="L726" s="1"/>
      <c r="M726" s="43"/>
    </row>
    <row r="727" spans="8:13">
      <c r="H727" s="142"/>
      <c r="I727" s="43"/>
      <c r="J727" s="9"/>
      <c r="K727" s="74"/>
      <c r="L727" s="1"/>
      <c r="M727" s="43"/>
    </row>
    <row r="728" spans="8:13">
      <c r="H728" s="142"/>
      <c r="I728" s="43"/>
      <c r="J728" s="9"/>
      <c r="K728" s="74"/>
      <c r="L728" s="1"/>
      <c r="M728" s="43"/>
    </row>
    <row r="729" spans="8:13">
      <c r="H729" s="142"/>
      <c r="I729" s="43"/>
      <c r="J729" s="9"/>
      <c r="K729" s="74"/>
      <c r="L729" s="1"/>
      <c r="M729" s="43"/>
    </row>
    <row r="730" spans="8:13">
      <c r="H730" s="142"/>
      <c r="I730" s="43"/>
      <c r="J730" s="9"/>
      <c r="K730" s="74"/>
      <c r="L730" s="1"/>
      <c r="M730" s="43"/>
    </row>
    <row r="731" spans="8:13">
      <c r="H731" s="142"/>
      <c r="I731" s="43"/>
      <c r="J731" s="9"/>
      <c r="K731" s="74"/>
      <c r="L731" s="1"/>
      <c r="M731" s="43"/>
    </row>
    <row r="732" spans="8:13">
      <c r="H732" s="142"/>
      <c r="I732" s="43"/>
      <c r="J732" s="9"/>
      <c r="K732" s="74"/>
      <c r="L732" s="1"/>
      <c r="M732" s="43"/>
    </row>
    <row r="733" spans="8:13">
      <c r="H733" s="142"/>
      <c r="I733" s="43"/>
      <c r="J733" s="9"/>
      <c r="K733" s="74"/>
      <c r="L733" s="1"/>
      <c r="M733" s="43"/>
    </row>
    <row r="734" spans="8:13">
      <c r="H734" s="142"/>
      <c r="I734" s="43"/>
      <c r="J734" s="9"/>
      <c r="K734" s="74"/>
      <c r="L734" s="1"/>
      <c r="M734" s="43"/>
    </row>
    <row r="735" spans="8:13">
      <c r="H735" s="142"/>
      <c r="I735" s="43"/>
      <c r="J735" s="9"/>
      <c r="K735" s="74"/>
      <c r="L735" s="1"/>
      <c r="M735" s="43"/>
    </row>
    <row r="736" spans="8:13">
      <c r="H736" s="142"/>
      <c r="I736" s="43"/>
      <c r="J736" s="9"/>
      <c r="K736" s="74"/>
      <c r="L736" s="1"/>
      <c r="M736" s="43"/>
    </row>
    <row r="737" spans="8:13">
      <c r="H737" s="142"/>
      <c r="I737" s="43"/>
      <c r="J737" s="9"/>
      <c r="K737" s="74"/>
      <c r="L737" s="1"/>
      <c r="M737" s="43"/>
    </row>
    <row r="738" spans="8:13">
      <c r="H738" s="142"/>
      <c r="I738" s="43"/>
      <c r="J738" s="9"/>
      <c r="K738" s="74"/>
      <c r="L738" s="1"/>
      <c r="M738" s="43"/>
    </row>
    <row r="739" spans="8:13">
      <c r="H739" s="142"/>
      <c r="I739" s="43"/>
      <c r="J739" s="9"/>
      <c r="K739" s="74"/>
      <c r="L739" s="1"/>
      <c r="M739" s="43"/>
    </row>
    <row r="740" spans="8:13">
      <c r="H740" s="142"/>
      <c r="I740" s="43"/>
      <c r="J740" s="9"/>
      <c r="K740" s="74"/>
      <c r="L740" s="1"/>
      <c r="M740" s="43"/>
    </row>
    <row r="741" spans="8:13">
      <c r="H741" s="142"/>
      <c r="I741" s="43"/>
      <c r="J741" s="9"/>
      <c r="K741" s="74"/>
      <c r="L741" s="1"/>
      <c r="M741" s="43"/>
    </row>
    <row r="742" spans="8:13">
      <c r="H742" s="142"/>
      <c r="I742" s="43"/>
      <c r="J742" s="9"/>
      <c r="K742" s="74"/>
      <c r="L742" s="1"/>
      <c r="M742" s="43"/>
    </row>
    <row r="743" spans="8:13">
      <c r="H743" s="142"/>
      <c r="I743" s="43"/>
      <c r="J743" s="9"/>
      <c r="K743" s="74"/>
      <c r="L743" s="1"/>
      <c r="M743" s="43"/>
    </row>
    <row r="744" spans="8:13">
      <c r="H744" s="142"/>
      <c r="I744" s="43"/>
      <c r="J744" s="9"/>
      <c r="K744" s="74"/>
      <c r="L744" s="1"/>
      <c r="M744" s="43"/>
    </row>
    <row r="745" spans="8:13">
      <c r="H745" s="142"/>
      <c r="I745" s="43"/>
      <c r="J745" s="9"/>
      <c r="K745" s="74"/>
      <c r="L745" s="1"/>
      <c r="M745" s="43"/>
    </row>
    <row r="746" spans="8:13">
      <c r="H746" s="142"/>
      <c r="I746" s="43"/>
      <c r="J746" s="9"/>
      <c r="K746" s="74"/>
      <c r="L746" s="1"/>
      <c r="M746" s="43"/>
    </row>
    <row r="747" spans="8:13">
      <c r="H747" s="142"/>
      <c r="I747" s="43"/>
      <c r="J747" s="9"/>
      <c r="K747" s="74"/>
      <c r="L747" s="1"/>
      <c r="M747" s="43"/>
    </row>
    <row r="748" spans="8:13">
      <c r="H748" s="142"/>
      <c r="I748" s="43"/>
      <c r="J748" s="9"/>
      <c r="K748" s="74"/>
      <c r="L748" s="1"/>
      <c r="M748" s="43"/>
    </row>
    <row r="749" spans="8:13">
      <c r="H749" s="142"/>
      <c r="I749" s="43"/>
      <c r="J749" s="9"/>
      <c r="K749" s="74"/>
      <c r="L749" s="1"/>
      <c r="M749" s="43"/>
    </row>
    <row r="750" spans="8:13">
      <c r="H750" s="142"/>
      <c r="I750" s="43"/>
      <c r="J750" s="9"/>
      <c r="K750" s="74"/>
      <c r="L750" s="1"/>
      <c r="M750" s="43"/>
    </row>
    <row r="751" spans="8:13">
      <c r="H751" s="142"/>
      <c r="I751" s="43"/>
      <c r="J751" s="9"/>
      <c r="K751" s="74"/>
      <c r="L751" s="1"/>
      <c r="M751" s="43"/>
    </row>
    <row r="752" spans="8:13">
      <c r="H752" s="142"/>
      <c r="I752" s="43"/>
      <c r="J752" s="9"/>
      <c r="K752" s="74"/>
      <c r="L752" s="1"/>
      <c r="M752" s="43"/>
    </row>
    <row r="753" spans="8:13">
      <c r="H753" s="142"/>
      <c r="I753" s="43"/>
      <c r="J753" s="9"/>
      <c r="K753" s="74"/>
      <c r="L753" s="1"/>
      <c r="M753" s="43"/>
    </row>
    <row r="754" spans="8:13">
      <c r="H754" s="142"/>
      <c r="I754" s="43"/>
      <c r="J754" s="9"/>
      <c r="K754" s="74"/>
      <c r="L754" s="1"/>
      <c r="M754" s="43"/>
    </row>
    <row r="755" spans="8:13">
      <c r="H755" s="142"/>
      <c r="I755" s="43"/>
      <c r="J755" s="9"/>
      <c r="K755" s="74"/>
      <c r="L755" s="1"/>
      <c r="M755" s="43"/>
    </row>
    <row r="756" spans="8:13">
      <c r="H756" s="142"/>
      <c r="I756" s="43"/>
      <c r="J756" s="9"/>
      <c r="K756" s="74"/>
      <c r="L756" s="1"/>
      <c r="M756" s="43"/>
    </row>
    <row r="757" spans="8:13">
      <c r="H757" s="142"/>
      <c r="I757" s="43"/>
      <c r="J757" s="9"/>
      <c r="K757" s="74"/>
      <c r="L757" s="1"/>
      <c r="M757" s="43"/>
    </row>
    <row r="758" spans="8:13">
      <c r="H758" s="142"/>
      <c r="I758" s="43"/>
      <c r="J758" s="9"/>
      <c r="K758" s="74"/>
      <c r="L758" s="1"/>
      <c r="M758" s="43"/>
    </row>
    <row r="759" spans="8:13">
      <c r="H759" s="142"/>
      <c r="I759" s="43"/>
      <c r="J759" s="9"/>
      <c r="K759" s="74"/>
      <c r="L759" s="1"/>
      <c r="M759" s="43"/>
    </row>
    <row r="760" spans="8:13">
      <c r="H760" s="142"/>
      <c r="I760" s="43"/>
      <c r="J760" s="9"/>
      <c r="K760" s="74"/>
      <c r="L760" s="1"/>
      <c r="M760" s="43"/>
    </row>
    <row r="761" spans="8:13">
      <c r="H761" s="142"/>
      <c r="I761" s="43"/>
      <c r="J761" s="9"/>
      <c r="K761" s="74"/>
      <c r="L761" s="1"/>
      <c r="M761" s="43"/>
    </row>
    <row r="762" spans="8:13">
      <c r="H762" s="142"/>
      <c r="I762" s="43"/>
      <c r="J762" s="9"/>
      <c r="K762" s="74"/>
      <c r="L762" s="1"/>
      <c r="M762" s="43"/>
    </row>
    <row r="763" spans="8:13">
      <c r="H763" s="142"/>
      <c r="I763" s="43"/>
      <c r="J763" s="9"/>
      <c r="K763" s="74"/>
      <c r="L763" s="1"/>
      <c r="M763" s="43"/>
    </row>
    <row r="764" spans="8:13">
      <c r="H764" s="142"/>
      <c r="I764" s="43"/>
      <c r="J764" s="9"/>
      <c r="K764" s="74"/>
      <c r="L764" s="1"/>
      <c r="M764" s="43"/>
    </row>
    <row r="765" spans="8:13">
      <c r="H765" s="142"/>
      <c r="I765" s="43"/>
      <c r="J765" s="9"/>
      <c r="K765" s="74"/>
      <c r="L765" s="1"/>
      <c r="M765" s="43"/>
    </row>
    <row r="766" spans="8:13">
      <c r="H766" s="142"/>
      <c r="I766" s="43"/>
      <c r="J766" s="9"/>
      <c r="K766" s="74"/>
      <c r="L766" s="1"/>
      <c r="M766" s="43"/>
    </row>
    <row r="767" spans="8:13">
      <c r="H767" s="142"/>
      <c r="I767" s="43"/>
      <c r="J767" s="9"/>
      <c r="K767" s="74"/>
      <c r="L767" s="1"/>
      <c r="M767" s="43"/>
    </row>
    <row r="768" spans="8:13">
      <c r="H768" s="142"/>
      <c r="I768" s="43"/>
      <c r="J768" s="9"/>
      <c r="K768" s="74"/>
      <c r="L768" s="1"/>
      <c r="M768" s="43"/>
    </row>
    <row r="769" spans="8:13">
      <c r="H769" s="142"/>
      <c r="I769" s="43"/>
      <c r="J769" s="9"/>
      <c r="K769" s="74"/>
      <c r="L769" s="1"/>
      <c r="M769" s="43"/>
    </row>
    <row r="770" spans="8:13">
      <c r="H770" s="142"/>
      <c r="I770" s="43"/>
      <c r="J770" s="9"/>
      <c r="K770" s="74"/>
      <c r="L770" s="1"/>
      <c r="M770" s="43"/>
    </row>
    <row r="771" spans="8:13">
      <c r="H771" s="142"/>
      <c r="I771" s="43"/>
      <c r="J771" s="9"/>
      <c r="K771" s="74"/>
      <c r="L771" s="1"/>
      <c r="M771" s="43"/>
    </row>
    <row r="772" spans="8:13">
      <c r="H772" s="142"/>
      <c r="I772" s="43"/>
      <c r="J772" s="9"/>
      <c r="K772" s="74"/>
      <c r="L772" s="1"/>
      <c r="M772" s="43"/>
    </row>
    <row r="773" spans="8:13">
      <c r="H773" s="142"/>
      <c r="I773" s="43"/>
      <c r="J773" s="9"/>
      <c r="K773" s="74"/>
      <c r="L773" s="1"/>
      <c r="M773" s="43"/>
    </row>
    <row r="774" spans="8:13">
      <c r="H774" s="142"/>
      <c r="I774" s="43"/>
      <c r="J774" s="9"/>
      <c r="K774" s="74"/>
      <c r="L774" s="1"/>
      <c r="M774" s="43"/>
    </row>
    <row r="775" spans="8:13">
      <c r="H775" s="142"/>
      <c r="I775" s="43"/>
      <c r="J775" s="9"/>
      <c r="K775" s="74"/>
      <c r="L775" s="1"/>
      <c r="M775" s="43"/>
    </row>
    <row r="776" spans="8:13">
      <c r="H776" s="142"/>
      <c r="I776" s="43"/>
      <c r="J776" s="9"/>
      <c r="K776" s="74"/>
      <c r="L776" s="1"/>
      <c r="M776" s="43"/>
    </row>
    <row r="777" spans="8:13">
      <c r="H777" s="142"/>
      <c r="I777" s="43"/>
      <c r="J777" s="9"/>
      <c r="K777" s="74"/>
      <c r="L777" s="1"/>
      <c r="M777" s="43"/>
    </row>
    <row r="778" spans="8:13">
      <c r="H778" s="142"/>
      <c r="I778" s="43"/>
      <c r="J778" s="9"/>
      <c r="K778" s="74"/>
      <c r="L778" s="1"/>
      <c r="M778" s="43"/>
    </row>
    <row r="779" spans="8:13">
      <c r="H779" s="142"/>
      <c r="I779" s="43"/>
      <c r="J779" s="9"/>
      <c r="K779" s="74"/>
      <c r="L779" s="1"/>
      <c r="M779" s="43"/>
    </row>
    <row r="780" spans="8:13">
      <c r="H780" s="142"/>
      <c r="I780" s="43"/>
      <c r="J780" s="9"/>
      <c r="K780" s="74"/>
      <c r="L780" s="1"/>
      <c r="M780" s="43"/>
    </row>
    <row r="781" spans="8:13">
      <c r="H781" s="142"/>
      <c r="I781" s="43"/>
      <c r="J781" s="9"/>
      <c r="K781" s="74"/>
      <c r="L781" s="1"/>
      <c r="M781" s="43"/>
    </row>
    <row r="782" spans="8:13">
      <c r="H782" s="142"/>
      <c r="I782" s="43"/>
      <c r="J782" s="9"/>
      <c r="K782" s="74"/>
      <c r="L782" s="1"/>
      <c r="M782" s="43"/>
    </row>
    <row r="783" spans="8:13">
      <c r="H783" s="142"/>
      <c r="I783" s="43"/>
      <c r="J783" s="9"/>
      <c r="K783" s="74"/>
      <c r="L783" s="1"/>
      <c r="M783" s="43"/>
    </row>
    <row r="784" spans="8:13">
      <c r="H784" s="142"/>
      <c r="I784" s="43"/>
      <c r="J784" s="9"/>
      <c r="K784" s="74"/>
      <c r="L784" s="1"/>
      <c r="M784" s="43"/>
    </row>
    <row r="785" spans="8:13">
      <c r="H785" s="142"/>
      <c r="I785" s="43"/>
      <c r="J785" s="9"/>
      <c r="K785" s="74"/>
      <c r="L785" s="1"/>
      <c r="M785" s="43"/>
    </row>
    <row r="786" spans="8:13">
      <c r="H786" s="142"/>
      <c r="I786" s="43"/>
      <c r="J786" s="9"/>
      <c r="K786" s="74"/>
      <c r="L786" s="1"/>
      <c r="M786" s="43"/>
    </row>
    <row r="787" spans="8:13">
      <c r="H787" s="142"/>
      <c r="I787" s="43"/>
      <c r="J787" s="9"/>
      <c r="K787" s="74"/>
      <c r="L787" s="1"/>
      <c r="M787" s="43"/>
    </row>
    <row r="788" spans="8:13">
      <c r="H788" s="142"/>
      <c r="I788" s="43"/>
      <c r="J788" s="9"/>
      <c r="K788" s="74"/>
      <c r="L788" s="1"/>
      <c r="M788" s="43"/>
    </row>
    <row r="789" spans="8:13">
      <c r="H789" s="142"/>
      <c r="I789" s="43"/>
      <c r="J789" s="9"/>
      <c r="K789" s="74"/>
      <c r="L789" s="1"/>
      <c r="M789" s="43"/>
    </row>
    <row r="790" spans="8:13">
      <c r="H790" s="142"/>
      <c r="I790" s="43"/>
      <c r="J790" s="9"/>
      <c r="K790" s="74"/>
      <c r="L790" s="1"/>
      <c r="M790" s="43"/>
    </row>
    <row r="791" spans="8:13">
      <c r="H791" s="142"/>
      <c r="I791" s="43"/>
      <c r="J791" s="9"/>
      <c r="K791" s="74"/>
      <c r="L791" s="1"/>
      <c r="M791" s="43"/>
    </row>
    <row r="792" spans="8:13">
      <c r="H792" s="142"/>
      <c r="I792" s="43"/>
      <c r="J792" s="9"/>
      <c r="K792" s="74"/>
      <c r="L792" s="1"/>
      <c r="M792" s="43"/>
    </row>
    <row r="793" spans="8:13">
      <c r="H793" s="142"/>
      <c r="I793" s="43"/>
      <c r="J793" s="9"/>
      <c r="K793" s="74"/>
      <c r="L793" s="1"/>
      <c r="M793" s="43"/>
    </row>
    <row r="794" spans="8:13">
      <c r="H794" s="142"/>
      <c r="I794" s="43"/>
      <c r="J794" s="9"/>
      <c r="K794" s="74"/>
      <c r="L794" s="1"/>
      <c r="M794" s="43"/>
    </row>
    <row r="795" spans="8:13">
      <c r="H795" s="142"/>
      <c r="I795" s="43"/>
      <c r="J795" s="9"/>
      <c r="K795" s="74"/>
      <c r="L795" s="1"/>
      <c r="M795" s="43"/>
    </row>
    <row r="796" spans="8:13">
      <c r="H796" s="142"/>
      <c r="I796" s="43"/>
      <c r="J796" s="9"/>
      <c r="K796" s="74"/>
      <c r="L796" s="1"/>
      <c r="M796" s="43"/>
    </row>
    <row r="797" spans="8:13">
      <c r="H797" s="142"/>
      <c r="I797" s="43"/>
      <c r="J797" s="9"/>
      <c r="K797" s="74"/>
      <c r="L797" s="1"/>
      <c r="M797" s="43"/>
    </row>
    <row r="798" spans="8:13">
      <c r="H798" s="142"/>
      <c r="I798" s="43"/>
      <c r="J798" s="9"/>
      <c r="K798" s="74"/>
      <c r="L798" s="1"/>
      <c r="M798" s="43"/>
    </row>
    <row r="799" spans="8:13">
      <c r="H799" s="142"/>
      <c r="I799" s="43"/>
      <c r="J799" s="9"/>
      <c r="K799" s="74"/>
      <c r="L799" s="1"/>
      <c r="M799" s="43"/>
    </row>
    <row r="800" spans="8:13">
      <c r="H800" s="142"/>
      <c r="I800" s="43"/>
      <c r="J800" s="9"/>
      <c r="K800" s="74"/>
      <c r="L800" s="1"/>
      <c r="M800" s="43"/>
    </row>
    <row r="801" spans="8:13">
      <c r="H801" s="142"/>
      <c r="I801" s="43"/>
      <c r="J801" s="9"/>
      <c r="K801" s="74"/>
      <c r="L801" s="1"/>
      <c r="M801" s="43"/>
    </row>
    <row r="802" spans="8:13">
      <c r="H802" s="142"/>
      <c r="I802" s="43"/>
      <c r="J802" s="9"/>
      <c r="K802" s="74"/>
      <c r="L802" s="1"/>
      <c r="M802" s="43"/>
    </row>
    <row r="803" spans="8:13">
      <c r="H803" s="142"/>
      <c r="I803" s="43"/>
      <c r="J803" s="9"/>
      <c r="K803" s="74"/>
      <c r="L803" s="1"/>
      <c r="M803" s="43"/>
    </row>
    <row r="804" spans="8:13">
      <c r="H804" s="142"/>
      <c r="I804" s="43"/>
      <c r="J804" s="9"/>
      <c r="K804" s="74"/>
      <c r="L804" s="1"/>
      <c r="M804" s="43"/>
    </row>
    <row r="805" spans="8:13">
      <c r="H805" s="142"/>
      <c r="I805" s="43"/>
      <c r="J805" s="9"/>
      <c r="K805" s="74"/>
      <c r="L805" s="1"/>
      <c r="M805" s="43"/>
    </row>
    <row r="806" spans="8:13">
      <c r="H806" s="142"/>
      <c r="I806" s="43"/>
      <c r="J806" s="9"/>
      <c r="K806" s="74"/>
      <c r="L806" s="1"/>
      <c r="M806" s="43"/>
    </row>
    <row r="807" spans="8:13">
      <c r="H807" s="142"/>
      <c r="I807" s="43"/>
      <c r="J807" s="9"/>
      <c r="K807" s="74"/>
      <c r="L807" s="1"/>
      <c r="M807" s="43"/>
    </row>
    <row r="808" spans="8:13">
      <c r="H808" s="142"/>
      <c r="I808" s="43"/>
      <c r="J808" s="9"/>
      <c r="K808" s="74"/>
      <c r="L808" s="1"/>
      <c r="M808" s="43"/>
    </row>
    <row r="809" spans="8:13">
      <c r="H809" s="142"/>
      <c r="I809" s="43"/>
      <c r="J809" s="9"/>
      <c r="K809" s="74"/>
      <c r="L809" s="1"/>
      <c r="M809" s="43"/>
    </row>
    <row r="810" spans="8:13">
      <c r="H810" s="142"/>
      <c r="I810" s="43"/>
      <c r="J810" s="9"/>
      <c r="K810" s="74"/>
      <c r="L810" s="1"/>
      <c r="M810" s="43"/>
    </row>
    <row r="811" spans="8:13">
      <c r="H811" s="142"/>
      <c r="I811" s="43"/>
      <c r="J811" s="9"/>
      <c r="K811" s="74"/>
      <c r="L811" s="1"/>
      <c r="M811" s="43"/>
    </row>
    <row r="812" spans="8:13">
      <c r="H812" s="142"/>
      <c r="I812" s="43"/>
      <c r="J812" s="9"/>
      <c r="K812" s="74"/>
      <c r="L812" s="1"/>
      <c r="M812" s="43"/>
    </row>
    <row r="813" spans="8:13">
      <c r="H813" s="142"/>
      <c r="I813" s="43"/>
      <c r="J813" s="9"/>
      <c r="K813" s="74"/>
      <c r="L813" s="1"/>
      <c r="M813" s="43"/>
    </row>
    <row r="814" spans="8:13">
      <c r="H814" s="142"/>
      <c r="I814" s="43"/>
      <c r="J814" s="9"/>
      <c r="K814" s="74"/>
      <c r="L814" s="1"/>
      <c r="M814" s="43"/>
    </row>
    <row r="815" spans="8:13">
      <c r="H815" s="142"/>
      <c r="I815" s="43"/>
      <c r="J815" s="9"/>
      <c r="K815" s="74"/>
      <c r="L815" s="1"/>
      <c r="M815" s="43"/>
    </row>
    <row r="816" spans="8:13">
      <c r="H816" s="142"/>
      <c r="I816" s="43"/>
      <c r="J816" s="9"/>
      <c r="K816" s="74"/>
      <c r="L816" s="1"/>
      <c r="M816" s="43"/>
    </row>
    <row r="817" spans="8:13">
      <c r="H817" s="142"/>
      <c r="I817" s="43"/>
      <c r="J817" s="9"/>
      <c r="K817" s="74"/>
      <c r="L817" s="1"/>
      <c r="M817" s="43"/>
    </row>
    <row r="818" spans="8:13">
      <c r="H818" s="142"/>
      <c r="I818" s="43"/>
      <c r="J818" s="9"/>
      <c r="K818" s="74"/>
      <c r="L818" s="1"/>
      <c r="M818" s="43"/>
    </row>
    <row r="819" spans="8:13">
      <c r="H819" s="142"/>
      <c r="I819" s="43"/>
      <c r="J819" s="9"/>
      <c r="K819" s="74"/>
      <c r="L819" s="1"/>
      <c r="M819" s="43"/>
    </row>
    <row r="820" spans="8:13">
      <c r="H820" s="142"/>
      <c r="I820" s="43"/>
      <c r="J820" s="9"/>
      <c r="K820" s="74"/>
      <c r="L820" s="1"/>
      <c r="M820" s="43"/>
    </row>
    <row r="821" spans="8:13">
      <c r="H821" s="142"/>
      <c r="I821" s="43"/>
      <c r="J821" s="9"/>
      <c r="K821" s="74"/>
      <c r="L821" s="1"/>
      <c r="M821" s="43"/>
    </row>
    <row r="822" spans="8:13">
      <c r="H822" s="142"/>
      <c r="I822" s="43"/>
      <c r="J822" s="9"/>
      <c r="K822" s="74"/>
      <c r="L822" s="1"/>
      <c r="M822" s="43"/>
    </row>
    <row r="823" spans="8:13">
      <c r="H823" s="142"/>
      <c r="I823" s="43"/>
      <c r="J823" s="9"/>
      <c r="K823" s="74"/>
      <c r="L823" s="1"/>
      <c r="M823" s="43"/>
    </row>
    <row r="824" spans="8:13">
      <c r="H824" s="142"/>
      <c r="I824" s="43"/>
      <c r="J824" s="9"/>
      <c r="K824" s="74"/>
      <c r="L824" s="1"/>
      <c r="M824" s="43"/>
    </row>
    <row r="825" spans="8:13">
      <c r="H825" s="142"/>
      <c r="I825" s="43"/>
      <c r="J825" s="9"/>
      <c r="K825" s="74"/>
      <c r="L825" s="1"/>
      <c r="M825" s="43"/>
    </row>
    <row r="826" spans="8:13">
      <c r="H826" s="142"/>
      <c r="I826" s="43"/>
      <c r="J826" s="9"/>
      <c r="K826" s="74"/>
      <c r="L826" s="1"/>
      <c r="M826" s="43"/>
    </row>
    <row r="827" spans="8:13">
      <c r="H827" s="142"/>
      <c r="I827" s="43"/>
      <c r="J827" s="9"/>
      <c r="K827" s="74"/>
      <c r="L827" s="1"/>
      <c r="M827" s="43"/>
    </row>
    <row r="828" spans="8:13">
      <c r="H828" s="142"/>
      <c r="I828" s="43"/>
      <c r="J828" s="9"/>
      <c r="K828" s="74"/>
      <c r="L828" s="1"/>
      <c r="M828" s="43"/>
    </row>
    <row r="829" spans="8:13">
      <c r="H829" s="142"/>
      <c r="I829" s="43"/>
      <c r="J829" s="9"/>
      <c r="K829" s="74"/>
      <c r="L829" s="1"/>
      <c r="M829" s="43"/>
    </row>
    <row r="830" spans="8:13">
      <c r="H830" s="142"/>
      <c r="I830" s="43"/>
      <c r="J830" s="9"/>
      <c r="K830" s="74"/>
      <c r="L830" s="1"/>
      <c r="M830" s="43"/>
    </row>
    <row r="831" spans="8:13">
      <c r="H831" s="142"/>
      <c r="I831" s="43"/>
      <c r="J831" s="9"/>
      <c r="K831" s="74"/>
      <c r="L831" s="1"/>
      <c r="M831" s="43"/>
    </row>
    <row r="832" spans="8:13">
      <c r="H832" s="142"/>
      <c r="I832" s="43"/>
      <c r="J832" s="9"/>
      <c r="K832" s="74"/>
      <c r="L832" s="1"/>
      <c r="M832" s="43"/>
    </row>
    <row r="833" spans="8:13">
      <c r="H833" s="142"/>
      <c r="I833" s="43"/>
      <c r="J833" s="9"/>
      <c r="K833" s="74"/>
      <c r="L833" s="1"/>
      <c r="M833" s="43"/>
    </row>
    <row r="834" spans="8:13">
      <c r="H834" s="142"/>
      <c r="I834" s="43"/>
      <c r="J834" s="9"/>
      <c r="K834" s="74"/>
      <c r="L834" s="1"/>
      <c r="M834" s="43"/>
    </row>
    <row r="835" spans="8:13">
      <c r="H835" s="142"/>
      <c r="I835" s="43"/>
      <c r="J835" s="9"/>
      <c r="K835" s="74"/>
      <c r="L835" s="1"/>
      <c r="M835" s="43"/>
    </row>
    <row r="836" spans="8:13">
      <c r="H836" s="142"/>
      <c r="I836" s="43"/>
      <c r="J836" s="9"/>
      <c r="K836" s="74"/>
      <c r="L836" s="1"/>
      <c r="M836" s="43"/>
    </row>
    <row r="837" spans="8:13">
      <c r="H837" s="142"/>
      <c r="I837" s="43"/>
      <c r="J837" s="9"/>
      <c r="K837" s="74"/>
      <c r="L837" s="1"/>
      <c r="M837" s="43"/>
    </row>
    <row r="838" spans="8:13">
      <c r="H838" s="142"/>
      <c r="I838" s="43"/>
      <c r="J838" s="9"/>
      <c r="K838" s="74"/>
      <c r="L838" s="1"/>
      <c r="M838" s="43"/>
    </row>
    <row r="839" spans="8:13">
      <c r="H839" s="142"/>
      <c r="I839" s="43"/>
      <c r="J839" s="9"/>
      <c r="K839" s="74"/>
      <c r="L839" s="1"/>
      <c r="M839" s="43"/>
    </row>
    <row r="840" spans="8:13">
      <c r="H840" s="142"/>
      <c r="I840" s="43"/>
      <c r="J840" s="9"/>
      <c r="K840" s="74"/>
      <c r="L840" s="1"/>
      <c r="M840" s="43"/>
    </row>
    <row r="841" spans="8:13">
      <c r="H841" s="142"/>
      <c r="I841" s="43"/>
      <c r="J841" s="9"/>
      <c r="K841" s="74"/>
      <c r="L841" s="1"/>
      <c r="M841" s="43"/>
    </row>
    <row r="842" spans="8:13">
      <c r="H842" s="142"/>
      <c r="I842" s="43"/>
      <c r="J842" s="9"/>
      <c r="K842" s="74"/>
      <c r="L842" s="1"/>
      <c r="M842" s="43"/>
    </row>
    <row r="843" spans="8:13">
      <c r="H843" s="142"/>
      <c r="I843" s="43"/>
      <c r="J843" s="9"/>
      <c r="K843" s="74"/>
      <c r="L843" s="1"/>
      <c r="M843" s="43"/>
    </row>
    <row r="844" spans="8:13">
      <c r="H844" s="142"/>
      <c r="I844" s="43"/>
      <c r="J844" s="9"/>
      <c r="K844" s="74"/>
      <c r="L844" s="1"/>
      <c r="M844" s="43"/>
    </row>
    <row r="845" spans="8:13">
      <c r="H845" s="142"/>
      <c r="I845" s="43"/>
      <c r="J845" s="9"/>
      <c r="K845" s="74"/>
      <c r="L845" s="1"/>
      <c r="M845" s="43"/>
    </row>
    <row r="846" spans="8:13">
      <c r="H846" s="142"/>
      <c r="I846" s="43"/>
      <c r="J846" s="9"/>
      <c r="K846" s="74"/>
      <c r="L846" s="1"/>
      <c r="M846" s="43"/>
    </row>
    <row r="847" spans="8:13">
      <c r="H847" s="142"/>
      <c r="I847" s="43"/>
      <c r="J847" s="9"/>
      <c r="K847" s="74"/>
      <c r="L847" s="1"/>
      <c r="M847" s="43"/>
    </row>
    <row r="848" spans="8:13">
      <c r="H848" s="142"/>
      <c r="I848" s="43"/>
      <c r="J848" s="9"/>
      <c r="K848" s="74"/>
      <c r="L848" s="1"/>
      <c r="M848" s="43"/>
    </row>
    <row r="849" spans="8:13">
      <c r="H849" s="142"/>
      <c r="I849" s="43"/>
      <c r="J849" s="9"/>
      <c r="K849" s="74"/>
      <c r="L849" s="1"/>
      <c r="M849" s="43"/>
    </row>
    <row r="850" spans="8:13">
      <c r="H850" s="142"/>
      <c r="I850" s="43"/>
      <c r="J850" s="9"/>
      <c r="K850" s="74"/>
      <c r="L850" s="1"/>
      <c r="M850" s="43"/>
    </row>
    <row r="851" spans="8:13">
      <c r="H851" s="142"/>
      <c r="I851" s="43"/>
      <c r="J851" s="9"/>
      <c r="K851" s="74"/>
      <c r="L851" s="1"/>
      <c r="M851" s="43"/>
    </row>
    <row r="852" spans="8:13">
      <c r="H852" s="142"/>
      <c r="I852" s="43"/>
      <c r="J852" s="9"/>
      <c r="K852" s="74"/>
      <c r="L852" s="1"/>
      <c r="M852" s="43"/>
    </row>
    <row r="853" spans="8:13">
      <c r="H853" s="142"/>
      <c r="I853" s="43"/>
      <c r="J853" s="9"/>
      <c r="K853" s="74"/>
      <c r="L853" s="1"/>
      <c r="M853" s="43"/>
    </row>
    <row r="854" spans="8:13">
      <c r="H854" s="142"/>
      <c r="I854" s="43"/>
      <c r="J854" s="9"/>
      <c r="K854" s="74"/>
      <c r="L854" s="1"/>
      <c r="M854" s="43"/>
    </row>
    <row r="855" spans="8:13">
      <c r="H855" s="142"/>
      <c r="I855" s="43"/>
      <c r="J855" s="9"/>
      <c r="K855" s="74"/>
      <c r="L855" s="1"/>
      <c r="M855" s="43"/>
    </row>
    <row r="856" spans="8:13">
      <c r="H856" s="142"/>
      <c r="I856" s="43"/>
      <c r="J856" s="9"/>
      <c r="K856" s="74"/>
      <c r="L856" s="1"/>
      <c r="M856" s="43"/>
    </row>
    <row r="857" spans="8:13">
      <c r="H857" s="142"/>
      <c r="I857" s="43"/>
      <c r="J857" s="9"/>
      <c r="K857" s="74"/>
      <c r="L857" s="1"/>
      <c r="M857" s="43"/>
    </row>
    <row r="858" spans="8:13">
      <c r="H858" s="142"/>
      <c r="I858" s="43"/>
      <c r="J858" s="9"/>
      <c r="K858" s="74"/>
      <c r="L858" s="1"/>
      <c r="M858" s="43"/>
    </row>
    <row r="859" spans="8:13">
      <c r="H859" s="142"/>
      <c r="I859" s="43"/>
      <c r="J859" s="9"/>
      <c r="K859" s="74"/>
      <c r="L859" s="1"/>
      <c r="M859" s="43"/>
    </row>
    <row r="860" spans="8:13">
      <c r="H860" s="142"/>
      <c r="I860" s="43"/>
      <c r="J860" s="9"/>
      <c r="K860" s="74"/>
      <c r="L860" s="1"/>
      <c r="M860" s="43"/>
    </row>
    <row r="861" spans="8:13">
      <c r="H861" s="142"/>
      <c r="I861" s="43"/>
      <c r="J861" s="9"/>
      <c r="K861" s="74"/>
      <c r="L861" s="1"/>
      <c r="M861" s="43"/>
    </row>
    <row r="862" spans="8:13">
      <c r="H862" s="142"/>
      <c r="I862" s="43"/>
      <c r="J862" s="9"/>
      <c r="K862" s="74"/>
      <c r="L862" s="1"/>
      <c r="M862" s="43"/>
    </row>
    <row r="863" spans="8:13">
      <c r="H863" s="142"/>
      <c r="I863" s="43"/>
      <c r="J863" s="9"/>
      <c r="K863" s="74"/>
      <c r="L863" s="1"/>
      <c r="M863" s="43"/>
    </row>
    <row r="864" spans="8:13">
      <c r="H864" s="142"/>
      <c r="I864" s="43"/>
      <c r="J864" s="9"/>
      <c r="K864" s="74"/>
      <c r="L864" s="1"/>
      <c r="M864" s="43"/>
    </row>
    <row r="865" spans="8:13">
      <c r="H865" s="142"/>
      <c r="I865" s="43"/>
      <c r="J865" s="9"/>
      <c r="K865" s="74"/>
      <c r="L865" s="1"/>
      <c r="M865" s="43"/>
    </row>
    <row r="866" spans="8:13">
      <c r="H866" s="142"/>
      <c r="I866" s="43"/>
      <c r="J866" s="9"/>
      <c r="K866" s="74"/>
      <c r="L866" s="1"/>
      <c r="M866" s="43"/>
    </row>
    <row r="867" spans="8:13">
      <c r="H867" s="142"/>
      <c r="I867" s="43"/>
      <c r="J867" s="9"/>
      <c r="K867" s="74"/>
      <c r="L867" s="1"/>
      <c r="M867" s="43"/>
    </row>
    <row r="868" spans="8:13">
      <c r="H868" s="142"/>
      <c r="I868" s="43"/>
      <c r="J868" s="9"/>
      <c r="K868" s="74"/>
      <c r="L868" s="1"/>
      <c r="M868" s="43"/>
    </row>
    <row r="869" spans="8:13">
      <c r="H869" s="142"/>
      <c r="I869" s="43"/>
      <c r="J869" s="9"/>
      <c r="K869" s="74"/>
      <c r="L869" s="1"/>
      <c r="M869" s="43"/>
    </row>
    <row r="870" spans="8:13">
      <c r="H870" s="142"/>
      <c r="I870" s="43"/>
      <c r="J870" s="9"/>
      <c r="K870" s="74"/>
      <c r="L870" s="1"/>
      <c r="M870" s="43"/>
    </row>
    <row r="871" spans="8:13">
      <c r="H871" s="142"/>
      <c r="I871" s="43"/>
      <c r="J871" s="9"/>
      <c r="K871" s="74"/>
      <c r="L871" s="1"/>
      <c r="M871" s="43"/>
    </row>
    <row r="872" spans="8:13">
      <c r="H872" s="142"/>
      <c r="I872" s="43"/>
      <c r="J872" s="9"/>
      <c r="K872" s="74"/>
      <c r="L872" s="1"/>
      <c r="M872" s="43"/>
    </row>
    <row r="873" spans="8:13">
      <c r="H873" s="142"/>
      <c r="I873" s="43"/>
      <c r="J873" s="9"/>
      <c r="K873" s="74"/>
      <c r="L873" s="1"/>
      <c r="M873" s="43"/>
    </row>
    <row r="874" spans="8:13">
      <c r="H874" s="142"/>
      <c r="I874" s="43"/>
      <c r="J874" s="9"/>
      <c r="K874" s="74"/>
      <c r="L874" s="1"/>
      <c r="M874" s="43"/>
    </row>
    <row r="875" spans="8:13">
      <c r="H875" s="142"/>
      <c r="I875" s="43"/>
      <c r="J875" s="9"/>
      <c r="K875" s="74"/>
      <c r="L875" s="1"/>
      <c r="M875" s="43"/>
    </row>
    <row r="876" spans="8:13">
      <c r="H876" s="142"/>
      <c r="I876" s="43"/>
      <c r="J876" s="9"/>
      <c r="K876" s="74"/>
      <c r="L876" s="1"/>
      <c r="M876" s="43"/>
    </row>
    <row r="877" spans="8:13">
      <c r="H877" s="142"/>
      <c r="I877" s="43"/>
      <c r="J877" s="9"/>
      <c r="K877" s="74"/>
      <c r="L877" s="1"/>
      <c r="M877" s="43"/>
    </row>
    <row r="878" spans="8:13">
      <c r="H878" s="142"/>
      <c r="I878" s="43"/>
      <c r="J878" s="9"/>
      <c r="K878" s="74"/>
      <c r="L878" s="1"/>
      <c r="M878" s="43"/>
    </row>
    <row r="879" spans="8:13">
      <c r="H879" s="142"/>
      <c r="I879" s="43"/>
      <c r="J879" s="9"/>
      <c r="K879" s="74"/>
      <c r="L879" s="1"/>
      <c r="M879" s="43"/>
    </row>
    <row r="880" spans="8:13">
      <c r="H880" s="142"/>
      <c r="I880" s="43"/>
      <c r="J880" s="9"/>
      <c r="K880" s="74"/>
      <c r="L880" s="1"/>
      <c r="M880" s="43"/>
    </row>
    <row r="881" spans="8:13">
      <c r="H881" s="142"/>
      <c r="I881" s="43"/>
      <c r="J881" s="9"/>
      <c r="K881" s="74"/>
      <c r="L881" s="1"/>
      <c r="M881" s="43"/>
    </row>
    <row r="882" spans="8:13">
      <c r="H882" s="142"/>
      <c r="I882" s="43"/>
      <c r="J882" s="9"/>
      <c r="K882" s="74"/>
      <c r="L882" s="1"/>
      <c r="M882" s="43"/>
    </row>
    <row r="883" spans="8:13">
      <c r="H883" s="142"/>
      <c r="I883" s="43"/>
      <c r="J883" s="9"/>
      <c r="K883" s="74"/>
      <c r="L883" s="1"/>
      <c r="M883" s="43"/>
    </row>
    <row r="884" spans="8:13">
      <c r="H884" s="142"/>
      <c r="I884" s="43"/>
      <c r="J884" s="9"/>
      <c r="K884" s="74"/>
      <c r="L884" s="1"/>
      <c r="M884" s="43"/>
    </row>
    <row r="885" spans="8:13">
      <c r="H885" s="142"/>
      <c r="I885" s="43"/>
      <c r="J885" s="9"/>
      <c r="K885" s="74"/>
      <c r="L885" s="1"/>
      <c r="M885" s="43"/>
    </row>
    <row r="886" spans="8:13">
      <c r="H886" s="142"/>
      <c r="I886" s="43"/>
      <c r="J886" s="9"/>
      <c r="K886" s="74"/>
      <c r="L886" s="1"/>
      <c r="M886" s="43"/>
    </row>
    <row r="887" spans="8:13">
      <c r="H887" s="142"/>
      <c r="I887" s="43"/>
      <c r="J887" s="9"/>
      <c r="K887" s="74"/>
      <c r="L887" s="1"/>
      <c r="M887" s="43"/>
    </row>
    <row r="888" spans="8:13">
      <c r="H888" s="142"/>
      <c r="I888" s="43"/>
      <c r="J888" s="9"/>
      <c r="K888" s="74"/>
      <c r="L888" s="1"/>
      <c r="M888" s="43"/>
    </row>
    <row r="889" spans="8:13">
      <c r="H889" s="142"/>
      <c r="I889" s="43"/>
      <c r="J889" s="9"/>
      <c r="K889" s="74"/>
      <c r="L889" s="1"/>
      <c r="M889" s="43"/>
    </row>
    <row r="890" spans="8:13">
      <c r="H890" s="142"/>
      <c r="I890" s="43"/>
      <c r="J890" s="9"/>
      <c r="K890" s="74"/>
      <c r="L890" s="1"/>
      <c r="M890" s="43"/>
    </row>
    <row r="891" spans="8:13">
      <c r="H891" s="142"/>
      <c r="I891" s="43"/>
      <c r="J891" s="9"/>
      <c r="K891" s="74"/>
      <c r="L891" s="1"/>
      <c r="M891" s="43"/>
    </row>
    <row r="892" spans="8:13">
      <c r="H892" s="142"/>
      <c r="I892" s="43"/>
      <c r="J892" s="9"/>
      <c r="K892" s="74"/>
      <c r="L892" s="1"/>
      <c r="M892" s="43"/>
    </row>
    <row r="893" spans="8:13">
      <c r="H893" s="142"/>
      <c r="I893" s="43"/>
      <c r="J893" s="9"/>
      <c r="K893" s="74"/>
      <c r="L893" s="1"/>
      <c r="M893" s="43"/>
    </row>
    <row r="894" spans="8:13">
      <c r="H894" s="142"/>
      <c r="I894" s="43"/>
      <c r="J894" s="9"/>
      <c r="K894" s="74"/>
      <c r="L894" s="1"/>
      <c r="M894" s="43"/>
    </row>
    <row r="895" spans="8:13">
      <c r="H895" s="142"/>
      <c r="I895" s="43"/>
      <c r="J895" s="9"/>
      <c r="K895" s="74"/>
      <c r="L895" s="1"/>
      <c r="M895" s="43"/>
    </row>
    <row r="896" spans="8:13">
      <c r="H896" s="142"/>
      <c r="I896" s="43"/>
      <c r="J896" s="9"/>
      <c r="K896" s="74"/>
      <c r="L896" s="1"/>
      <c r="M896" s="43"/>
    </row>
    <row r="897" spans="8:13">
      <c r="H897" s="142"/>
      <c r="I897" s="43"/>
      <c r="J897" s="9"/>
      <c r="K897" s="74"/>
      <c r="L897" s="1"/>
      <c r="M897" s="43"/>
    </row>
    <row r="898" spans="8:13">
      <c r="H898" s="142"/>
      <c r="I898" s="43"/>
      <c r="J898" s="9"/>
      <c r="K898" s="74"/>
      <c r="L898" s="1"/>
      <c r="M898" s="43"/>
    </row>
    <row r="899" spans="8:13">
      <c r="H899" s="142"/>
      <c r="I899" s="43"/>
      <c r="J899" s="9"/>
      <c r="K899" s="74"/>
      <c r="L899" s="1"/>
      <c r="M899" s="43"/>
    </row>
    <row r="900" spans="8:13">
      <c r="H900" s="142"/>
      <c r="I900" s="43"/>
      <c r="J900" s="9"/>
      <c r="K900" s="74"/>
      <c r="L900" s="1"/>
      <c r="M900" s="43"/>
    </row>
    <row r="901" spans="8:13">
      <c r="H901" s="142"/>
      <c r="I901" s="43"/>
      <c r="J901" s="9"/>
      <c r="K901" s="74"/>
      <c r="L901" s="1"/>
      <c r="M901" s="43"/>
    </row>
    <row r="902" spans="8:13">
      <c r="H902" s="142"/>
      <c r="I902" s="43"/>
      <c r="J902" s="9"/>
      <c r="K902" s="74"/>
      <c r="L902" s="1"/>
      <c r="M902" s="43"/>
    </row>
    <row r="903" spans="8:13">
      <c r="H903" s="142"/>
      <c r="I903" s="43"/>
      <c r="J903" s="9"/>
      <c r="K903" s="74"/>
      <c r="L903" s="1"/>
      <c r="M903" s="43"/>
    </row>
    <row r="904" spans="8:13">
      <c r="H904" s="142"/>
      <c r="I904" s="43"/>
      <c r="J904" s="9"/>
      <c r="K904" s="74"/>
      <c r="L904" s="1"/>
      <c r="M904" s="43"/>
    </row>
    <row r="905" spans="8:13">
      <c r="H905" s="142"/>
      <c r="I905" s="43"/>
      <c r="J905" s="9"/>
      <c r="K905" s="74"/>
      <c r="L905" s="1"/>
      <c r="M905" s="43"/>
    </row>
    <row r="906" spans="8:13">
      <c r="H906" s="142"/>
      <c r="I906" s="43"/>
      <c r="J906" s="9"/>
      <c r="K906" s="74"/>
      <c r="L906" s="1"/>
      <c r="M906" s="43"/>
    </row>
  </sheetData>
  <autoFilter ref="B5:Q434" xr:uid="{00000000-0001-0000-0000-000000000000}"/>
  <conditionalFormatting sqref="G1:H391 G396:H1048576">
    <cfRule type="cellIs" dxfId="2" priority="1" operator="equal">
      <formula>"(blank)"</formula>
    </cfRule>
  </conditionalFormatting>
  <pageMargins left="0.7" right="0.7" top="0.75" bottom="0.75" header="0.3" footer="0.3"/>
  <pageSetup paperSize="9" orientation="portrait" verticalDpi="4294967293"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N518"/>
  <sheetViews>
    <sheetView showGridLines="0" zoomScaleNormal="100" workbookViewId="0">
      <pane xSplit="7" ySplit="3" topLeftCell="BX491" activePane="bottomRight" state="frozen"/>
      <selection pane="topRight" activeCell="F1" sqref="F1"/>
      <selection pane="bottomLeft" activeCell="A5" sqref="A5"/>
      <selection pane="bottomRight" activeCell="CA495" sqref="CA495"/>
    </sheetView>
  </sheetViews>
  <sheetFormatPr defaultColWidth="9.109375" defaultRowHeight="14.4" outlineLevelCol="1"/>
  <cols>
    <col min="1" max="1" width="13.109375" style="148" bestFit="1" customWidth="1"/>
    <col min="2" max="2" width="10.6640625" style="148" customWidth="1"/>
    <col min="3" max="3" width="7.6640625" style="148" customWidth="1"/>
    <col min="4" max="4" width="10.5546875" style="148" customWidth="1"/>
    <col min="5" max="5" width="6.6640625" style="148" customWidth="1"/>
    <col min="6" max="6" width="14.109375" style="149" customWidth="1"/>
    <col min="7" max="7" width="29.88671875" style="149" customWidth="1"/>
    <col min="8" max="8" width="11.44140625" style="148" customWidth="1" outlineLevel="1"/>
    <col min="9" max="9" width="14.88671875" style="148" customWidth="1" outlineLevel="1"/>
    <col min="10" max="10" width="16.6640625" style="148" customWidth="1" outlineLevel="1"/>
    <col min="11" max="11" width="27.88671875" style="148" customWidth="1" outlineLevel="1"/>
    <col min="12" max="12" width="10.5546875" style="148" customWidth="1" outlineLevel="1"/>
    <col min="13" max="13" width="16.88671875" style="148" customWidth="1" outlineLevel="1"/>
    <col min="14" max="14" width="8.109375" style="148" customWidth="1"/>
    <col min="15" max="15" width="12.109375" style="148" hidden="1" customWidth="1" outlineLevel="1"/>
    <col min="16" max="16" width="23" style="148" hidden="1" customWidth="1" outlineLevel="1"/>
    <col min="17" max="17" width="19.5546875" style="148" hidden="1" customWidth="1" outlineLevel="1"/>
    <col min="18" max="18" width="11.109375" style="148" hidden="1" customWidth="1" outlineLevel="1"/>
    <col min="19" max="19" width="7.6640625" style="148" hidden="1" customWidth="1" outlineLevel="1"/>
    <col min="20" max="20" width="9.44140625" style="148" hidden="1" customWidth="1" outlineLevel="1"/>
    <col min="21" max="21" width="13.33203125" style="148" hidden="1" customWidth="1" outlineLevel="1"/>
    <col min="22" max="22" width="11.88671875" style="148" hidden="1" customWidth="1" outlineLevel="1"/>
    <col min="23" max="23" width="10.6640625" style="148" customWidth="1" collapsed="1"/>
    <col min="24" max="24" width="11" style="148" customWidth="1"/>
    <col min="25" max="26" width="9.109375" style="150" hidden="1" customWidth="1" outlineLevel="1"/>
    <col min="27" max="27" width="9.44140625" style="150" hidden="1" customWidth="1" outlineLevel="1"/>
    <col min="28" max="28" width="9.109375" style="150" hidden="1" customWidth="1" outlineLevel="1"/>
    <col min="29" max="29" width="9.33203125" style="150" hidden="1" customWidth="1" outlineLevel="1"/>
    <col min="30" max="34" width="9.109375" style="150" hidden="1" customWidth="1" outlineLevel="1"/>
    <col min="35" max="35" width="9.33203125" style="150" hidden="1" customWidth="1" outlineLevel="1"/>
    <col min="36" max="38" width="9.109375" style="150" hidden="1" customWidth="1" outlineLevel="1"/>
    <col min="39" max="39" width="9.44140625" style="150" hidden="1" customWidth="1" outlineLevel="1"/>
    <col min="40" max="40" width="9.109375" style="150" hidden="1" customWidth="1" outlineLevel="1"/>
    <col min="41" max="41" width="9.33203125" style="150" hidden="1" customWidth="1" outlineLevel="1"/>
    <col min="42" max="46" width="9.109375" style="150" hidden="1" customWidth="1" outlineLevel="1"/>
    <col min="47" max="47" width="9.33203125" style="150" hidden="1" customWidth="1" outlineLevel="1"/>
    <col min="48" max="48" width="9.109375" style="150" hidden="1" customWidth="1" outlineLevel="1"/>
    <col min="49" max="49" width="11" style="150" hidden="1" customWidth="1" outlineLevel="1" collapsed="1"/>
    <col min="50" max="50" width="11" style="150" hidden="1" customWidth="1" outlineLevel="1"/>
    <col min="51" max="51" width="9.44140625" style="150" hidden="1" customWidth="1" outlineLevel="1"/>
    <col min="52" max="52" width="9.109375" style="150" hidden="1" customWidth="1" outlineLevel="1"/>
    <col min="53" max="53" width="9.33203125" style="150" hidden="1" customWidth="1" outlineLevel="1"/>
    <col min="54" max="54" width="9.109375" style="150" hidden="1" customWidth="1" outlineLevel="1"/>
    <col min="55" max="55" width="9.44140625" style="150" hidden="1" customWidth="1" outlineLevel="1"/>
    <col min="56" max="58" width="9.109375" style="150" hidden="1" customWidth="1" outlineLevel="1"/>
    <col min="59" max="59" width="9.88671875" style="150" hidden="1" customWidth="1" outlineLevel="1"/>
    <col min="60" max="60" width="9.5546875" style="150" hidden="1" customWidth="1" outlineLevel="1"/>
    <col min="61" max="61" width="9.5546875" style="150" customWidth="1" collapsed="1"/>
    <col min="62" max="72" width="9.5546875" style="150" customWidth="1"/>
    <col min="73" max="73" width="13.5546875" style="150" customWidth="1"/>
    <col min="74" max="74" width="14.6640625" style="150" customWidth="1"/>
    <col min="75" max="75" width="13" style="150" customWidth="1"/>
    <col min="76" max="76" width="10.5546875" style="150" customWidth="1"/>
    <col min="77" max="77" width="11.44140625" style="150" customWidth="1"/>
    <col min="78" max="78" width="10.6640625" style="150" customWidth="1"/>
    <col min="79" max="79" width="10.5546875" style="153" customWidth="1"/>
    <col min="80" max="80" width="9.44140625" style="152" customWidth="1"/>
    <col min="81" max="81" width="11" style="152" customWidth="1"/>
    <col min="82" max="82" width="11.109375" style="153" bestFit="1" customWidth="1"/>
    <col min="83" max="83" width="10.44140625" style="153" customWidth="1"/>
    <col min="84" max="84" width="10.5546875" style="148" customWidth="1"/>
    <col min="85" max="85" width="11.109375" style="148" customWidth="1"/>
    <col min="86" max="86" width="11.5546875" style="148" customWidth="1"/>
    <col min="87" max="87" width="10.109375" style="150" customWidth="1"/>
    <col min="88" max="88" width="12" style="150" customWidth="1"/>
    <col min="89" max="89" width="10.44140625" style="150" customWidth="1"/>
    <col min="90" max="90" width="10.88671875" style="150" bestFit="1" customWidth="1"/>
    <col min="91" max="91" width="6.5546875" style="150" customWidth="1"/>
    <col min="92" max="92" width="3.44140625" style="150" customWidth="1"/>
    <col min="93" max="93" width="10.5546875" style="150" bestFit="1" customWidth="1"/>
    <col min="94" max="94" width="11.5546875" style="150" customWidth="1"/>
    <col min="95" max="95" width="10.5546875" style="150" bestFit="1" customWidth="1"/>
    <col min="96" max="16384" width="9.109375" style="150"/>
  </cols>
  <sheetData>
    <row r="1" spans="1:91" ht="14.4" customHeight="1">
      <c r="CA1" s="151" t="s">
        <v>331</v>
      </c>
      <c r="CB1" s="206">
        <f>0.01*$CK$2</f>
        <v>5.9000000000000004E-2</v>
      </c>
      <c r="CF1" s="154"/>
      <c r="CG1" s="154"/>
      <c r="CH1" s="155"/>
      <c r="CI1" s="155"/>
      <c r="CJ1" s="156" t="s">
        <v>147</v>
      </c>
      <c r="CK1" s="205">
        <f>Premissas!C24</f>
        <v>5</v>
      </c>
      <c r="CL1" s="156" t="s">
        <v>245</v>
      </c>
      <c r="CM1" s="205">
        <f>Premissas!C26</f>
        <v>0.75</v>
      </c>
    </row>
    <row r="2" spans="1:91">
      <c r="I2" s="157" t="s">
        <v>53</v>
      </c>
      <c r="S2" s="230" t="s">
        <v>33</v>
      </c>
      <c r="T2" s="230"/>
      <c r="U2" s="230"/>
      <c r="CA2" s="151" t="s">
        <v>126</v>
      </c>
      <c r="CB2" s="207">
        <f>-0.03*$CK$2</f>
        <v>-0.17699999999999999</v>
      </c>
      <c r="CF2" s="154"/>
      <c r="CG2" s="154"/>
      <c r="CH2" s="155" t="s">
        <v>314</v>
      </c>
      <c r="CI2" s="208">
        <f>Premissas!D29</f>
        <v>1.4999999999999999E-2</v>
      </c>
      <c r="CJ2" s="156" t="s">
        <v>148</v>
      </c>
      <c r="CK2" s="205">
        <f>Premissas!C25</f>
        <v>5.9</v>
      </c>
      <c r="CL2" s="156" t="s">
        <v>454</v>
      </c>
      <c r="CM2" s="205">
        <v>6.6369999999999998E-2</v>
      </c>
    </row>
    <row r="3" spans="1:91" s="175" customFormat="1" ht="43.2">
      <c r="A3" s="158" t="s">
        <v>29</v>
      </c>
      <c r="B3" s="159" t="s">
        <v>38</v>
      </c>
      <c r="C3" s="159" t="s">
        <v>16</v>
      </c>
      <c r="D3" s="159" t="s">
        <v>70</v>
      </c>
      <c r="E3" s="159" t="s">
        <v>48</v>
      </c>
      <c r="F3" s="160" t="s">
        <v>7</v>
      </c>
      <c r="G3" s="160" t="s">
        <v>24</v>
      </c>
      <c r="H3" s="159" t="s">
        <v>37</v>
      </c>
      <c r="I3" s="159" t="s">
        <v>39</v>
      </c>
      <c r="J3" s="159" t="s">
        <v>30</v>
      </c>
      <c r="K3" s="159" t="s">
        <v>31</v>
      </c>
      <c r="L3" s="159" t="s">
        <v>57</v>
      </c>
      <c r="M3" s="159" t="s">
        <v>32</v>
      </c>
      <c r="N3" s="159" t="s">
        <v>110</v>
      </c>
      <c r="O3" s="159" t="s">
        <v>20</v>
      </c>
      <c r="P3" s="159" t="s">
        <v>352</v>
      </c>
      <c r="Q3" s="159" t="s">
        <v>26</v>
      </c>
      <c r="R3" s="159" t="s">
        <v>25</v>
      </c>
      <c r="S3" s="161" t="s">
        <v>17</v>
      </c>
      <c r="T3" s="161" t="s">
        <v>22</v>
      </c>
      <c r="U3" s="161" t="s">
        <v>18</v>
      </c>
      <c r="V3" s="162" t="s">
        <v>34</v>
      </c>
      <c r="W3" s="162" t="s">
        <v>44</v>
      </c>
      <c r="X3" s="162" t="s">
        <v>45</v>
      </c>
      <c r="Y3" s="163" t="s">
        <v>384</v>
      </c>
      <c r="Z3" s="163" t="s">
        <v>385</v>
      </c>
      <c r="AA3" s="163" t="s">
        <v>386</v>
      </c>
      <c r="AB3" s="163" t="s">
        <v>387</v>
      </c>
      <c r="AC3" s="163" t="s">
        <v>388</v>
      </c>
      <c r="AD3" s="163" t="s">
        <v>389</v>
      </c>
      <c r="AE3" s="163" t="s">
        <v>390</v>
      </c>
      <c r="AF3" s="163" t="s">
        <v>391</v>
      </c>
      <c r="AG3" s="163" t="s">
        <v>392</v>
      </c>
      <c r="AH3" s="163" t="s">
        <v>393</v>
      </c>
      <c r="AI3" s="163" t="s">
        <v>394</v>
      </c>
      <c r="AJ3" s="163" t="s">
        <v>395</v>
      </c>
      <c r="AK3" s="164" t="s">
        <v>396</v>
      </c>
      <c r="AL3" s="164" t="s">
        <v>397</v>
      </c>
      <c r="AM3" s="164" t="s">
        <v>398</v>
      </c>
      <c r="AN3" s="164" t="s">
        <v>399</v>
      </c>
      <c r="AO3" s="164" t="s">
        <v>400</v>
      </c>
      <c r="AP3" s="164" t="s">
        <v>401</v>
      </c>
      <c r="AQ3" s="164" t="s">
        <v>402</v>
      </c>
      <c r="AR3" s="164" t="s">
        <v>403</v>
      </c>
      <c r="AS3" s="164" t="s">
        <v>404</v>
      </c>
      <c r="AT3" s="164" t="s">
        <v>405</v>
      </c>
      <c r="AU3" s="164" t="s">
        <v>406</v>
      </c>
      <c r="AV3" s="164" t="s">
        <v>407</v>
      </c>
      <c r="AW3" s="165" t="s">
        <v>408</v>
      </c>
      <c r="AX3" s="165" t="s">
        <v>409</v>
      </c>
      <c r="AY3" s="165" t="s">
        <v>410</v>
      </c>
      <c r="AZ3" s="165" t="s">
        <v>411</v>
      </c>
      <c r="BA3" s="165" t="s">
        <v>412</v>
      </c>
      <c r="BB3" s="165" t="s">
        <v>413</v>
      </c>
      <c r="BC3" s="165" t="s">
        <v>414</v>
      </c>
      <c r="BD3" s="165" t="s">
        <v>415</v>
      </c>
      <c r="BE3" s="165" t="s">
        <v>416</v>
      </c>
      <c r="BF3" s="165" t="s">
        <v>417</v>
      </c>
      <c r="BG3" s="165" t="s">
        <v>418</v>
      </c>
      <c r="BH3" s="165" t="s">
        <v>419</v>
      </c>
      <c r="BI3" s="162" t="s">
        <v>420</v>
      </c>
      <c r="BJ3" s="162" t="s">
        <v>421</v>
      </c>
      <c r="BK3" s="162" t="s">
        <v>422</v>
      </c>
      <c r="BL3" s="162" t="s">
        <v>423</v>
      </c>
      <c r="BM3" s="162" t="s">
        <v>424</v>
      </c>
      <c r="BN3" s="162" t="s">
        <v>425</v>
      </c>
      <c r="BO3" s="162" t="s">
        <v>426</v>
      </c>
      <c r="BP3" s="162" t="s">
        <v>427</v>
      </c>
      <c r="BQ3" s="162" t="s">
        <v>428</v>
      </c>
      <c r="BR3" s="162" t="s">
        <v>429</v>
      </c>
      <c r="BS3" s="162" t="s">
        <v>430</v>
      </c>
      <c r="BT3" s="162" t="s">
        <v>431</v>
      </c>
      <c r="BU3" s="166" t="s">
        <v>138</v>
      </c>
      <c r="BV3" s="167" t="s">
        <v>300</v>
      </c>
      <c r="BW3" s="166" t="s">
        <v>36</v>
      </c>
      <c r="BX3" s="168" t="s">
        <v>432</v>
      </c>
      <c r="BY3" s="168" t="s">
        <v>135</v>
      </c>
      <c r="BZ3" s="168" t="s">
        <v>242</v>
      </c>
      <c r="CA3" s="168" t="s">
        <v>134</v>
      </c>
      <c r="CB3" s="169" t="s">
        <v>332</v>
      </c>
      <c r="CC3" s="169" t="s">
        <v>139</v>
      </c>
      <c r="CD3" s="170" t="s">
        <v>248</v>
      </c>
      <c r="CE3" s="171" t="s">
        <v>249</v>
      </c>
      <c r="CF3" s="172" t="s">
        <v>56</v>
      </c>
      <c r="CG3" s="172" t="s">
        <v>433</v>
      </c>
      <c r="CH3" s="172" t="s">
        <v>136</v>
      </c>
      <c r="CI3" s="172" t="s">
        <v>137</v>
      </c>
      <c r="CJ3" s="173" t="s">
        <v>141</v>
      </c>
      <c r="CK3" s="174" t="s">
        <v>142</v>
      </c>
    </row>
    <row r="4" spans="1:91">
      <c r="A4" s="176">
        <v>10029</v>
      </c>
      <c r="B4" s="177" t="s">
        <v>149</v>
      </c>
      <c r="C4" s="178">
        <v>40</v>
      </c>
      <c r="D4" s="178">
        <v>1900</v>
      </c>
      <c r="E4" s="178" t="s">
        <v>150</v>
      </c>
      <c r="F4" s="179" t="s">
        <v>151</v>
      </c>
      <c r="G4" s="189" t="s">
        <v>152</v>
      </c>
      <c r="H4" s="178" t="s">
        <v>43</v>
      </c>
      <c r="I4" s="178"/>
      <c r="J4" s="178"/>
      <c r="K4" s="178"/>
      <c r="L4" s="178" t="s">
        <v>58</v>
      </c>
      <c r="M4" s="178">
        <v>30</v>
      </c>
      <c r="N4" s="178"/>
      <c r="O4" s="178"/>
      <c r="P4" s="178"/>
      <c r="Q4" s="178"/>
      <c r="R4" s="178" t="s">
        <v>19</v>
      </c>
      <c r="S4" s="181"/>
      <c r="T4" s="181"/>
      <c r="U4" s="182"/>
      <c r="V4" s="182" t="s">
        <v>35</v>
      </c>
      <c r="W4" s="183"/>
      <c r="X4" s="182" t="s">
        <v>46</v>
      </c>
      <c r="Y4" s="184"/>
      <c r="Z4" s="184"/>
      <c r="AA4" s="184"/>
      <c r="AB4" s="184"/>
      <c r="AC4" s="184"/>
      <c r="AD4" s="184"/>
      <c r="AE4" s="184"/>
      <c r="AF4" s="184"/>
      <c r="AG4" s="184"/>
      <c r="AH4" s="184"/>
      <c r="AI4" s="184"/>
      <c r="AJ4" s="184"/>
      <c r="AK4" s="184"/>
      <c r="AL4" s="184"/>
      <c r="AM4" s="184">
        <v>9367</v>
      </c>
      <c r="AN4" s="184">
        <v>9367</v>
      </c>
      <c r="AO4" s="184">
        <v>9367</v>
      </c>
      <c r="AP4" s="184">
        <v>9367</v>
      </c>
      <c r="AQ4" s="184"/>
      <c r="AR4" s="184"/>
      <c r="AS4" s="184"/>
      <c r="AT4" s="184"/>
      <c r="AU4" s="184"/>
      <c r="AV4" s="184"/>
      <c r="AW4" s="184"/>
      <c r="AX4" s="184"/>
      <c r="AY4" s="184"/>
      <c r="AZ4" s="184">
        <v>8893.5</v>
      </c>
      <c r="BA4" s="184">
        <v>8864.4599999999991</v>
      </c>
      <c r="BB4" s="184">
        <v>8864.4599999999991</v>
      </c>
      <c r="BC4" s="184">
        <v>9440.6498999999985</v>
      </c>
      <c r="BD4" s="184">
        <v>9440.6498999999985</v>
      </c>
      <c r="BE4" s="184">
        <v>9440.6498999999985</v>
      </c>
      <c r="BF4" s="184"/>
      <c r="BG4" s="184"/>
      <c r="BH4" s="184"/>
      <c r="BI4" s="184"/>
      <c r="BJ4" s="184"/>
      <c r="BK4" s="184"/>
      <c r="BL4" s="184"/>
      <c r="BM4" s="184"/>
      <c r="BN4" s="184"/>
      <c r="BO4" s="184"/>
      <c r="BP4" s="184"/>
      <c r="BQ4" s="184"/>
      <c r="BR4" s="184"/>
      <c r="BS4" s="184"/>
      <c r="BT4" s="184"/>
      <c r="BU4" s="146" cm="1">
        <f t="array" ref="BU4">LOOKUP(2,1/(Y4:BT4&lt;&gt;""),Y4:BH4)</f>
        <v>9440.6498999999985</v>
      </c>
      <c r="BV4" s="145" cm="1">
        <f t="array" aca="1" ref="BV4" ca="1">_xlfn.LET(
    _xlpm.last_col_idx, LOOKUP(2, 1/(Y4:BT4&lt;&gt;""), COLUMN(Y4:BT4) - COLUMN(Y4) + 1),
    _xlpm.header_val, INDEX($Y$3:$BT$3, 1, _xlpm.last_col_idx),
    _xlpm.header_date, IF(ISNUMBER(_xlpm.header_val), _xlpm.header_val, DATEVALUE(_xlpm.header_val)),
    IF(_xlpm.header_date &gt; TODAY(), TODAY(), _xlpm.header_date)
)</f>
        <v>45901</v>
      </c>
      <c r="BW4" s="209" t="e" cm="1">
        <f t="array" ref="BW4">(LOOKUP(2,1/(BH4:BT4&lt;&gt;""),BH4:BT4))/(INDEX(BH4:BT4,MATCH(TRUE,INDEX((BH4:BT4&lt;&gt;0),0),0)))-1</f>
        <v>#N/A</v>
      </c>
      <c r="BX4" s="210">
        <f t="shared" ref="BX4:BX67" si="0">BU4/1000</f>
        <v>9.4406498999999986</v>
      </c>
      <c r="BY4" s="210">
        <f t="shared" ref="BY4:BY67" si="1">IF(X4="BRL",BX4,IF(X4="EUR",BX4*$CK$2,IF(X4="USD",BX4*$CK$1,IF(X4="CNY",BX4*$CM$1,IF(X4="RUB",BX4*$CM$2,"CRRY#")))))</f>
        <v>9.4406498999999986</v>
      </c>
      <c r="BZ4" s="210">
        <f>IF(L4="BR",'Impostos e Frete'!$F$6,IF(L4="EU",'Impostos e Frete'!$I$3,IF(L4="CN",'Impostos e Frete'!$I$4,IF(L4="JP",'Impostos e Frete'!$I$5,IF(L4="RU",'Impostos e Frete'!$I$7,"ERRO")))))</f>
        <v>0</v>
      </c>
      <c r="CA4" s="210">
        <f>VLOOKUP(L4,'Impostos e Frete'!$A$3:$B$7,2,0)*'Preços e Condições'!BY4</f>
        <v>0</v>
      </c>
      <c r="CB4" s="147">
        <f t="shared" ref="CB4:CB67" si="2">IF(R4="CFR",$CB$2,IF(R4="FOB",0,IF(R4="EXW",$CB$1,"ERRO")))</f>
        <v>0</v>
      </c>
      <c r="CC4" s="147">
        <f>IF(X4="BRL",'Impostos e Frete'!$B$11,'Impostos e Frete'!$B$12)</f>
        <v>0.2</v>
      </c>
      <c r="CD4" s="211">
        <f t="shared" ref="CD4:CD67" si="3">SUM(BY4:CC4)</f>
        <v>9.6406498999999979</v>
      </c>
      <c r="CE4" s="212">
        <f t="shared" ref="CE4:CE67" si="4">IF(C4="","erro",(CD4/1000)*C4)</f>
        <v>0.38562599599999992</v>
      </c>
      <c r="CF4" s="213">
        <f>VLOOKUP(L4,'Impostos e Frete'!$A$3:$C$7,3,0)</f>
        <v>45</v>
      </c>
      <c r="CG4" s="213">
        <f t="shared" ref="CG4:CG67" si="5">M4</f>
        <v>30</v>
      </c>
      <c r="CH4" s="213">
        <f t="shared" ref="CH4:CH67" si="6">CG4-CF4</f>
        <v>-15</v>
      </c>
      <c r="CI4" s="214">
        <f t="shared" ref="CI4:CI67" si="7">CD4*(1+VALUE($CI$2))^((CH4*-1)/30)-CD4</f>
        <v>7.2035745679343677E-2</v>
      </c>
      <c r="CJ4" s="215">
        <f t="shared" ref="CJ4:CJ67" si="8">CD4+CI4</f>
        <v>9.7126856456793416</v>
      </c>
      <c r="CK4" s="216">
        <f t="shared" ref="CK4:CK67" si="9">IF(C4="","erro",(CJ4/1000)*C4)</f>
        <v>0.38850742582717368</v>
      </c>
    </row>
    <row r="5" spans="1:91">
      <c r="A5" s="176">
        <v>10031</v>
      </c>
      <c r="B5" s="177" t="s">
        <v>149</v>
      </c>
      <c r="C5" s="178">
        <v>40</v>
      </c>
      <c r="D5" s="178">
        <v>2140</v>
      </c>
      <c r="E5" s="178" t="s">
        <v>150</v>
      </c>
      <c r="F5" s="179" t="s">
        <v>151</v>
      </c>
      <c r="G5" s="189" t="s">
        <v>152</v>
      </c>
      <c r="H5" s="178" t="s">
        <v>43</v>
      </c>
      <c r="I5" s="178"/>
      <c r="J5" s="178"/>
      <c r="K5" s="178"/>
      <c r="L5" s="178" t="s">
        <v>58</v>
      </c>
      <c r="M5" s="178">
        <v>30</v>
      </c>
      <c r="N5" s="178"/>
      <c r="O5" s="178"/>
      <c r="P5" s="178"/>
      <c r="Q5" s="178"/>
      <c r="R5" s="178" t="s">
        <v>19</v>
      </c>
      <c r="S5" s="181"/>
      <c r="T5" s="181"/>
      <c r="U5" s="182"/>
      <c r="V5" s="182" t="s">
        <v>35</v>
      </c>
      <c r="W5" s="183"/>
      <c r="X5" s="182" t="s">
        <v>46</v>
      </c>
      <c r="Y5" s="184"/>
      <c r="Z5" s="184"/>
      <c r="AA5" s="184"/>
      <c r="AB5" s="184"/>
      <c r="AC5" s="184"/>
      <c r="AD5" s="184"/>
      <c r="AE5" s="184"/>
      <c r="AF5" s="184"/>
      <c r="AG5" s="184"/>
      <c r="AH5" s="184"/>
      <c r="AI5" s="184"/>
      <c r="AJ5" s="184"/>
      <c r="AK5" s="184"/>
      <c r="AL5" s="184"/>
      <c r="AM5" s="184">
        <v>9367</v>
      </c>
      <c r="AN5" s="184">
        <v>9367</v>
      </c>
      <c r="AO5" s="184">
        <v>9367</v>
      </c>
      <c r="AP5" s="184">
        <v>9367</v>
      </c>
      <c r="AQ5" s="184"/>
      <c r="AR5" s="184"/>
      <c r="AS5" s="184"/>
      <c r="AT5" s="184"/>
      <c r="AU5" s="184"/>
      <c r="AV5" s="184"/>
      <c r="AW5" s="184"/>
      <c r="AX5" s="184"/>
      <c r="AY5" s="184"/>
      <c r="AZ5" s="184">
        <v>8893.5</v>
      </c>
      <c r="BA5" s="184">
        <v>8864.4599999999991</v>
      </c>
      <c r="BB5" s="184">
        <v>8864.4599999999991</v>
      </c>
      <c r="BC5" s="184">
        <v>9440.6498999999985</v>
      </c>
      <c r="BD5" s="184">
        <v>9440.6498999999985</v>
      </c>
      <c r="BE5" s="184">
        <v>9440.6498999999985</v>
      </c>
      <c r="BF5" s="184"/>
      <c r="BG5" s="184"/>
      <c r="BH5" s="184"/>
      <c r="BI5" s="184"/>
      <c r="BJ5" s="184"/>
      <c r="BK5" s="184"/>
      <c r="BL5" s="184"/>
      <c r="BM5" s="184"/>
      <c r="BN5" s="184"/>
      <c r="BO5" s="184"/>
      <c r="BP5" s="184"/>
      <c r="BQ5" s="184"/>
      <c r="BR5" s="184"/>
      <c r="BS5" s="184"/>
      <c r="BT5" s="184"/>
      <c r="BU5" s="146" cm="1">
        <f t="array" ref="BU5">LOOKUP(2,1/(Y5:BT5&lt;&gt;""),Y5:BH5)</f>
        <v>9440.6498999999985</v>
      </c>
      <c r="BV5" s="145" cm="1">
        <f t="array" aca="1" ref="BV5" ca="1">_xlfn.LET(
    _xlpm.last_col_idx, LOOKUP(2, 1/(Y5:BT5&lt;&gt;""), COLUMN(Y5:BT5) - COLUMN(Y5) + 1),
    _xlpm.header_val, INDEX($Y$3:$BT$3, 1, _xlpm.last_col_idx),
    _xlpm.header_date, IF(ISNUMBER(_xlpm.header_val), _xlpm.header_val, DATEVALUE(_xlpm.header_val)),
    IF(_xlpm.header_date &gt; TODAY(), TODAY(), _xlpm.header_date)
)</f>
        <v>45901</v>
      </c>
      <c r="BW5" s="209" t="e" cm="1">
        <f t="array" ref="BW5">(LOOKUP(2,1/(BH5:BT5&lt;&gt;""),BH5:BT5))/(INDEX(BH5:BT5,MATCH(TRUE,INDEX((BH5:BT5&lt;&gt;0),0),0)))-1</f>
        <v>#N/A</v>
      </c>
      <c r="BX5" s="210">
        <f t="shared" si="0"/>
        <v>9.4406498999999986</v>
      </c>
      <c r="BY5" s="210">
        <f t="shared" si="1"/>
        <v>9.4406498999999986</v>
      </c>
      <c r="BZ5" s="210">
        <f>IF(L5="BR",'Impostos e Frete'!$F$6,IF(L5="EU",'Impostos e Frete'!$I$3,IF(L5="CN",'Impostos e Frete'!$I$4,IF(L5="JP",'Impostos e Frete'!$I$5,IF(L5="RU",'Impostos e Frete'!$I$7,"ERRO")))))</f>
        <v>0</v>
      </c>
      <c r="CA5" s="210">
        <f>VLOOKUP(L5,'Impostos e Frete'!$A$3:$B$7,2,0)*'Preços e Condições'!BY5</f>
        <v>0</v>
      </c>
      <c r="CB5" s="147">
        <f t="shared" si="2"/>
        <v>0</v>
      </c>
      <c r="CC5" s="147">
        <f>IF(X5="BRL",'Impostos e Frete'!$B$11,'Impostos e Frete'!$B$12)</f>
        <v>0.2</v>
      </c>
      <c r="CD5" s="211">
        <f t="shared" si="3"/>
        <v>9.6406498999999979</v>
      </c>
      <c r="CE5" s="212">
        <f t="shared" si="4"/>
        <v>0.38562599599999992</v>
      </c>
      <c r="CF5" s="213">
        <f>VLOOKUP(L5,'Impostos e Frete'!$A$3:$C$7,3,0)</f>
        <v>45</v>
      </c>
      <c r="CG5" s="213">
        <f t="shared" si="5"/>
        <v>30</v>
      </c>
      <c r="CH5" s="213">
        <f t="shared" si="6"/>
        <v>-15</v>
      </c>
      <c r="CI5" s="214">
        <f t="shared" si="7"/>
        <v>7.2035745679343677E-2</v>
      </c>
      <c r="CJ5" s="215">
        <f t="shared" si="8"/>
        <v>9.7126856456793416</v>
      </c>
      <c r="CK5" s="216">
        <f t="shared" si="9"/>
        <v>0.38850742582717368</v>
      </c>
    </row>
    <row r="6" spans="1:91">
      <c r="A6" s="176">
        <v>10038</v>
      </c>
      <c r="B6" s="177" t="s">
        <v>303</v>
      </c>
      <c r="C6" s="178">
        <v>30</v>
      </c>
      <c r="D6" s="178">
        <v>1880</v>
      </c>
      <c r="E6" s="178" t="s">
        <v>209</v>
      </c>
      <c r="F6" s="179" t="s">
        <v>151</v>
      </c>
      <c r="G6" s="189" t="s">
        <v>75</v>
      </c>
      <c r="H6" s="178" t="s">
        <v>43</v>
      </c>
      <c r="I6" s="178"/>
      <c r="J6" s="178"/>
      <c r="K6" s="178"/>
      <c r="L6" s="178" t="s">
        <v>58</v>
      </c>
      <c r="M6" s="178">
        <v>30</v>
      </c>
      <c r="N6" s="178"/>
      <c r="O6" s="178"/>
      <c r="P6" s="178"/>
      <c r="Q6" s="178"/>
      <c r="R6" s="178" t="s">
        <v>19</v>
      </c>
      <c r="S6" s="181"/>
      <c r="T6" s="181"/>
      <c r="U6" s="182"/>
      <c r="V6" s="182" t="s">
        <v>35</v>
      </c>
      <c r="W6" s="183"/>
      <c r="X6" s="182" t="s">
        <v>46</v>
      </c>
      <c r="Y6" s="184"/>
      <c r="Z6" s="184"/>
      <c r="AA6" s="184"/>
      <c r="AB6" s="184"/>
      <c r="AC6" s="184"/>
      <c r="AD6" s="184"/>
      <c r="AE6" s="184"/>
      <c r="AF6" s="184"/>
      <c r="AG6" s="184"/>
      <c r="AH6" s="184"/>
      <c r="AI6" s="184"/>
      <c r="AJ6" s="184"/>
      <c r="AK6" s="184"/>
      <c r="AL6" s="184"/>
      <c r="AM6" s="184">
        <v>9367</v>
      </c>
      <c r="AN6" s="184">
        <v>9367</v>
      </c>
      <c r="AO6" s="184">
        <v>9367</v>
      </c>
      <c r="AP6" s="184">
        <v>9367</v>
      </c>
      <c r="AQ6" s="184"/>
      <c r="AR6" s="184"/>
      <c r="AS6" s="184"/>
      <c r="AT6" s="184"/>
      <c r="AU6" s="184"/>
      <c r="AV6" s="184"/>
      <c r="AW6" s="184"/>
      <c r="AX6" s="184"/>
      <c r="AY6" s="184"/>
      <c r="AZ6" s="184">
        <v>8984.25</v>
      </c>
      <c r="BA6" s="184">
        <v>8984.25</v>
      </c>
      <c r="BB6" s="184">
        <v>8984.25</v>
      </c>
      <c r="BC6" s="184">
        <v>9568.2262499999997</v>
      </c>
      <c r="BD6" s="184">
        <v>9568.2262499999997</v>
      </c>
      <c r="BE6" s="184">
        <v>9568.2262499999997</v>
      </c>
      <c r="BF6" s="184"/>
      <c r="BG6" s="184"/>
      <c r="BH6" s="184"/>
      <c r="BI6" s="184"/>
      <c r="BJ6" s="184"/>
      <c r="BK6" s="184"/>
      <c r="BL6" s="184"/>
      <c r="BM6" s="184"/>
      <c r="BN6" s="184"/>
      <c r="BO6" s="184"/>
      <c r="BP6" s="184"/>
      <c r="BQ6" s="184"/>
      <c r="BR6" s="184"/>
      <c r="BS6" s="184"/>
      <c r="BT6" s="184"/>
      <c r="BU6" s="146" cm="1">
        <f t="array" ref="BU6">LOOKUP(2,1/(Y6:BT6&lt;&gt;""),Y6:BH6)</f>
        <v>9568.2262499999997</v>
      </c>
      <c r="BV6" s="145" cm="1">
        <f t="array" aca="1" ref="BV6" ca="1">_xlfn.LET(
    _xlpm.last_col_idx, LOOKUP(2, 1/(Y6:BT6&lt;&gt;""), COLUMN(Y6:BT6) - COLUMN(Y6) + 1),
    _xlpm.header_val, INDEX($Y$3:$BT$3, 1, _xlpm.last_col_idx),
    _xlpm.header_date, IF(ISNUMBER(_xlpm.header_val), _xlpm.header_val, DATEVALUE(_xlpm.header_val)),
    IF(_xlpm.header_date &gt; TODAY(), TODAY(), _xlpm.header_date)
)</f>
        <v>45901</v>
      </c>
      <c r="BW6" s="209" t="e" cm="1">
        <f t="array" ref="BW6">(LOOKUP(2,1/(BH6:BT6&lt;&gt;""),BH6:BT6))/(INDEX(BH6:BT6,MATCH(TRUE,INDEX((BH6:BT6&lt;&gt;0),0),0)))-1</f>
        <v>#N/A</v>
      </c>
      <c r="BX6" s="210">
        <f t="shared" si="0"/>
        <v>9.5682262500000004</v>
      </c>
      <c r="BY6" s="210">
        <f t="shared" si="1"/>
        <v>9.5682262500000004</v>
      </c>
      <c r="BZ6" s="210">
        <f>IF(L6="BR",'Impostos e Frete'!$F$6,IF(L6="EU",'Impostos e Frete'!$I$3,IF(L6="CN",'Impostos e Frete'!$I$4,IF(L6="JP",'Impostos e Frete'!$I$5,IF(L6="RU",'Impostos e Frete'!$I$7,"ERRO")))))</f>
        <v>0</v>
      </c>
      <c r="CA6" s="210">
        <f>VLOOKUP(L6,'Impostos e Frete'!$A$3:$B$7,2,0)*'Preços e Condições'!BY6</f>
        <v>0</v>
      </c>
      <c r="CB6" s="147">
        <f t="shared" si="2"/>
        <v>0</v>
      </c>
      <c r="CC6" s="147">
        <f>IF(X6="BRL",'Impostos e Frete'!$B$11,'Impostos e Frete'!$B$12)</f>
        <v>0.2</v>
      </c>
      <c r="CD6" s="211">
        <f t="shared" si="3"/>
        <v>9.7682262499999997</v>
      </c>
      <c r="CE6" s="212">
        <f t="shared" si="4"/>
        <v>0.29304678749999996</v>
      </c>
      <c r="CF6" s="213">
        <f>VLOOKUP(L6,'Impostos e Frete'!$A$3:$C$7,3,0)</f>
        <v>45</v>
      </c>
      <c r="CG6" s="213">
        <f t="shared" si="5"/>
        <v>30</v>
      </c>
      <c r="CH6" s="213">
        <f t="shared" si="6"/>
        <v>-15</v>
      </c>
      <c r="CI6" s="214">
        <f t="shared" si="7"/>
        <v>7.2989006880469276E-2</v>
      </c>
      <c r="CJ6" s="215">
        <f t="shared" si="8"/>
        <v>9.8412152568804689</v>
      </c>
      <c r="CK6" s="216">
        <f t="shared" si="9"/>
        <v>0.29523645770641405</v>
      </c>
    </row>
    <row r="7" spans="1:91">
      <c r="A7" s="176">
        <v>10223</v>
      </c>
      <c r="B7" s="177" t="s">
        <v>76</v>
      </c>
      <c r="C7" s="178">
        <v>40</v>
      </c>
      <c r="D7" s="178">
        <v>1900</v>
      </c>
      <c r="E7" s="178" t="s">
        <v>209</v>
      </c>
      <c r="F7" s="179" t="s">
        <v>207</v>
      </c>
      <c r="G7" s="189" t="s">
        <v>215</v>
      </c>
      <c r="H7" s="178" t="s">
        <v>62</v>
      </c>
      <c r="I7" s="178"/>
      <c r="J7" s="178"/>
      <c r="K7" s="178"/>
      <c r="L7" s="178" t="s">
        <v>208</v>
      </c>
      <c r="M7" s="178">
        <v>90</v>
      </c>
      <c r="N7" s="178"/>
      <c r="O7" s="178"/>
      <c r="P7" s="178"/>
      <c r="Q7" s="178"/>
      <c r="R7" s="178" t="s">
        <v>19</v>
      </c>
      <c r="S7" s="181"/>
      <c r="T7" s="181"/>
      <c r="U7" s="182"/>
      <c r="V7" s="182" t="s">
        <v>35</v>
      </c>
      <c r="W7" s="183"/>
      <c r="X7" s="182" t="s">
        <v>158</v>
      </c>
      <c r="Y7" s="184"/>
      <c r="Z7" s="184"/>
      <c r="AA7" s="184"/>
      <c r="AB7" s="184"/>
      <c r="AC7" s="184"/>
      <c r="AD7" s="184"/>
      <c r="AE7" s="184"/>
      <c r="AF7" s="184"/>
      <c r="AG7" s="184"/>
      <c r="AH7" s="184"/>
      <c r="AI7" s="184"/>
      <c r="AJ7" s="184"/>
      <c r="AK7" s="184"/>
      <c r="AL7" s="184"/>
      <c r="AM7" s="184"/>
      <c r="AN7" s="184"/>
      <c r="AO7" s="184">
        <v>2153</v>
      </c>
      <c r="AP7" s="184">
        <v>2153</v>
      </c>
      <c r="AQ7" s="184"/>
      <c r="AR7" s="184"/>
      <c r="AS7" s="184"/>
      <c r="AT7" s="184"/>
      <c r="AU7" s="184"/>
      <c r="AV7" s="184"/>
      <c r="AW7" s="184"/>
      <c r="AX7" s="184"/>
      <c r="AY7" s="184"/>
      <c r="AZ7" s="184"/>
      <c r="BA7" s="184"/>
      <c r="BB7" s="184"/>
      <c r="BC7" s="184"/>
      <c r="BD7" s="184"/>
      <c r="BE7" s="184"/>
      <c r="BF7" s="184"/>
      <c r="BG7" s="184"/>
      <c r="BH7" s="184"/>
      <c r="BI7" s="184"/>
      <c r="BJ7" s="184"/>
      <c r="BK7" s="184"/>
      <c r="BL7" s="184"/>
      <c r="BM7" s="184"/>
      <c r="BN7" s="184"/>
      <c r="BO7" s="184"/>
      <c r="BP7" s="184"/>
      <c r="BQ7" s="184"/>
      <c r="BR7" s="184"/>
      <c r="BS7" s="184"/>
      <c r="BT7" s="184"/>
      <c r="BU7" s="146" cm="1">
        <f t="array" ref="BU7">LOOKUP(2,1/(Y7:BT7&lt;&gt;""),Y7:BH7)</f>
        <v>2153</v>
      </c>
      <c r="BV7" s="145" cm="1">
        <f t="array" aca="1" ref="BV7" ca="1">_xlfn.LET(
    _xlpm.last_col_idx, LOOKUP(2, 1/(Y7:BT7&lt;&gt;""), COLUMN(Y7:BT7) - COLUMN(Y7) + 1),
    _xlpm.header_val, INDEX($Y$3:$BT$3, 1, _xlpm.last_col_idx),
    _xlpm.header_date, IF(ISNUMBER(_xlpm.header_val), _xlpm.header_val, DATEVALUE(_xlpm.header_val)),
    IF(_xlpm.header_date &gt; TODAY(), TODAY(), _xlpm.header_date)
)</f>
        <v>45444</v>
      </c>
      <c r="BW7" s="209" t="e" cm="1">
        <f t="array" ref="BW7">(LOOKUP(2,1/(BH7:BT7&lt;&gt;""),BH7:BT7))/(INDEX(BH7:BT7,MATCH(TRUE,INDEX((BH7:BT7&lt;&gt;0),0),0)))-1</f>
        <v>#N/A</v>
      </c>
      <c r="BX7" s="210">
        <f t="shared" si="0"/>
        <v>2.153</v>
      </c>
      <c r="BY7" s="210">
        <f t="shared" si="1"/>
        <v>10.765000000000001</v>
      </c>
      <c r="BZ7" s="210">
        <f ca="1">IF(L7="BR",'Impostos e Frete'!$F$6,IF(L7="EU",'Impostos e Frete'!$I$3,IF(L7="CN",'Impostos e Frete'!$I$4,IF(L7="JP",'Impostos e Frete'!$I$5,IF(L7="RU",'Impostos e Frete'!$I$7,"ERRO")))))</f>
        <v>1.8884066666666666</v>
      </c>
      <c r="CA7" s="210">
        <f>VLOOKUP(L7,'Impostos e Frete'!$A$3:$B$7,2,0)*'Preços e Condições'!BY7</f>
        <v>1.6147500000000001</v>
      </c>
      <c r="CB7" s="147">
        <f t="shared" si="2"/>
        <v>0</v>
      </c>
      <c r="CC7" s="147">
        <f>IF(X7="BRL",'Impostos e Frete'!$B$11,'Impostos e Frete'!$B$12)</f>
        <v>9.1999999999999998E-2</v>
      </c>
      <c r="CD7" s="211">
        <f t="shared" ca="1" si="3"/>
        <v>14.360156666666668</v>
      </c>
      <c r="CE7" s="212">
        <f t="shared" ca="1" si="4"/>
        <v>0.57440626666666672</v>
      </c>
      <c r="CF7" s="213">
        <f>VLOOKUP(L7,'Impostos e Frete'!$A$3:$C$7,3,0)</f>
        <v>120</v>
      </c>
      <c r="CG7" s="213">
        <f t="shared" si="5"/>
        <v>90</v>
      </c>
      <c r="CH7" s="213">
        <f t="shared" si="6"/>
        <v>-30</v>
      </c>
      <c r="CI7" s="214">
        <f t="shared" ca="1" si="7"/>
        <v>0.21540234999999797</v>
      </c>
      <c r="CJ7" s="215">
        <f t="shared" ca="1" si="8"/>
        <v>14.575559016666666</v>
      </c>
      <c r="CK7" s="216">
        <f t="shared" ca="1" si="9"/>
        <v>0.58302236066666668</v>
      </c>
    </row>
    <row r="8" spans="1:91">
      <c r="A8" s="176">
        <v>10247</v>
      </c>
      <c r="B8" s="177">
        <v>31052</v>
      </c>
      <c r="C8" s="178">
        <v>80</v>
      </c>
      <c r="D8" s="178">
        <v>1900</v>
      </c>
      <c r="E8" s="178" t="s">
        <v>49</v>
      </c>
      <c r="F8" s="179" t="s">
        <v>468</v>
      </c>
      <c r="G8" s="180" t="s">
        <v>84</v>
      </c>
      <c r="H8" s="178" t="s">
        <v>62</v>
      </c>
      <c r="I8" s="178"/>
      <c r="J8" s="178"/>
      <c r="K8" s="178"/>
      <c r="L8" s="178" t="s">
        <v>59</v>
      </c>
      <c r="M8" s="178">
        <v>60</v>
      </c>
      <c r="N8" s="178"/>
      <c r="O8" s="178"/>
      <c r="P8" s="178"/>
      <c r="Q8" s="178"/>
      <c r="R8" s="178" t="s">
        <v>19</v>
      </c>
      <c r="S8" s="181"/>
      <c r="T8" s="181"/>
      <c r="U8" s="182"/>
      <c r="V8" s="182" t="s">
        <v>35</v>
      </c>
      <c r="W8" s="183">
        <v>20</v>
      </c>
      <c r="X8" s="182" t="s">
        <v>51</v>
      </c>
      <c r="Y8" s="184">
        <v>3650</v>
      </c>
      <c r="Z8" s="184">
        <v>3650</v>
      </c>
      <c r="AA8" s="184">
        <v>3650</v>
      </c>
      <c r="AB8" s="184">
        <v>3380</v>
      </c>
      <c r="AC8" s="184">
        <v>3380</v>
      </c>
      <c r="AD8" s="184">
        <v>3380</v>
      </c>
      <c r="AE8" s="184">
        <v>3180</v>
      </c>
      <c r="AF8" s="184">
        <v>3180</v>
      </c>
      <c r="AG8" s="184">
        <v>3180</v>
      </c>
      <c r="AH8" s="184">
        <v>3030</v>
      </c>
      <c r="AI8" s="184">
        <v>3030</v>
      </c>
      <c r="AJ8" s="184">
        <v>3030</v>
      </c>
      <c r="AK8" s="184">
        <v>3030</v>
      </c>
      <c r="AL8" s="184">
        <v>3030</v>
      </c>
      <c r="AM8" s="184">
        <v>3030</v>
      </c>
      <c r="AN8" s="184">
        <v>3150</v>
      </c>
      <c r="AO8" s="184">
        <v>3150</v>
      </c>
      <c r="AP8" s="184">
        <v>3150</v>
      </c>
      <c r="AQ8" s="184">
        <v>3330</v>
      </c>
      <c r="AR8" s="184">
        <v>3330</v>
      </c>
      <c r="AS8" s="184">
        <v>3330</v>
      </c>
      <c r="AT8" s="184">
        <v>3330</v>
      </c>
      <c r="AU8" s="184">
        <v>3330</v>
      </c>
      <c r="AV8" s="184">
        <v>3330</v>
      </c>
      <c r="AW8" s="184">
        <v>3180</v>
      </c>
      <c r="AX8" s="184">
        <v>3180</v>
      </c>
      <c r="AY8" s="184">
        <v>3180</v>
      </c>
      <c r="AZ8" s="184">
        <v>3260</v>
      </c>
      <c r="BA8" s="184">
        <v>3260</v>
      </c>
      <c r="BB8" s="184">
        <v>3260</v>
      </c>
      <c r="BC8" s="184">
        <v>3260</v>
      </c>
      <c r="BD8" s="184">
        <v>3260</v>
      </c>
      <c r="BE8" s="184">
        <v>3260</v>
      </c>
      <c r="BF8" s="184">
        <v>3110</v>
      </c>
      <c r="BG8" s="184">
        <v>3110</v>
      </c>
      <c r="BH8" s="184">
        <v>3110</v>
      </c>
      <c r="BI8" s="184"/>
      <c r="BJ8" s="184"/>
      <c r="BK8" s="184"/>
      <c r="BL8" s="184">
        <v>3210</v>
      </c>
      <c r="BM8" s="184">
        <v>3310</v>
      </c>
      <c r="BN8" s="184">
        <v>3310</v>
      </c>
      <c r="BO8" s="184">
        <v>3410</v>
      </c>
      <c r="BP8" s="184">
        <v>3360</v>
      </c>
      <c r="BQ8" s="184">
        <v>3360</v>
      </c>
      <c r="BR8" s="184"/>
      <c r="BS8" s="184"/>
      <c r="BT8" s="184"/>
      <c r="BU8" s="146" cm="1">
        <f t="array" ref="BU8">LOOKUP(2,1/(Y8:BT8&lt;&gt;""),Y8:BH8)</f>
        <v>3360</v>
      </c>
      <c r="BV8" s="145" cm="1">
        <f t="array" aca="1" ref="BV8" ca="1">_xlfn.LET(
    _xlpm.last_col_idx, LOOKUP(2, 1/(Y8:BT8&lt;&gt;""), COLUMN(Y8:BT8) - COLUMN(Y8) + 1),
    _xlpm.header_val, INDEX($Y$3:$BT$3, 1, _xlpm.last_col_idx),
    _xlpm.header_date, IF(ISNUMBER(_xlpm.header_val), _xlpm.header_val, DATEVALUE(_xlpm.header_val)),
    IF(_xlpm.header_date &gt; TODAY(), TODAY(), _xlpm.header_date)
)</f>
        <v>46212</v>
      </c>
      <c r="BW8" s="209" cm="1">
        <f t="array" ref="BW8">(LOOKUP(2,1/(BH8:BT8&lt;&gt;""),BH8:BT8))/(INDEX(BH8:BT8,MATCH(TRUE,INDEX((BH8:BT8&lt;&gt;0),0),0)))-1</f>
        <v>8.0385852090032239E-2</v>
      </c>
      <c r="BX8" s="210">
        <f t="shared" si="0"/>
        <v>3.36</v>
      </c>
      <c r="BY8" s="210">
        <f t="shared" si="1"/>
        <v>19.824000000000002</v>
      </c>
      <c r="BZ8" s="210">
        <f ca="1">IF(L8="BR",'Impostos e Frete'!$F$6,IF(L8="EU",'Impostos e Frete'!$I$3,IF(L8="CN",'Impostos e Frete'!$I$4,IF(L8="JP",'Impostos e Frete'!$I$5,IF(L8="RU",'Impostos e Frete'!$I$7,"ERRO")))))</f>
        <v>0.1410816</v>
      </c>
      <c r="CA8" s="210">
        <f>VLOOKUP(L8,'Impostos e Frete'!$A$3:$B$7,2,0)*'Preços e Condições'!BY8</f>
        <v>2.5771200000000003</v>
      </c>
      <c r="CB8" s="147">
        <f t="shared" si="2"/>
        <v>0</v>
      </c>
      <c r="CC8" s="147">
        <f>IF(X8="BRL",'Impostos e Frete'!$B$11,'Impostos e Frete'!$B$12)</f>
        <v>9.1999999999999998E-2</v>
      </c>
      <c r="CD8" s="211">
        <f t="shared" ca="1" si="3"/>
        <v>22.634201600000001</v>
      </c>
      <c r="CE8" s="212">
        <f t="shared" ca="1" si="4"/>
        <v>1.8107361280000001</v>
      </c>
      <c r="CF8" s="213">
        <f>VLOOKUP(L8,'Impostos e Frete'!$A$3:$C$7,3,0)</f>
        <v>105</v>
      </c>
      <c r="CG8" s="213">
        <f t="shared" si="5"/>
        <v>60</v>
      </c>
      <c r="CH8" s="213">
        <f t="shared" si="6"/>
        <v>-45</v>
      </c>
      <c r="CI8" s="214">
        <f t="shared" ca="1" si="7"/>
        <v>0.51117454901443082</v>
      </c>
      <c r="CJ8" s="215">
        <f t="shared" ca="1" si="8"/>
        <v>23.145376149014432</v>
      </c>
      <c r="CK8" s="216">
        <f t="shared" ca="1" si="9"/>
        <v>1.8516300919211546</v>
      </c>
    </row>
    <row r="9" spans="1:91">
      <c r="A9" s="176">
        <v>10247</v>
      </c>
      <c r="B9" s="177">
        <v>31052</v>
      </c>
      <c r="C9" s="178">
        <v>80</v>
      </c>
      <c r="D9" s="178">
        <v>1900</v>
      </c>
      <c r="E9" s="178" t="s">
        <v>49</v>
      </c>
      <c r="F9" s="179" t="s">
        <v>468</v>
      </c>
      <c r="G9" s="180" t="s">
        <v>84</v>
      </c>
      <c r="H9" s="178" t="s">
        <v>62</v>
      </c>
      <c r="I9" s="178"/>
      <c r="J9" s="178"/>
      <c r="K9" s="178"/>
      <c r="L9" s="178" t="s">
        <v>59</v>
      </c>
      <c r="M9" s="178">
        <v>60</v>
      </c>
      <c r="N9" s="178"/>
      <c r="O9" s="178"/>
      <c r="P9" s="178"/>
      <c r="Q9" s="178"/>
      <c r="R9" s="178" t="s">
        <v>19</v>
      </c>
      <c r="S9" s="181"/>
      <c r="T9" s="181"/>
      <c r="U9" s="182"/>
      <c r="V9" s="182" t="s">
        <v>35</v>
      </c>
      <c r="W9" s="183">
        <v>50</v>
      </c>
      <c r="X9" s="182" t="s">
        <v>51</v>
      </c>
      <c r="Y9" s="184">
        <v>3350</v>
      </c>
      <c r="Z9" s="184">
        <v>3350</v>
      </c>
      <c r="AA9" s="184">
        <v>3350</v>
      </c>
      <c r="AB9" s="184">
        <v>3080</v>
      </c>
      <c r="AC9" s="184">
        <v>3080</v>
      </c>
      <c r="AD9" s="184">
        <v>3080</v>
      </c>
      <c r="AE9" s="184">
        <v>2880</v>
      </c>
      <c r="AF9" s="184">
        <v>2880</v>
      </c>
      <c r="AG9" s="184">
        <v>2880</v>
      </c>
      <c r="AH9" s="184">
        <v>2730</v>
      </c>
      <c r="AI9" s="184">
        <v>2730</v>
      </c>
      <c r="AJ9" s="184">
        <v>2730</v>
      </c>
      <c r="AK9" s="184">
        <v>2730</v>
      </c>
      <c r="AL9" s="184">
        <v>2730</v>
      </c>
      <c r="AM9" s="184">
        <v>2730</v>
      </c>
      <c r="AN9" s="184">
        <v>2850</v>
      </c>
      <c r="AO9" s="184">
        <v>2850</v>
      </c>
      <c r="AP9" s="184">
        <v>2850</v>
      </c>
      <c r="AQ9" s="184">
        <v>3030</v>
      </c>
      <c r="AR9" s="184">
        <v>3030</v>
      </c>
      <c r="AS9" s="184">
        <v>3030</v>
      </c>
      <c r="AT9" s="184">
        <v>3030</v>
      </c>
      <c r="AU9" s="184">
        <v>3030</v>
      </c>
      <c r="AV9" s="184">
        <v>3030</v>
      </c>
      <c r="AW9" s="184">
        <v>2880</v>
      </c>
      <c r="AX9" s="184">
        <v>2880</v>
      </c>
      <c r="AY9" s="184">
        <v>2880</v>
      </c>
      <c r="AZ9" s="184">
        <v>2960</v>
      </c>
      <c r="BA9" s="184">
        <v>2960</v>
      </c>
      <c r="BB9" s="184">
        <v>2960</v>
      </c>
      <c r="BC9" s="184">
        <v>2960</v>
      </c>
      <c r="BD9" s="184">
        <v>2960</v>
      </c>
      <c r="BE9" s="184">
        <v>2960</v>
      </c>
      <c r="BF9" s="184">
        <v>2810</v>
      </c>
      <c r="BG9" s="184">
        <v>2810</v>
      </c>
      <c r="BH9" s="184">
        <v>2810</v>
      </c>
      <c r="BI9" s="184"/>
      <c r="BJ9" s="184"/>
      <c r="BK9" s="184"/>
      <c r="BL9" s="184">
        <v>2910</v>
      </c>
      <c r="BM9" s="184">
        <v>3010</v>
      </c>
      <c r="BN9" s="184">
        <v>3010</v>
      </c>
      <c r="BO9" s="184">
        <v>3110</v>
      </c>
      <c r="BP9" s="184">
        <v>3060</v>
      </c>
      <c r="BQ9" s="184">
        <v>3060</v>
      </c>
      <c r="BR9" s="184"/>
      <c r="BS9" s="184"/>
      <c r="BT9" s="184"/>
      <c r="BU9" s="146" cm="1">
        <f t="array" ref="BU9">LOOKUP(2,1/(Y9:BT9&lt;&gt;""),Y9:BH9)</f>
        <v>3060</v>
      </c>
      <c r="BV9" s="145" cm="1">
        <f t="array" aca="1" ref="BV9" ca="1">_xlfn.LET(
    _xlpm.last_col_idx, LOOKUP(2, 1/(Y9:BT9&lt;&gt;""), COLUMN(Y9:BT9) - COLUMN(Y9) + 1),
    _xlpm.header_val, INDEX($Y$3:$BT$3, 1, _xlpm.last_col_idx),
    _xlpm.header_date, IF(ISNUMBER(_xlpm.header_val), _xlpm.header_val, DATEVALUE(_xlpm.header_val)),
    IF(_xlpm.header_date &gt; TODAY(), TODAY(), _xlpm.header_date)
)</f>
        <v>46212</v>
      </c>
      <c r="BW9" s="209" cm="1">
        <f t="array" ref="BW9">(LOOKUP(2,1/(BH9:BT9&lt;&gt;""),BH9:BT9))/(INDEX(BH9:BT9,MATCH(TRUE,INDEX((BH9:BT9&lt;&gt;0),0),0)))-1</f>
        <v>8.8967971530249157E-2</v>
      </c>
      <c r="BX9" s="210">
        <f t="shared" si="0"/>
        <v>3.06</v>
      </c>
      <c r="BY9" s="210">
        <f t="shared" si="1"/>
        <v>18.054000000000002</v>
      </c>
      <c r="BZ9" s="210">
        <f ca="1">IF(L9="BR",'Impostos e Frete'!$F$6,IF(L9="EU",'Impostos e Frete'!$I$3,IF(L9="CN",'Impostos e Frete'!$I$4,IF(L9="JP",'Impostos e Frete'!$I$5,IF(L9="RU",'Impostos e Frete'!$I$7,"ERRO")))))</f>
        <v>0.1410816</v>
      </c>
      <c r="CA9" s="210">
        <f>VLOOKUP(L9,'Impostos e Frete'!$A$3:$B$7,2,0)*'Preços e Condições'!BY9</f>
        <v>2.3470200000000006</v>
      </c>
      <c r="CB9" s="147">
        <f t="shared" si="2"/>
        <v>0</v>
      </c>
      <c r="CC9" s="147">
        <f>IF(X9="BRL",'Impostos e Frete'!$B$11,'Impostos e Frete'!$B$12)</f>
        <v>9.1999999999999998E-2</v>
      </c>
      <c r="CD9" s="211">
        <f t="shared" ca="1" si="3"/>
        <v>20.634101600000001</v>
      </c>
      <c r="CE9" s="212">
        <f t="shared" ca="1" si="4"/>
        <v>1.6507281279999999</v>
      </c>
      <c r="CF9" s="213">
        <f>VLOOKUP(L9,'Impostos e Frete'!$A$3:$C$7,3,0)</f>
        <v>105</v>
      </c>
      <c r="CG9" s="213">
        <f t="shared" si="5"/>
        <v>60</v>
      </c>
      <c r="CH9" s="213">
        <f t="shared" si="6"/>
        <v>-45</v>
      </c>
      <c r="CI9" s="214">
        <f t="shared" ca="1" si="7"/>
        <v>0.46600396011750433</v>
      </c>
      <c r="CJ9" s="215">
        <f t="shared" ca="1" si="8"/>
        <v>21.100105560117505</v>
      </c>
      <c r="CK9" s="216">
        <f t="shared" ca="1" si="9"/>
        <v>1.6880084448094004</v>
      </c>
    </row>
    <row r="10" spans="1:91">
      <c r="A10" s="176">
        <v>10247</v>
      </c>
      <c r="B10" s="177">
        <v>31052</v>
      </c>
      <c r="C10" s="178">
        <v>80</v>
      </c>
      <c r="D10" s="178">
        <v>1900</v>
      </c>
      <c r="E10" s="178" t="s">
        <v>49</v>
      </c>
      <c r="F10" s="179" t="s">
        <v>468</v>
      </c>
      <c r="G10" s="180" t="s">
        <v>84</v>
      </c>
      <c r="H10" s="178" t="s">
        <v>62</v>
      </c>
      <c r="I10" s="178"/>
      <c r="J10" s="178"/>
      <c r="K10" s="178"/>
      <c r="L10" s="178" t="s">
        <v>59</v>
      </c>
      <c r="M10" s="178">
        <v>60</v>
      </c>
      <c r="N10" s="178"/>
      <c r="O10" s="178"/>
      <c r="P10" s="178"/>
      <c r="Q10" s="178"/>
      <c r="R10" s="178" t="s">
        <v>19</v>
      </c>
      <c r="S10" s="181"/>
      <c r="T10" s="181"/>
      <c r="U10" s="182"/>
      <c r="V10" s="182" t="s">
        <v>35</v>
      </c>
      <c r="W10" s="183">
        <v>100</v>
      </c>
      <c r="X10" s="182" t="s">
        <v>51</v>
      </c>
      <c r="Y10" s="184">
        <v>3300</v>
      </c>
      <c r="Z10" s="184">
        <v>3300</v>
      </c>
      <c r="AA10" s="184">
        <v>3300</v>
      </c>
      <c r="AB10" s="184">
        <v>3030</v>
      </c>
      <c r="AC10" s="184">
        <v>3030</v>
      </c>
      <c r="AD10" s="184">
        <v>3030</v>
      </c>
      <c r="AE10" s="184">
        <v>2830</v>
      </c>
      <c r="AF10" s="184">
        <v>2830</v>
      </c>
      <c r="AG10" s="184">
        <v>2830</v>
      </c>
      <c r="AH10" s="184">
        <v>2680</v>
      </c>
      <c r="AI10" s="184">
        <v>2680</v>
      </c>
      <c r="AJ10" s="184">
        <v>2680</v>
      </c>
      <c r="AK10" s="184">
        <v>2680</v>
      </c>
      <c r="AL10" s="184">
        <v>2680</v>
      </c>
      <c r="AM10" s="184">
        <v>2680</v>
      </c>
      <c r="AN10" s="184">
        <v>2800</v>
      </c>
      <c r="AO10" s="184">
        <v>2800</v>
      </c>
      <c r="AP10" s="184">
        <v>2800</v>
      </c>
      <c r="AQ10" s="184">
        <v>2980</v>
      </c>
      <c r="AR10" s="184">
        <v>2980</v>
      </c>
      <c r="AS10" s="184">
        <v>2980</v>
      </c>
      <c r="AT10" s="184">
        <v>2980</v>
      </c>
      <c r="AU10" s="184">
        <v>2980</v>
      </c>
      <c r="AV10" s="184">
        <v>2980</v>
      </c>
      <c r="AW10" s="184">
        <v>2830</v>
      </c>
      <c r="AX10" s="184">
        <v>2830</v>
      </c>
      <c r="AY10" s="184">
        <v>2830</v>
      </c>
      <c r="AZ10" s="184">
        <v>2910</v>
      </c>
      <c r="BA10" s="184">
        <v>2910</v>
      </c>
      <c r="BB10" s="184">
        <v>2910</v>
      </c>
      <c r="BC10" s="184">
        <v>2910</v>
      </c>
      <c r="BD10" s="184">
        <v>2910</v>
      </c>
      <c r="BE10" s="184">
        <v>2910</v>
      </c>
      <c r="BF10" s="184">
        <v>2760</v>
      </c>
      <c r="BG10" s="184">
        <v>2760</v>
      </c>
      <c r="BH10" s="184">
        <v>2760</v>
      </c>
      <c r="BI10" s="184"/>
      <c r="BJ10" s="184"/>
      <c r="BK10" s="184"/>
      <c r="BL10" s="184">
        <v>2860</v>
      </c>
      <c r="BM10" s="184">
        <v>2960</v>
      </c>
      <c r="BN10" s="184">
        <v>2960</v>
      </c>
      <c r="BO10" s="184">
        <v>3060</v>
      </c>
      <c r="BP10" s="184">
        <v>3010</v>
      </c>
      <c r="BQ10" s="184">
        <v>3010</v>
      </c>
      <c r="BR10" s="184"/>
      <c r="BS10" s="184"/>
      <c r="BT10" s="184"/>
      <c r="BU10" s="146" cm="1">
        <f t="array" ref="BU10">LOOKUP(2,1/(Y10:BT10&lt;&gt;""),Y10:BH10)</f>
        <v>3010</v>
      </c>
      <c r="BV10" s="145" cm="1">
        <f t="array" aca="1" ref="BV10" ca="1">_xlfn.LET(
    _xlpm.last_col_idx, LOOKUP(2, 1/(Y10:BT10&lt;&gt;""), COLUMN(Y10:BT10) - COLUMN(Y10) + 1),
    _xlpm.header_val, INDEX($Y$3:$BT$3, 1, _xlpm.last_col_idx),
    _xlpm.header_date, IF(ISNUMBER(_xlpm.header_val), _xlpm.header_val, DATEVALUE(_xlpm.header_val)),
    IF(_xlpm.header_date &gt; TODAY(), TODAY(), _xlpm.header_date)
)</f>
        <v>46212</v>
      </c>
      <c r="BW10" s="209" cm="1">
        <f t="array" ref="BW10">(LOOKUP(2,1/(BH10:BT10&lt;&gt;""),BH10:BT10))/(INDEX(BH10:BT10,MATCH(TRUE,INDEX((BH10:BT10&lt;&gt;0),0),0)))-1</f>
        <v>9.0579710144927494E-2</v>
      </c>
      <c r="BX10" s="210">
        <f t="shared" si="0"/>
        <v>3.01</v>
      </c>
      <c r="BY10" s="210">
        <f t="shared" si="1"/>
        <v>17.759</v>
      </c>
      <c r="BZ10" s="210">
        <f ca="1">IF(L10="BR",'Impostos e Frete'!$F$6,IF(L10="EU",'Impostos e Frete'!$I$3,IF(L10="CN",'Impostos e Frete'!$I$4,IF(L10="JP",'Impostos e Frete'!$I$5,IF(L10="RU",'Impostos e Frete'!$I$7,"ERRO")))))</f>
        <v>0.1410816</v>
      </c>
      <c r="CA10" s="210">
        <f>VLOOKUP(L10,'Impostos e Frete'!$A$3:$B$7,2,0)*'Preços e Condições'!BY10</f>
        <v>2.3086700000000002</v>
      </c>
      <c r="CB10" s="147">
        <f t="shared" si="2"/>
        <v>0</v>
      </c>
      <c r="CC10" s="147">
        <f>IF(X10="BRL",'Impostos e Frete'!$B$11,'Impostos e Frete'!$B$12)</f>
        <v>9.1999999999999998E-2</v>
      </c>
      <c r="CD10" s="211">
        <f t="shared" ca="1" si="3"/>
        <v>20.300751599999998</v>
      </c>
      <c r="CE10" s="212">
        <f t="shared" ca="1" si="4"/>
        <v>1.6240601279999998</v>
      </c>
      <c r="CF10" s="213">
        <f>VLOOKUP(L10,'Impostos e Frete'!$A$3:$C$7,3,0)</f>
        <v>105</v>
      </c>
      <c r="CG10" s="213">
        <f t="shared" si="5"/>
        <v>60</v>
      </c>
      <c r="CH10" s="213">
        <f t="shared" si="6"/>
        <v>-45</v>
      </c>
      <c r="CI10" s="214">
        <f t="shared" ca="1" si="7"/>
        <v>0.45847552863468266</v>
      </c>
      <c r="CJ10" s="215">
        <f t="shared" ca="1" si="8"/>
        <v>20.759227128634681</v>
      </c>
      <c r="CK10" s="216">
        <f t="shared" ca="1" si="9"/>
        <v>1.6607381702907744</v>
      </c>
    </row>
    <row r="11" spans="1:91">
      <c r="A11" s="176">
        <v>10249</v>
      </c>
      <c r="B11" s="177">
        <v>9370</v>
      </c>
      <c r="C11" s="178">
        <v>70</v>
      </c>
      <c r="D11" s="178">
        <v>1900</v>
      </c>
      <c r="E11" s="178" t="s">
        <v>209</v>
      </c>
      <c r="F11" s="179" t="s">
        <v>468</v>
      </c>
      <c r="G11" s="180" t="s">
        <v>83</v>
      </c>
      <c r="H11" s="178" t="s">
        <v>43</v>
      </c>
      <c r="I11" s="178"/>
      <c r="J11" s="178"/>
      <c r="K11" s="178"/>
      <c r="L11" s="178" t="s">
        <v>59</v>
      </c>
      <c r="M11" s="178">
        <v>60</v>
      </c>
      <c r="N11" s="178"/>
      <c r="O11" s="178"/>
      <c r="P11" s="178"/>
      <c r="Q11" s="178"/>
      <c r="R11" s="178" t="s">
        <v>19</v>
      </c>
      <c r="S11" s="181"/>
      <c r="T11" s="181"/>
      <c r="U11" s="182"/>
      <c r="V11" s="182" t="s">
        <v>35</v>
      </c>
      <c r="W11" s="183">
        <v>50</v>
      </c>
      <c r="X11" s="182" t="s">
        <v>51</v>
      </c>
      <c r="Y11" s="184">
        <v>3550</v>
      </c>
      <c r="Z11" s="184">
        <v>3550</v>
      </c>
      <c r="AA11" s="184">
        <v>3550</v>
      </c>
      <c r="AB11" s="184"/>
      <c r="AC11" s="184"/>
      <c r="AD11" s="184"/>
      <c r="AE11" s="184"/>
      <c r="AF11" s="184"/>
      <c r="AG11" s="184"/>
      <c r="AH11" s="184"/>
      <c r="AI11" s="184"/>
      <c r="AJ11" s="184"/>
      <c r="AK11" s="184"/>
      <c r="AL11" s="184"/>
      <c r="AM11" s="184"/>
      <c r="AN11" s="184"/>
      <c r="AO11" s="184"/>
      <c r="AP11" s="184"/>
      <c r="AQ11" s="184"/>
      <c r="AR11" s="184"/>
      <c r="AS11" s="184"/>
      <c r="AT11" s="184"/>
      <c r="AU11" s="184"/>
      <c r="AV11" s="184"/>
      <c r="AW11" s="184"/>
      <c r="AX11" s="184"/>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46" cm="1">
        <f t="array" ref="BU11">LOOKUP(2,1/(Y11:BT11&lt;&gt;""),Y11:BH11)</f>
        <v>3550</v>
      </c>
      <c r="BV11" s="145" cm="1">
        <f t="array" aca="1" ref="BV11" ca="1">_xlfn.LET(
    _xlpm.last_col_idx, LOOKUP(2, 1/(Y11:BT11&lt;&gt;""), COLUMN(Y11:BT11) - COLUMN(Y11) + 1),
    _xlpm.header_val, INDEX($Y$3:$BT$3, 1, _xlpm.last_col_idx),
    _xlpm.header_date, IF(ISNUMBER(_xlpm.header_val), _xlpm.header_val, DATEVALUE(_xlpm.header_val)),
    IF(_xlpm.header_date &gt; TODAY(), TODAY(), _xlpm.header_date)
)</f>
        <v>44986</v>
      </c>
      <c r="BW11" s="209" t="e" cm="1">
        <f t="array" ref="BW11">(LOOKUP(2,1/(BH11:BT11&lt;&gt;""),BH11:BT11))/(INDEX(BH11:BT11,MATCH(TRUE,INDEX((BH11:BT11&lt;&gt;0),0),0)))-1</f>
        <v>#N/A</v>
      </c>
      <c r="BX11" s="210">
        <f t="shared" si="0"/>
        <v>3.55</v>
      </c>
      <c r="BY11" s="210">
        <f t="shared" si="1"/>
        <v>20.945</v>
      </c>
      <c r="BZ11" s="210">
        <f ca="1">IF(L11="BR",'Impostos e Frete'!$F$6,IF(L11="EU",'Impostos e Frete'!$I$3,IF(L11="CN",'Impostos e Frete'!$I$4,IF(L11="JP",'Impostos e Frete'!$I$5,IF(L11="RU",'Impostos e Frete'!$I$7,"ERRO")))))</f>
        <v>0.1410816</v>
      </c>
      <c r="CA11" s="210">
        <f>VLOOKUP(L11,'Impostos e Frete'!$A$3:$B$7,2,0)*'Preços e Condições'!BY11</f>
        <v>2.7228500000000002</v>
      </c>
      <c r="CB11" s="147">
        <f t="shared" si="2"/>
        <v>0</v>
      </c>
      <c r="CC11" s="147">
        <f>IF(X11="BRL",'Impostos e Frete'!$B$11,'Impostos e Frete'!$B$12)</f>
        <v>9.1999999999999998E-2</v>
      </c>
      <c r="CD11" s="211">
        <f t="shared" ca="1" si="3"/>
        <v>23.9009316</v>
      </c>
      <c r="CE11" s="212">
        <f t="shared" ca="1" si="4"/>
        <v>1.673065212</v>
      </c>
      <c r="CF11" s="213">
        <f>VLOOKUP(L11,'Impostos e Frete'!$A$3:$C$7,3,0)</f>
        <v>105</v>
      </c>
      <c r="CG11" s="213">
        <f t="shared" si="5"/>
        <v>60</v>
      </c>
      <c r="CH11" s="213">
        <f t="shared" si="6"/>
        <v>-45</v>
      </c>
      <c r="CI11" s="214">
        <f t="shared" ca="1" si="7"/>
        <v>0.53978258864915318</v>
      </c>
      <c r="CJ11" s="215">
        <f t="shared" ca="1" si="8"/>
        <v>24.440714188649153</v>
      </c>
      <c r="CK11" s="216">
        <f t="shared" ca="1" si="9"/>
        <v>1.7108499932054408</v>
      </c>
    </row>
    <row r="12" spans="1:91">
      <c r="A12" s="176">
        <v>10249</v>
      </c>
      <c r="B12" s="177">
        <v>9370</v>
      </c>
      <c r="C12" s="178">
        <v>70</v>
      </c>
      <c r="D12" s="178">
        <v>1900</v>
      </c>
      <c r="E12" s="178" t="s">
        <v>209</v>
      </c>
      <c r="F12" s="179" t="s">
        <v>468</v>
      </c>
      <c r="G12" s="180" t="s">
        <v>83</v>
      </c>
      <c r="H12" s="178" t="s">
        <v>43</v>
      </c>
      <c r="I12" s="178"/>
      <c r="J12" s="178"/>
      <c r="K12" s="178"/>
      <c r="L12" s="178" t="s">
        <v>59</v>
      </c>
      <c r="M12" s="178">
        <v>60</v>
      </c>
      <c r="N12" s="178"/>
      <c r="O12" s="178"/>
      <c r="P12" s="178"/>
      <c r="Q12" s="178"/>
      <c r="R12" s="178" t="s">
        <v>19</v>
      </c>
      <c r="S12" s="181"/>
      <c r="T12" s="181"/>
      <c r="U12" s="182"/>
      <c r="V12" s="182" t="s">
        <v>35</v>
      </c>
      <c r="W12" s="183">
        <v>100</v>
      </c>
      <c r="X12" s="182" t="s">
        <v>51</v>
      </c>
      <c r="Y12" s="184">
        <v>3400</v>
      </c>
      <c r="Z12" s="184">
        <v>3400</v>
      </c>
      <c r="AA12" s="184">
        <v>3400</v>
      </c>
      <c r="AB12" s="184"/>
      <c r="AC12" s="184"/>
      <c r="AD12" s="184"/>
      <c r="AE12" s="184"/>
      <c r="AF12" s="184"/>
      <c r="AG12" s="184"/>
      <c r="AH12" s="184"/>
      <c r="AI12" s="184"/>
      <c r="AJ12" s="184"/>
      <c r="AK12" s="184"/>
      <c r="AL12" s="184"/>
      <c r="AM12" s="184"/>
      <c r="AN12" s="184"/>
      <c r="AO12" s="184"/>
      <c r="AP12" s="184"/>
      <c r="AQ12" s="184"/>
      <c r="AR12" s="184"/>
      <c r="AS12" s="184"/>
      <c r="AT12" s="184"/>
      <c r="AU12" s="184"/>
      <c r="AV12" s="184"/>
      <c r="AW12" s="184"/>
      <c r="AX12" s="184"/>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46" cm="1">
        <f t="array" ref="BU12">LOOKUP(2,1/(Y12:BT12&lt;&gt;""),Y12:BH12)</f>
        <v>3400</v>
      </c>
      <c r="BV12" s="145" cm="1">
        <f t="array" aca="1" ref="BV12" ca="1">_xlfn.LET(
    _xlpm.last_col_idx, LOOKUP(2, 1/(Y12:BT12&lt;&gt;""), COLUMN(Y12:BT12) - COLUMN(Y12) + 1),
    _xlpm.header_val, INDEX($Y$3:$BT$3, 1, _xlpm.last_col_idx),
    _xlpm.header_date, IF(ISNUMBER(_xlpm.header_val), _xlpm.header_val, DATEVALUE(_xlpm.header_val)),
    IF(_xlpm.header_date &gt; TODAY(), TODAY(), _xlpm.header_date)
)</f>
        <v>44986</v>
      </c>
      <c r="BW12" s="209" t="e" cm="1">
        <f t="array" ref="BW12">(LOOKUP(2,1/(BH12:BT12&lt;&gt;""),BH12:BT12))/(INDEX(BH12:BT12,MATCH(TRUE,INDEX((BH12:BT12&lt;&gt;0),0),0)))-1</f>
        <v>#N/A</v>
      </c>
      <c r="BX12" s="210">
        <f t="shared" si="0"/>
        <v>3.4</v>
      </c>
      <c r="BY12" s="210">
        <f t="shared" si="1"/>
        <v>20.060000000000002</v>
      </c>
      <c r="BZ12" s="210">
        <f ca="1">IF(L12="BR",'Impostos e Frete'!$F$6,IF(L12="EU",'Impostos e Frete'!$I$3,IF(L12="CN",'Impostos e Frete'!$I$4,IF(L12="JP",'Impostos e Frete'!$I$5,IF(L12="RU",'Impostos e Frete'!$I$7,"ERRO")))))</f>
        <v>0.1410816</v>
      </c>
      <c r="CA12" s="210">
        <f>VLOOKUP(L12,'Impostos e Frete'!$A$3:$B$7,2,0)*'Preços e Condições'!BY12</f>
        <v>2.6078000000000006</v>
      </c>
      <c r="CB12" s="147">
        <f t="shared" si="2"/>
        <v>0</v>
      </c>
      <c r="CC12" s="147">
        <f>IF(X12="BRL",'Impostos e Frete'!$B$11,'Impostos e Frete'!$B$12)</f>
        <v>9.1999999999999998E-2</v>
      </c>
      <c r="CD12" s="211">
        <f t="shared" ca="1" si="3"/>
        <v>22.900881600000002</v>
      </c>
      <c r="CE12" s="212">
        <f t="shared" ca="1" si="4"/>
        <v>1.6030617120000001</v>
      </c>
      <c r="CF12" s="213">
        <f>VLOOKUP(L12,'Impostos e Frete'!$A$3:$C$7,3,0)</f>
        <v>105</v>
      </c>
      <c r="CG12" s="213">
        <f t="shared" si="5"/>
        <v>60</v>
      </c>
      <c r="CH12" s="213">
        <f t="shared" si="6"/>
        <v>-45</v>
      </c>
      <c r="CI12" s="214">
        <f t="shared" ca="1" si="7"/>
        <v>0.51719729420068816</v>
      </c>
      <c r="CJ12" s="215">
        <f t="shared" ca="1" si="8"/>
        <v>23.41807889420069</v>
      </c>
      <c r="CK12" s="216">
        <f t="shared" ca="1" si="9"/>
        <v>1.6392655225940485</v>
      </c>
    </row>
    <row r="13" spans="1:91">
      <c r="A13" s="176">
        <v>10249</v>
      </c>
      <c r="B13" s="186">
        <v>9370</v>
      </c>
      <c r="C13" s="178">
        <v>70</v>
      </c>
      <c r="D13" s="178">
        <v>1900</v>
      </c>
      <c r="E13" s="178" t="s">
        <v>209</v>
      </c>
      <c r="F13" s="179" t="s">
        <v>468</v>
      </c>
      <c r="G13" s="180" t="s">
        <v>83</v>
      </c>
      <c r="H13" s="178" t="s">
        <v>43</v>
      </c>
      <c r="I13" s="178"/>
      <c r="J13" s="178"/>
      <c r="K13" s="178"/>
      <c r="L13" s="178" t="s">
        <v>59</v>
      </c>
      <c r="M13" s="178">
        <v>60</v>
      </c>
      <c r="N13" s="178"/>
      <c r="O13" s="178"/>
      <c r="P13" s="178"/>
      <c r="Q13" s="178"/>
      <c r="R13" s="178" t="s">
        <v>19</v>
      </c>
      <c r="S13" s="181"/>
      <c r="T13" s="181"/>
      <c r="U13" s="182"/>
      <c r="V13" s="182" t="s">
        <v>35</v>
      </c>
      <c r="W13" s="183">
        <v>150</v>
      </c>
      <c r="X13" s="182" t="s">
        <v>51</v>
      </c>
      <c r="Y13" s="184">
        <v>3350</v>
      </c>
      <c r="Z13" s="184">
        <v>3350</v>
      </c>
      <c r="AA13" s="184">
        <v>3350</v>
      </c>
      <c r="AB13" s="184"/>
      <c r="AC13" s="184"/>
      <c r="AD13" s="184"/>
      <c r="AE13" s="184"/>
      <c r="AF13" s="184"/>
      <c r="AG13" s="184"/>
      <c r="AH13" s="184"/>
      <c r="AI13" s="184"/>
      <c r="AJ13" s="184"/>
      <c r="AK13" s="184"/>
      <c r="AL13" s="184"/>
      <c r="AM13" s="184"/>
      <c r="AN13" s="184"/>
      <c r="AO13" s="184"/>
      <c r="AP13" s="184"/>
      <c r="AQ13" s="184"/>
      <c r="AR13" s="184"/>
      <c r="AS13" s="184"/>
      <c r="AT13" s="184"/>
      <c r="AU13" s="184"/>
      <c r="AV13" s="184"/>
      <c r="AW13" s="184"/>
      <c r="AX13" s="184"/>
      <c r="AY13" s="184"/>
      <c r="AZ13" s="184"/>
      <c r="BA13" s="184"/>
      <c r="BB13" s="184"/>
      <c r="BC13" s="184"/>
      <c r="BD13" s="184"/>
      <c r="BE13" s="184"/>
      <c r="BF13" s="184"/>
      <c r="BG13" s="184"/>
      <c r="BH13" s="184"/>
      <c r="BI13" s="184"/>
      <c r="BJ13" s="184"/>
      <c r="BK13" s="184"/>
      <c r="BL13" s="184"/>
      <c r="BM13" s="184"/>
      <c r="BN13" s="184"/>
      <c r="BO13" s="184"/>
      <c r="BP13" s="184"/>
      <c r="BQ13" s="184"/>
      <c r="BR13" s="184"/>
      <c r="BS13" s="184"/>
      <c r="BT13" s="184"/>
      <c r="BU13" s="146" cm="1">
        <f t="array" ref="BU13">LOOKUP(2,1/(Y13:BT13&lt;&gt;""),Y13:BH13)</f>
        <v>3350</v>
      </c>
      <c r="BV13" s="145" cm="1">
        <f t="array" aca="1" ref="BV13" ca="1">_xlfn.LET(
    _xlpm.last_col_idx, LOOKUP(2, 1/(Y13:BT13&lt;&gt;""), COLUMN(Y13:BT13) - COLUMN(Y13) + 1),
    _xlpm.header_val, INDEX($Y$3:$BT$3, 1, _xlpm.last_col_idx),
    _xlpm.header_date, IF(ISNUMBER(_xlpm.header_val), _xlpm.header_val, DATEVALUE(_xlpm.header_val)),
    IF(_xlpm.header_date &gt; TODAY(), TODAY(), _xlpm.header_date)
)</f>
        <v>44986</v>
      </c>
      <c r="BW13" s="209" t="e" cm="1">
        <f t="array" ref="BW13">(LOOKUP(2,1/(BH13:BT13&lt;&gt;""),BH13:BT13))/(INDEX(BH13:BT13,MATCH(TRUE,INDEX((BH13:BT13&lt;&gt;0),0),0)))-1</f>
        <v>#N/A</v>
      </c>
      <c r="BX13" s="210">
        <f t="shared" si="0"/>
        <v>3.35</v>
      </c>
      <c r="BY13" s="210">
        <f t="shared" si="1"/>
        <v>19.765000000000001</v>
      </c>
      <c r="BZ13" s="210">
        <f ca="1">IF(L13="BR",'Impostos e Frete'!$F$6,IF(L13="EU",'Impostos e Frete'!$I$3,IF(L13="CN",'Impostos e Frete'!$I$4,IF(L13="JP",'Impostos e Frete'!$I$5,IF(L13="RU",'Impostos e Frete'!$I$7,"ERRO")))))</f>
        <v>0.1410816</v>
      </c>
      <c r="CA13" s="210">
        <f>VLOOKUP(L13,'Impostos e Frete'!$A$3:$B$7,2,0)*'Preços e Condições'!BY13</f>
        <v>2.5694500000000002</v>
      </c>
      <c r="CB13" s="147">
        <f t="shared" si="2"/>
        <v>0</v>
      </c>
      <c r="CC13" s="147">
        <f>IF(X13="BRL",'Impostos e Frete'!$B$11,'Impostos e Frete'!$B$12)</f>
        <v>9.1999999999999998E-2</v>
      </c>
      <c r="CD13" s="211">
        <f t="shared" ca="1" si="3"/>
        <v>22.567531599999999</v>
      </c>
      <c r="CE13" s="212">
        <f t="shared" ca="1" si="4"/>
        <v>1.5797272119999999</v>
      </c>
      <c r="CF13" s="213">
        <f>VLOOKUP(L13,'Impostos e Frete'!$A$3:$C$7,3,0)</f>
        <v>105</v>
      </c>
      <c r="CG13" s="213">
        <f t="shared" si="5"/>
        <v>60</v>
      </c>
      <c r="CH13" s="213">
        <f t="shared" si="6"/>
        <v>-45</v>
      </c>
      <c r="CI13" s="214">
        <f t="shared" ca="1" si="7"/>
        <v>0.50966886271786649</v>
      </c>
      <c r="CJ13" s="215">
        <f t="shared" ca="1" si="8"/>
        <v>23.077200462717865</v>
      </c>
      <c r="CK13" s="216">
        <f t="shared" ca="1" si="9"/>
        <v>1.6154040323902508</v>
      </c>
    </row>
    <row r="14" spans="1:91">
      <c r="A14" s="176">
        <v>10249</v>
      </c>
      <c r="B14" s="186">
        <v>9370</v>
      </c>
      <c r="C14" s="178">
        <v>70</v>
      </c>
      <c r="D14" s="178">
        <v>1900</v>
      </c>
      <c r="E14" s="178" t="s">
        <v>209</v>
      </c>
      <c r="F14" s="179" t="s">
        <v>468</v>
      </c>
      <c r="G14" s="180" t="s">
        <v>83</v>
      </c>
      <c r="H14" s="178" t="s">
        <v>43</v>
      </c>
      <c r="I14" s="178"/>
      <c r="J14" s="178"/>
      <c r="K14" s="178"/>
      <c r="L14" s="178" t="s">
        <v>59</v>
      </c>
      <c r="M14" s="178">
        <v>60</v>
      </c>
      <c r="N14" s="178"/>
      <c r="O14" s="178"/>
      <c r="P14" s="178"/>
      <c r="Q14" s="178"/>
      <c r="R14" s="178" t="s">
        <v>19</v>
      </c>
      <c r="S14" s="181"/>
      <c r="T14" s="181"/>
      <c r="U14" s="182"/>
      <c r="V14" s="182" t="s">
        <v>35</v>
      </c>
      <c r="W14" s="183">
        <v>400</v>
      </c>
      <c r="X14" s="182" t="s">
        <v>51</v>
      </c>
      <c r="Y14" s="184"/>
      <c r="Z14" s="184"/>
      <c r="AA14" s="184"/>
      <c r="AB14" s="146">
        <f t="shared" ref="AB14:AG14" si="10">AB4+200</f>
        <v>200</v>
      </c>
      <c r="AC14" s="146">
        <f t="shared" si="10"/>
        <v>200</v>
      </c>
      <c r="AD14" s="146">
        <f t="shared" si="10"/>
        <v>200</v>
      </c>
      <c r="AE14" s="146">
        <f t="shared" si="10"/>
        <v>200</v>
      </c>
      <c r="AF14" s="146">
        <f t="shared" si="10"/>
        <v>200</v>
      </c>
      <c r="AG14" s="146">
        <f t="shared" si="10"/>
        <v>200</v>
      </c>
      <c r="AH14" s="184">
        <v>2860</v>
      </c>
      <c r="AI14" s="184">
        <v>2860</v>
      </c>
      <c r="AJ14" s="184">
        <v>2860</v>
      </c>
      <c r="AK14" s="184">
        <v>2860</v>
      </c>
      <c r="AL14" s="184">
        <v>2860</v>
      </c>
      <c r="AM14" s="184">
        <v>2860</v>
      </c>
      <c r="AN14" s="184">
        <v>2980</v>
      </c>
      <c r="AO14" s="184">
        <v>2980</v>
      </c>
      <c r="AP14" s="184">
        <v>2980</v>
      </c>
      <c r="AQ14" s="184">
        <v>3160</v>
      </c>
      <c r="AR14" s="184">
        <v>3160</v>
      </c>
      <c r="AS14" s="184">
        <v>3160</v>
      </c>
      <c r="AT14" s="184">
        <v>3160</v>
      </c>
      <c r="AU14" s="184">
        <v>3160</v>
      </c>
      <c r="AV14" s="184">
        <v>3160</v>
      </c>
      <c r="AW14" s="184"/>
      <c r="AX14" s="184"/>
      <c r="AY14" s="184"/>
      <c r="AZ14" s="184"/>
      <c r="BA14" s="184"/>
      <c r="BB14" s="184"/>
      <c r="BC14" s="184">
        <v>3010</v>
      </c>
      <c r="BD14" s="184">
        <v>3010</v>
      </c>
      <c r="BE14" s="184">
        <v>3010</v>
      </c>
      <c r="BF14" s="184">
        <v>2860</v>
      </c>
      <c r="BG14" s="184">
        <v>2860</v>
      </c>
      <c r="BH14" s="184">
        <v>2860</v>
      </c>
      <c r="BI14" s="184"/>
      <c r="BJ14" s="184"/>
      <c r="BK14" s="184"/>
      <c r="BL14" s="184">
        <v>2880</v>
      </c>
      <c r="BM14" s="184">
        <v>2980</v>
      </c>
      <c r="BN14" s="184">
        <v>2980</v>
      </c>
      <c r="BO14" s="184"/>
      <c r="BP14" s="184"/>
      <c r="BQ14" s="184"/>
      <c r="BR14" s="184"/>
      <c r="BS14" s="184"/>
      <c r="BT14" s="184"/>
      <c r="BU14" s="146" cm="1">
        <f t="array" ref="BU14">LOOKUP(2,1/(Y14:BT14&lt;&gt;""),Y14:BH14)</f>
        <v>2980</v>
      </c>
      <c r="BV14" s="145" cm="1">
        <f t="array" aca="1" ref="BV14" ca="1">_xlfn.LET(
    _xlpm.last_col_idx, LOOKUP(2, 1/(Y14:BT14&lt;&gt;""), COLUMN(Y14:BT14) - COLUMN(Y14) + 1),
    _xlpm.header_val, INDEX($Y$3:$BT$3, 1, _xlpm.last_col_idx),
    _xlpm.header_date, IF(ISNUMBER(_xlpm.header_val), _xlpm.header_val, DATEVALUE(_xlpm.header_val)),
    IF(_xlpm.header_date &gt; TODAY(), TODAY(), _xlpm.header_date)
)</f>
        <v>46174</v>
      </c>
      <c r="BW14" s="209" cm="1">
        <f t="array" ref="BW14">(LOOKUP(2,1/(BH14:BT14&lt;&gt;""),BH14:BT14))/(INDEX(BH14:BT14,MATCH(TRUE,INDEX((BH14:BT14&lt;&gt;0),0),0)))-1</f>
        <v>4.195804195804187E-2</v>
      </c>
      <c r="BX14" s="210">
        <f t="shared" si="0"/>
        <v>2.98</v>
      </c>
      <c r="BY14" s="210">
        <f t="shared" si="1"/>
        <v>17.582000000000001</v>
      </c>
      <c r="BZ14" s="210">
        <f ca="1">IF(L14="BR",'Impostos e Frete'!$F$6,IF(L14="EU",'Impostos e Frete'!$I$3,IF(L14="CN",'Impostos e Frete'!$I$4,IF(L14="JP",'Impostos e Frete'!$I$5,IF(L14="RU",'Impostos e Frete'!$I$7,"ERRO")))))</f>
        <v>0.1410816</v>
      </c>
      <c r="CA14" s="210">
        <f>VLOOKUP(L14,'Impostos e Frete'!$A$3:$B$7,2,0)*'Preços e Condições'!BY14</f>
        <v>2.28566</v>
      </c>
      <c r="CB14" s="147">
        <f t="shared" si="2"/>
        <v>0</v>
      </c>
      <c r="CC14" s="147">
        <f>IF(X14="BRL",'Impostos e Frete'!$B$11,'Impostos e Frete'!$B$12)</f>
        <v>9.1999999999999998E-2</v>
      </c>
      <c r="CD14" s="211">
        <f t="shared" ca="1" si="3"/>
        <v>20.100741599999999</v>
      </c>
      <c r="CE14" s="212">
        <f t="shared" ca="1" si="4"/>
        <v>1.407051912</v>
      </c>
      <c r="CF14" s="213">
        <f>VLOOKUP(L14,'Impostos e Frete'!$A$3:$C$7,3,0)</f>
        <v>105</v>
      </c>
      <c r="CG14" s="213">
        <f t="shared" si="5"/>
        <v>60</v>
      </c>
      <c r="CH14" s="213">
        <f t="shared" si="6"/>
        <v>-45</v>
      </c>
      <c r="CI14" s="214">
        <f t="shared" ca="1" si="7"/>
        <v>0.45395846974499321</v>
      </c>
      <c r="CJ14" s="215">
        <f t="shared" ca="1" si="8"/>
        <v>20.554700069744992</v>
      </c>
      <c r="CK14" s="216">
        <f t="shared" ca="1" si="9"/>
        <v>1.4388290048821495</v>
      </c>
    </row>
    <row r="15" spans="1:91">
      <c r="A15" s="176">
        <v>10249</v>
      </c>
      <c r="B15" s="186">
        <v>9370</v>
      </c>
      <c r="C15" s="178">
        <v>70</v>
      </c>
      <c r="D15" s="178">
        <v>1900</v>
      </c>
      <c r="E15" s="178" t="s">
        <v>209</v>
      </c>
      <c r="F15" s="179" t="s">
        <v>468</v>
      </c>
      <c r="G15" s="180" t="s">
        <v>83</v>
      </c>
      <c r="H15" s="178" t="s">
        <v>43</v>
      </c>
      <c r="I15" s="178"/>
      <c r="J15" s="178"/>
      <c r="K15" s="178"/>
      <c r="L15" s="178" t="s">
        <v>59</v>
      </c>
      <c r="M15" s="178">
        <v>60</v>
      </c>
      <c r="N15" s="178"/>
      <c r="O15" s="178"/>
      <c r="P15" s="178"/>
      <c r="Q15" s="178"/>
      <c r="R15" s="178" t="s">
        <v>19</v>
      </c>
      <c r="S15" s="181"/>
      <c r="T15" s="181"/>
      <c r="U15" s="182"/>
      <c r="V15" s="182" t="s">
        <v>35</v>
      </c>
      <c r="W15" s="183">
        <v>1000</v>
      </c>
      <c r="X15" s="182" t="s">
        <v>51</v>
      </c>
      <c r="Y15" s="184"/>
      <c r="Z15" s="184"/>
      <c r="AA15" s="184"/>
      <c r="AB15" s="146">
        <f t="shared" ref="AB15:AG15" si="11">AB6+200</f>
        <v>200</v>
      </c>
      <c r="AC15" s="146">
        <f t="shared" si="11"/>
        <v>200</v>
      </c>
      <c r="AD15" s="146">
        <f t="shared" si="11"/>
        <v>200</v>
      </c>
      <c r="AE15" s="146">
        <f t="shared" si="11"/>
        <v>200</v>
      </c>
      <c r="AF15" s="146">
        <f t="shared" si="11"/>
        <v>200</v>
      </c>
      <c r="AG15" s="146">
        <f t="shared" si="11"/>
        <v>200</v>
      </c>
      <c r="AH15" s="184">
        <v>2810</v>
      </c>
      <c r="AI15" s="184">
        <v>2810</v>
      </c>
      <c r="AJ15" s="184">
        <v>2810</v>
      </c>
      <c r="AK15" s="184">
        <v>2810</v>
      </c>
      <c r="AL15" s="184">
        <v>2810</v>
      </c>
      <c r="AM15" s="184">
        <v>2810</v>
      </c>
      <c r="AN15" s="184">
        <v>2930</v>
      </c>
      <c r="AO15" s="184">
        <v>2930</v>
      </c>
      <c r="AP15" s="184">
        <v>2930</v>
      </c>
      <c r="AQ15" s="184">
        <v>3110</v>
      </c>
      <c r="AR15" s="184">
        <v>3110</v>
      </c>
      <c r="AS15" s="184">
        <v>3110</v>
      </c>
      <c r="AT15" s="184">
        <v>3110</v>
      </c>
      <c r="AU15" s="184">
        <v>3110</v>
      </c>
      <c r="AV15" s="184">
        <v>3110</v>
      </c>
      <c r="AW15" s="184"/>
      <c r="AX15" s="184"/>
      <c r="AY15" s="184"/>
      <c r="AZ15" s="184"/>
      <c r="BA15" s="184"/>
      <c r="BB15" s="184"/>
      <c r="BC15" s="184"/>
      <c r="BD15" s="184"/>
      <c r="BE15" s="184"/>
      <c r="BF15" s="184"/>
      <c r="BG15" s="184"/>
      <c r="BH15" s="184"/>
      <c r="BI15" s="184"/>
      <c r="BJ15" s="184"/>
      <c r="BK15" s="184"/>
      <c r="BL15" s="184"/>
      <c r="BM15" s="184"/>
      <c r="BN15" s="184"/>
      <c r="BO15" s="184"/>
      <c r="BP15" s="184"/>
      <c r="BQ15" s="184"/>
      <c r="BR15" s="184"/>
      <c r="BS15" s="184"/>
      <c r="BT15" s="184"/>
      <c r="BU15" s="146" cm="1">
        <f t="array" ref="BU15">LOOKUP(2,1/(Y15:BT15&lt;&gt;""),Y15:BH15)</f>
        <v>3110</v>
      </c>
      <c r="BV15" s="145" cm="1">
        <f t="array" aca="1" ref="BV15" ca="1">_xlfn.LET(
    _xlpm.last_col_idx, LOOKUP(2, 1/(Y15:BT15&lt;&gt;""), COLUMN(Y15:BT15) - COLUMN(Y15) + 1),
    _xlpm.header_val, INDEX($Y$3:$BT$3, 1, _xlpm.last_col_idx),
    _xlpm.header_date, IF(ISNUMBER(_xlpm.header_val), _xlpm.header_val, DATEVALUE(_xlpm.header_val)),
    IF(_xlpm.header_date &gt; TODAY(), TODAY(), _xlpm.header_date)
)</f>
        <v>45627</v>
      </c>
      <c r="BW15" s="209" t="e" cm="1">
        <f t="array" ref="BW15">(LOOKUP(2,1/(BH15:BT15&lt;&gt;""),BH15:BT15))/(INDEX(BH15:BT15,MATCH(TRUE,INDEX((BH15:BT15&lt;&gt;0),0),0)))-1</f>
        <v>#N/A</v>
      </c>
      <c r="BX15" s="210">
        <f t="shared" si="0"/>
        <v>3.11</v>
      </c>
      <c r="BY15" s="210">
        <f t="shared" si="1"/>
        <v>18.349</v>
      </c>
      <c r="BZ15" s="210">
        <f ca="1">IF(L15="BR",'Impostos e Frete'!$F$6,IF(L15="EU",'Impostos e Frete'!$I$3,IF(L15="CN",'Impostos e Frete'!$I$4,IF(L15="JP",'Impostos e Frete'!$I$5,IF(L15="RU",'Impostos e Frete'!$I$7,"ERRO")))))</f>
        <v>0.1410816</v>
      </c>
      <c r="CA15" s="210">
        <f>VLOOKUP(L15,'Impostos e Frete'!$A$3:$B$7,2,0)*'Preços e Condições'!BY15</f>
        <v>2.38537</v>
      </c>
      <c r="CB15" s="147">
        <f t="shared" si="2"/>
        <v>0</v>
      </c>
      <c r="CC15" s="147">
        <f>IF(X15="BRL",'Impostos e Frete'!$B$11,'Impostos e Frete'!$B$12)</f>
        <v>9.1999999999999998E-2</v>
      </c>
      <c r="CD15" s="211">
        <f t="shared" ca="1" si="3"/>
        <v>20.967451599999997</v>
      </c>
      <c r="CE15" s="212">
        <f t="shared" ca="1" si="4"/>
        <v>1.4677216119999996</v>
      </c>
      <c r="CF15" s="213">
        <f>VLOOKUP(L15,'Impostos e Frete'!$A$3:$C$7,3,0)</f>
        <v>105</v>
      </c>
      <c r="CG15" s="213">
        <f t="shared" si="5"/>
        <v>60</v>
      </c>
      <c r="CH15" s="213">
        <f t="shared" si="6"/>
        <v>-45</v>
      </c>
      <c r="CI15" s="214">
        <f t="shared" ca="1" si="7"/>
        <v>0.47353239160032601</v>
      </c>
      <c r="CJ15" s="215">
        <f t="shared" ca="1" si="8"/>
        <v>21.440983991600323</v>
      </c>
      <c r="CK15" s="216">
        <f t="shared" ca="1" si="9"/>
        <v>1.5008688794120226</v>
      </c>
    </row>
    <row r="16" spans="1:91">
      <c r="A16" s="176">
        <v>10251</v>
      </c>
      <c r="B16" s="177" t="s">
        <v>75</v>
      </c>
      <c r="C16" s="178">
        <v>40</v>
      </c>
      <c r="D16" s="178">
        <v>1900</v>
      </c>
      <c r="E16" s="178" t="s">
        <v>209</v>
      </c>
      <c r="F16" s="179" t="s">
        <v>207</v>
      </c>
      <c r="G16" s="189" t="s">
        <v>214</v>
      </c>
      <c r="H16" s="178" t="s">
        <v>43</v>
      </c>
      <c r="I16" s="178"/>
      <c r="J16" s="178"/>
      <c r="K16" s="178"/>
      <c r="L16" s="178" t="s">
        <v>208</v>
      </c>
      <c r="M16" s="178">
        <v>90</v>
      </c>
      <c r="N16" s="178"/>
      <c r="O16" s="178"/>
      <c r="P16" s="178"/>
      <c r="Q16" s="178"/>
      <c r="R16" s="178" t="s">
        <v>19</v>
      </c>
      <c r="S16" s="181"/>
      <c r="T16" s="181"/>
      <c r="U16" s="182"/>
      <c r="V16" s="182" t="s">
        <v>35</v>
      </c>
      <c r="W16" s="183"/>
      <c r="X16" s="182" t="s">
        <v>158</v>
      </c>
      <c r="Y16" s="184"/>
      <c r="Z16" s="184"/>
      <c r="AA16" s="184"/>
      <c r="AB16" s="184"/>
      <c r="AC16" s="184"/>
      <c r="AD16" s="184"/>
      <c r="AE16" s="184"/>
      <c r="AF16" s="184"/>
      <c r="AG16" s="184"/>
      <c r="AH16" s="184"/>
      <c r="AI16" s="184"/>
      <c r="AJ16" s="184"/>
      <c r="AK16" s="184"/>
      <c r="AL16" s="184"/>
      <c r="AM16" s="184"/>
      <c r="AN16" s="184"/>
      <c r="AO16" s="184">
        <v>2198</v>
      </c>
      <c r="AP16" s="184">
        <v>2198</v>
      </c>
      <c r="AQ16" s="184"/>
      <c r="AR16" s="184"/>
      <c r="AS16" s="184"/>
      <c r="AT16" s="184"/>
      <c r="AU16" s="184"/>
      <c r="AV16" s="184"/>
      <c r="AW16" s="184"/>
      <c r="AX16" s="184"/>
      <c r="AY16" s="184"/>
      <c r="AZ16" s="184"/>
      <c r="BA16" s="184"/>
      <c r="BB16" s="184"/>
      <c r="BC16" s="184"/>
      <c r="BD16" s="184"/>
      <c r="BE16" s="184"/>
      <c r="BF16" s="184"/>
      <c r="BG16" s="184"/>
      <c r="BH16" s="184"/>
      <c r="BI16" s="184"/>
      <c r="BJ16" s="184"/>
      <c r="BK16" s="184"/>
      <c r="BL16" s="184"/>
      <c r="BM16" s="184"/>
      <c r="BN16" s="184"/>
      <c r="BO16" s="184"/>
      <c r="BP16" s="184"/>
      <c r="BQ16" s="184"/>
      <c r="BR16" s="184"/>
      <c r="BS16" s="184"/>
      <c r="BT16" s="184"/>
      <c r="BU16" s="146" cm="1">
        <f t="array" ref="BU16">LOOKUP(2,1/(Y16:BT16&lt;&gt;""),Y16:BH16)</f>
        <v>2198</v>
      </c>
      <c r="BV16" s="145" cm="1">
        <f t="array" aca="1" ref="BV16" ca="1">_xlfn.LET(
    _xlpm.last_col_idx, LOOKUP(2, 1/(Y16:BT16&lt;&gt;""), COLUMN(Y16:BT16) - COLUMN(Y16) + 1),
    _xlpm.header_val, INDEX($Y$3:$BT$3, 1, _xlpm.last_col_idx),
    _xlpm.header_date, IF(ISNUMBER(_xlpm.header_val), _xlpm.header_val, DATEVALUE(_xlpm.header_val)),
    IF(_xlpm.header_date &gt; TODAY(), TODAY(), _xlpm.header_date)
)</f>
        <v>45444</v>
      </c>
      <c r="BW16" s="209" t="e" cm="1">
        <f t="array" ref="BW16">(LOOKUP(2,1/(BH16:BT16&lt;&gt;""),BH16:BT16))/(INDEX(BH16:BT16,MATCH(TRUE,INDEX((BH16:BT16&lt;&gt;0),0),0)))-1</f>
        <v>#N/A</v>
      </c>
      <c r="BX16" s="210">
        <f t="shared" si="0"/>
        <v>2.198</v>
      </c>
      <c r="BY16" s="210">
        <f t="shared" si="1"/>
        <v>10.99</v>
      </c>
      <c r="BZ16" s="210">
        <f ca="1">IF(L16="BR",'Impostos e Frete'!$F$6,IF(L16="EU",'Impostos e Frete'!$I$3,IF(L16="CN",'Impostos e Frete'!$I$4,IF(L16="JP",'Impostos e Frete'!$I$5,IF(L16="RU",'Impostos e Frete'!$I$7,"ERRO")))))</f>
        <v>1.8884066666666666</v>
      </c>
      <c r="CA16" s="210">
        <f>VLOOKUP(L16,'Impostos e Frete'!$A$3:$B$7,2,0)*'Preços e Condições'!BY16</f>
        <v>1.6485000000000001</v>
      </c>
      <c r="CB16" s="147">
        <f t="shared" si="2"/>
        <v>0</v>
      </c>
      <c r="CC16" s="147">
        <f>IF(X16="BRL",'Impostos e Frete'!$B$11,'Impostos e Frete'!$B$12)</f>
        <v>9.1999999999999998E-2</v>
      </c>
      <c r="CD16" s="211">
        <f t="shared" ca="1" si="3"/>
        <v>14.618906666666668</v>
      </c>
      <c r="CE16" s="212">
        <f t="shared" ca="1" si="4"/>
        <v>0.58475626666666669</v>
      </c>
      <c r="CF16" s="213">
        <f>VLOOKUP(L16,'Impostos e Frete'!$A$3:$C$7,3,0)</f>
        <v>120</v>
      </c>
      <c r="CG16" s="213">
        <f t="shared" si="5"/>
        <v>90</v>
      </c>
      <c r="CH16" s="213">
        <f t="shared" si="6"/>
        <v>-30</v>
      </c>
      <c r="CI16" s="214">
        <f t="shared" ca="1" si="7"/>
        <v>0.21928359999999891</v>
      </c>
      <c r="CJ16" s="215">
        <f t="shared" ca="1" si="8"/>
        <v>14.838190266666667</v>
      </c>
      <c r="CK16" s="216">
        <f t="shared" ca="1" si="9"/>
        <v>0.59352761066666671</v>
      </c>
    </row>
    <row r="17" spans="1:89">
      <c r="A17" s="176">
        <v>10252</v>
      </c>
      <c r="B17" s="177">
        <v>9370</v>
      </c>
      <c r="C17" s="178">
        <v>70</v>
      </c>
      <c r="D17" s="178">
        <v>1900</v>
      </c>
      <c r="E17" s="178" t="s">
        <v>209</v>
      </c>
      <c r="F17" s="179" t="s">
        <v>468</v>
      </c>
      <c r="G17" s="180" t="s">
        <v>82</v>
      </c>
      <c r="H17" s="178" t="s">
        <v>43</v>
      </c>
      <c r="I17" s="178"/>
      <c r="J17" s="178"/>
      <c r="K17" s="178"/>
      <c r="L17" s="178" t="s">
        <v>59</v>
      </c>
      <c r="M17" s="178">
        <v>60</v>
      </c>
      <c r="N17" s="178"/>
      <c r="O17" s="178"/>
      <c r="P17" s="178"/>
      <c r="Q17" s="178"/>
      <c r="R17" s="178" t="s">
        <v>19</v>
      </c>
      <c r="S17" s="181"/>
      <c r="T17" s="181"/>
      <c r="U17" s="182"/>
      <c r="V17" s="182" t="s">
        <v>35</v>
      </c>
      <c r="W17" s="183">
        <v>400</v>
      </c>
      <c r="X17" s="182" t="s">
        <v>51</v>
      </c>
      <c r="Y17" s="184">
        <v>3080</v>
      </c>
      <c r="Z17" s="184">
        <v>3080</v>
      </c>
      <c r="AA17" s="184">
        <v>3080</v>
      </c>
      <c r="AB17" s="184">
        <v>3010</v>
      </c>
      <c r="AC17" s="184">
        <v>3010</v>
      </c>
      <c r="AD17" s="184">
        <v>3010</v>
      </c>
      <c r="AE17" s="184">
        <v>2810</v>
      </c>
      <c r="AF17" s="184">
        <v>2810</v>
      </c>
      <c r="AG17" s="184">
        <v>2810</v>
      </c>
      <c r="AH17" s="184">
        <v>2660</v>
      </c>
      <c r="AI17" s="184">
        <v>2660</v>
      </c>
      <c r="AJ17" s="184">
        <v>2660</v>
      </c>
      <c r="AK17" s="184">
        <v>2660</v>
      </c>
      <c r="AL17" s="184">
        <v>2660</v>
      </c>
      <c r="AM17" s="184">
        <v>2660</v>
      </c>
      <c r="AN17" s="184">
        <v>2780</v>
      </c>
      <c r="AO17" s="184">
        <v>2780</v>
      </c>
      <c r="AP17" s="184">
        <v>2780</v>
      </c>
      <c r="AQ17" s="184">
        <v>2960</v>
      </c>
      <c r="AR17" s="184">
        <v>2960</v>
      </c>
      <c r="AS17" s="184">
        <v>2960</v>
      </c>
      <c r="AT17" s="184">
        <v>2960</v>
      </c>
      <c r="AU17" s="184">
        <v>2960</v>
      </c>
      <c r="AV17" s="184">
        <v>2960</v>
      </c>
      <c r="AW17" s="184">
        <v>2810</v>
      </c>
      <c r="AX17" s="184">
        <v>2810</v>
      </c>
      <c r="AY17" s="184">
        <v>2810</v>
      </c>
      <c r="AZ17" s="184">
        <v>2850</v>
      </c>
      <c r="BA17" s="184">
        <v>2850</v>
      </c>
      <c r="BB17" s="184">
        <v>2850</v>
      </c>
      <c r="BC17" s="184">
        <v>2810</v>
      </c>
      <c r="BD17" s="184">
        <v>2810</v>
      </c>
      <c r="BE17" s="184">
        <v>2810</v>
      </c>
      <c r="BF17" s="184">
        <v>2660</v>
      </c>
      <c r="BG17" s="184">
        <v>2660</v>
      </c>
      <c r="BH17" s="184">
        <v>2660</v>
      </c>
      <c r="BI17" s="184"/>
      <c r="BJ17" s="184"/>
      <c r="BK17" s="184"/>
      <c r="BL17" s="184">
        <v>2680</v>
      </c>
      <c r="BM17" s="184">
        <v>2780</v>
      </c>
      <c r="BN17" s="184">
        <v>2780</v>
      </c>
      <c r="BO17" s="184">
        <v>2800</v>
      </c>
      <c r="BP17" s="184">
        <v>2690</v>
      </c>
      <c r="BQ17" s="184">
        <v>2690</v>
      </c>
      <c r="BR17" s="184"/>
      <c r="BS17" s="184"/>
      <c r="BT17" s="184"/>
      <c r="BU17" s="146" cm="1">
        <f t="array" ref="BU17">LOOKUP(2,1/(Y17:BT17&lt;&gt;""),Y17:BH17)</f>
        <v>2690</v>
      </c>
      <c r="BV17" s="145" cm="1">
        <f t="array" aca="1" ref="BV17" ca="1">_xlfn.LET(
    _xlpm.last_col_idx, LOOKUP(2, 1/(Y17:BT17&lt;&gt;""), COLUMN(Y17:BT17) - COLUMN(Y17) + 1),
    _xlpm.header_val, INDEX($Y$3:$BT$3, 1, _xlpm.last_col_idx),
    _xlpm.header_date, IF(ISNUMBER(_xlpm.header_val), _xlpm.header_val, DATEVALUE(_xlpm.header_val)),
    IF(_xlpm.header_date &gt; TODAY(), TODAY(), _xlpm.header_date)
)</f>
        <v>46212</v>
      </c>
      <c r="BW17" s="209" cm="1">
        <f t="array" ref="BW17">(LOOKUP(2,1/(BH17:BT17&lt;&gt;""),BH17:BT17))/(INDEX(BH17:BT17,MATCH(TRUE,INDEX((BH17:BT17&lt;&gt;0),0),0)))-1</f>
        <v>1.1278195488721776E-2</v>
      </c>
      <c r="BX17" s="210">
        <f t="shared" si="0"/>
        <v>2.69</v>
      </c>
      <c r="BY17" s="210">
        <f t="shared" si="1"/>
        <v>15.871</v>
      </c>
      <c r="BZ17" s="210">
        <f ca="1">IF(L17="BR",'Impostos e Frete'!$F$6,IF(L17="EU",'Impostos e Frete'!$I$3,IF(L17="CN",'Impostos e Frete'!$I$4,IF(L17="JP",'Impostos e Frete'!$I$5,IF(L17="RU",'Impostos e Frete'!$I$7,"ERRO")))))</f>
        <v>0.1410816</v>
      </c>
      <c r="CA17" s="210">
        <f>VLOOKUP(L17,'Impostos e Frete'!$A$3:$B$7,2,0)*'Preços e Condições'!BY17</f>
        <v>2.0632300000000003</v>
      </c>
      <c r="CB17" s="147">
        <f t="shared" si="2"/>
        <v>0</v>
      </c>
      <c r="CC17" s="147">
        <f>IF(X17="BRL",'Impostos e Frete'!$B$11,'Impostos e Frete'!$B$12)</f>
        <v>9.1999999999999998E-2</v>
      </c>
      <c r="CD17" s="211">
        <f t="shared" ca="1" si="3"/>
        <v>18.167311600000001</v>
      </c>
      <c r="CE17" s="212">
        <f t="shared" ca="1" si="4"/>
        <v>1.2717118120000002</v>
      </c>
      <c r="CF17" s="213">
        <f>VLOOKUP(L17,'Impostos e Frete'!$A$3:$C$7,3,0)</f>
        <v>105</v>
      </c>
      <c r="CG17" s="213">
        <f t="shared" si="5"/>
        <v>60</v>
      </c>
      <c r="CH17" s="213">
        <f t="shared" si="6"/>
        <v>-45</v>
      </c>
      <c r="CI17" s="214">
        <f t="shared" ca="1" si="7"/>
        <v>0.4102935671446275</v>
      </c>
      <c r="CJ17" s="215">
        <f t="shared" ca="1" si="8"/>
        <v>18.577605167144629</v>
      </c>
      <c r="CK17" s="216">
        <f t="shared" ca="1" si="9"/>
        <v>1.3004323617001239</v>
      </c>
    </row>
    <row r="18" spans="1:89">
      <c r="A18" s="176">
        <v>10252</v>
      </c>
      <c r="B18" s="177">
        <v>9370</v>
      </c>
      <c r="C18" s="178">
        <v>70</v>
      </c>
      <c r="D18" s="178">
        <v>1900</v>
      </c>
      <c r="E18" s="178" t="s">
        <v>209</v>
      </c>
      <c r="F18" s="179" t="s">
        <v>468</v>
      </c>
      <c r="G18" s="180" t="s">
        <v>82</v>
      </c>
      <c r="H18" s="178" t="s">
        <v>43</v>
      </c>
      <c r="I18" s="178"/>
      <c r="J18" s="178"/>
      <c r="K18" s="178"/>
      <c r="L18" s="178" t="s">
        <v>59</v>
      </c>
      <c r="M18" s="178">
        <v>60</v>
      </c>
      <c r="N18" s="178"/>
      <c r="O18" s="178"/>
      <c r="P18" s="178"/>
      <c r="Q18" s="178"/>
      <c r="R18" s="178" t="s">
        <v>19</v>
      </c>
      <c r="S18" s="181"/>
      <c r="T18" s="181"/>
      <c r="U18" s="182"/>
      <c r="V18" s="182" t="s">
        <v>35</v>
      </c>
      <c r="W18" s="183">
        <v>800</v>
      </c>
      <c r="X18" s="182" t="s">
        <v>51</v>
      </c>
      <c r="Y18" s="184"/>
      <c r="Z18" s="184"/>
      <c r="AA18" s="184"/>
      <c r="AB18" s="184"/>
      <c r="AC18" s="184"/>
      <c r="AD18" s="184"/>
      <c r="AE18" s="184"/>
      <c r="AF18" s="184"/>
      <c r="AG18" s="184"/>
      <c r="AH18" s="184"/>
      <c r="AI18" s="184"/>
      <c r="AJ18" s="184"/>
      <c r="AK18" s="184"/>
      <c r="AL18" s="184"/>
      <c r="AM18" s="184"/>
      <c r="AN18" s="184"/>
      <c r="AO18" s="184"/>
      <c r="AP18" s="184"/>
      <c r="AQ18" s="184"/>
      <c r="AR18" s="184"/>
      <c r="AS18" s="184"/>
      <c r="AT18" s="184"/>
      <c r="AU18" s="184"/>
      <c r="AV18" s="184"/>
      <c r="AW18" s="184">
        <v>2760</v>
      </c>
      <c r="AX18" s="184">
        <v>2760</v>
      </c>
      <c r="AY18" s="184">
        <v>2760</v>
      </c>
      <c r="AZ18" s="184">
        <v>2800</v>
      </c>
      <c r="BA18" s="184">
        <v>2800</v>
      </c>
      <c r="BB18" s="184">
        <v>2800</v>
      </c>
      <c r="BC18" s="184">
        <v>2760</v>
      </c>
      <c r="BD18" s="184">
        <v>2760</v>
      </c>
      <c r="BE18" s="184">
        <v>2760</v>
      </c>
      <c r="BF18" s="184">
        <v>2610</v>
      </c>
      <c r="BG18" s="184">
        <v>2610</v>
      </c>
      <c r="BH18" s="184">
        <v>2610</v>
      </c>
      <c r="BI18" s="184"/>
      <c r="BJ18" s="184"/>
      <c r="BK18" s="184"/>
      <c r="BL18" s="184">
        <v>2630</v>
      </c>
      <c r="BM18" s="184">
        <v>2730</v>
      </c>
      <c r="BN18" s="184">
        <v>2730</v>
      </c>
      <c r="BO18" s="184">
        <v>2750</v>
      </c>
      <c r="BP18" s="184">
        <v>2640</v>
      </c>
      <c r="BQ18" s="184">
        <v>2640</v>
      </c>
      <c r="BR18" s="184"/>
      <c r="BS18" s="184"/>
      <c r="BT18" s="184"/>
      <c r="BU18" s="146" cm="1">
        <f t="array" ref="BU18">LOOKUP(2,1/(Y18:BT18&lt;&gt;""),Y18:BH18)</f>
        <v>2640</v>
      </c>
      <c r="BV18" s="145" cm="1">
        <f t="array" aca="1" ref="BV18" ca="1">_xlfn.LET(
    _xlpm.last_col_idx, LOOKUP(2, 1/(Y18:BT18&lt;&gt;""), COLUMN(Y18:BT18) - COLUMN(Y18) + 1),
    _xlpm.header_val, INDEX($Y$3:$BT$3, 1, _xlpm.last_col_idx),
    _xlpm.header_date, IF(ISNUMBER(_xlpm.header_val), _xlpm.header_val, DATEVALUE(_xlpm.header_val)),
    IF(_xlpm.header_date &gt; TODAY(), TODAY(), _xlpm.header_date)
)</f>
        <v>46212</v>
      </c>
      <c r="BW18" s="209" cm="1">
        <f t="array" ref="BW18">(LOOKUP(2,1/(BH18:BT18&lt;&gt;""),BH18:BT18))/(INDEX(BH18:BT18,MATCH(TRUE,INDEX((BH18:BT18&lt;&gt;0),0),0)))-1</f>
        <v>1.1494252873563315E-2</v>
      </c>
      <c r="BX18" s="210">
        <f t="shared" si="0"/>
        <v>2.64</v>
      </c>
      <c r="BY18" s="210">
        <f t="shared" si="1"/>
        <v>15.576000000000002</v>
      </c>
      <c r="BZ18" s="210">
        <f ca="1">IF(L18="BR",'Impostos e Frete'!$F$6,IF(L18="EU",'Impostos e Frete'!$I$3,IF(L18="CN",'Impostos e Frete'!$I$4,IF(L18="JP",'Impostos e Frete'!$I$5,IF(L18="RU",'Impostos e Frete'!$I$7,"ERRO")))))</f>
        <v>0.1410816</v>
      </c>
      <c r="CA18" s="210">
        <f>VLOOKUP(L18,'Impostos e Frete'!$A$3:$B$7,2,0)*'Preços e Condições'!BY18</f>
        <v>2.0248800000000005</v>
      </c>
      <c r="CB18" s="147">
        <f t="shared" si="2"/>
        <v>0</v>
      </c>
      <c r="CC18" s="147">
        <f>IF(X18="BRL",'Impostos e Frete'!$B$11,'Impostos e Frete'!$B$12)</f>
        <v>9.1999999999999998E-2</v>
      </c>
      <c r="CD18" s="211">
        <f t="shared" ca="1" si="3"/>
        <v>17.833961600000002</v>
      </c>
      <c r="CE18" s="212">
        <f t="shared" ca="1" si="4"/>
        <v>1.2483773120000001</v>
      </c>
      <c r="CF18" s="213">
        <f>VLOOKUP(L18,'Impostos e Frete'!$A$3:$C$7,3,0)</f>
        <v>105</v>
      </c>
      <c r="CG18" s="213">
        <f t="shared" si="5"/>
        <v>60</v>
      </c>
      <c r="CH18" s="213">
        <f t="shared" si="6"/>
        <v>-45</v>
      </c>
      <c r="CI18" s="214">
        <f t="shared" ca="1" si="7"/>
        <v>0.40276513566180938</v>
      </c>
      <c r="CJ18" s="215">
        <f t="shared" ca="1" si="8"/>
        <v>18.236726735661811</v>
      </c>
      <c r="CK18" s="216">
        <f t="shared" ca="1" si="9"/>
        <v>1.2765708714963269</v>
      </c>
    </row>
    <row r="19" spans="1:89">
      <c r="A19" s="176">
        <v>10252</v>
      </c>
      <c r="B19" s="177">
        <v>9370</v>
      </c>
      <c r="C19" s="178">
        <v>70</v>
      </c>
      <c r="D19" s="178">
        <v>1900</v>
      </c>
      <c r="E19" s="178" t="s">
        <v>209</v>
      </c>
      <c r="F19" s="179" t="s">
        <v>468</v>
      </c>
      <c r="G19" s="180" t="s">
        <v>82</v>
      </c>
      <c r="H19" s="178" t="s">
        <v>43</v>
      </c>
      <c r="I19" s="178"/>
      <c r="J19" s="178"/>
      <c r="K19" s="178"/>
      <c r="L19" s="178" t="s">
        <v>59</v>
      </c>
      <c r="M19" s="178">
        <v>60</v>
      </c>
      <c r="N19" s="178"/>
      <c r="O19" s="178"/>
      <c r="P19" s="178"/>
      <c r="Q19" s="178"/>
      <c r="R19" s="178" t="s">
        <v>19</v>
      </c>
      <c r="S19" s="181"/>
      <c r="T19" s="181"/>
      <c r="U19" s="182"/>
      <c r="V19" s="182" t="s">
        <v>35</v>
      </c>
      <c r="W19" s="183">
        <v>1000</v>
      </c>
      <c r="X19" s="182" t="s">
        <v>51</v>
      </c>
      <c r="Y19" s="184">
        <v>3030</v>
      </c>
      <c r="Z19" s="184">
        <v>3030</v>
      </c>
      <c r="AA19" s="184">
        <v>3030</v>
      </c>
      <c r="AB19" s="184">
        <v>2960</v>
      </c>
      <c r="AC19" s="184">
        <v>2960</v>
      </c>
      <c r="AD19" s="184">
        <v>2960</v>
      </c>
      <c r="AE19" s="184">
        <v>2760</v>
      </c>
      <c r="AF19" s="184">
        <v>2760</v>
      </c>
      <c r="AG19" s="184">
        <v>2760</v>
      </c>
      <c r="AH19" s="184">
        <v>2610</v>
      </c>
      <c r="AI19" s="184">
        <v>2610</v>
      </c>
      <c r="AJ19" s="184">
        <v>2610</v>
      </c>
      <c r="AK19" s="184">
        <v>2610</v>
      </c>
      <c r="AL19" s="184">
        <v>2610</v>
      </c>
      <c r="AM19" s="184">
        <v>2610</v>
      </c>
      <c r="AN19" s="184">
        <v>2730</v>
      </c>
      <c r="AO19" s="184">
        <v>2730</v>
      </c>
      <c r="AP19" s="184">
        <v>2730</v>
      </c>
      <c r="AQ19" s="184">
        <v>2910</v>
      </c>
      <c r="AR19" s="184">
        <v>2910</v>
      </c>
      <c r="AS19" s="184">
        <v>2910</v>
      </c>
      <c r="AT19" s="184">
        <v>2910</v>
      </c>
      <c r="AU19" s="184">
        <v>2910</v>
      </c>
      <c r="AV19" s="184">
        <v>2910</v>
      </c>
      <c r="AW19" s="184"/>
      <c r="AX19" s="184"/>
      <c r="AY19" s="184"/>
      <c r="AZ19" s="184"/>
      <c r="BA19" s="184"/>
      <c r="BB19" s="184"/>
      <c r="BC19" s="184"/>
      <c r="BD19" s="184"/>
      <c r="BE19" s="184"/>
      <c r="BF19" s="184"/>
      <c r="BG19" s="184"/>
      <c r="BH19" s="184"/>
      <c r="BI19" s="184"/>
      <c r="BJ19" s="184"/>
      <c r="BK19" s="184"/>
      <c r="BL19" s="184"/>
      <c r="BM19" s="184"/>
      <c r="BN19" s="184"/>
      <c r="BO19" s="184"/>
      <c r="BP19" s="184"/>
      <c r="BQ19" s="184"/>
      <c r="BR19" s="184"/>
      <c r="BS19" s="184"/>
      <c r="BT19" s="184"/>
      <c r="BU19" s="146" cm="1">
        <f t="array" ref="BU19">LOOKUP(2,1/(Y19:BT19&lt;&gt;""),Y19:BH19)</f>
        <v>2910</v>
      </c>
      <c r="BV19" s="145" cm="1">
        <f t="array" aca="1" ref="BV19" ca="1">_xlfn.LET(
    _xlpm.last_col_idx, LOOKUP(2, 1/(Y19:BT19&lt;&gt;""), COLUMN(Y19:BT19) - COLUMN(Y19) + 1),
    _xlpm.header_val, INDEX($Y$3:$BT$3, 1, _xlpm.last_col_idx),
    _xlpm.header_date, IF(ISNUMBER(_xlpm.header_val), _xlpm.header_val, DATEVALUE(_xlpm.header_val)),
    IF(_xlpm.header_date &gt; TODAY(), TODAY(), _xlpm.header_date)
)</f>
        <v>45627</v>
      </c>
      <c r="BW19" s="209" t="e" cm="1">
        <f t="array" ref="BW19">(LOOKUP(2,1/(BH19:BT19&lt;&gt;""),BH19:BT19))/(INDEX(BH19:BT19,MATCH(TRUE,INDEX((BH19:BT19&lt;&gt;0),0),0)))-1</f>
        <v>#N/A</v>
      </c>
      <c r="BX19" s="210">
        <f t="shared" si="0"/>
        <v>2.91</v>
      </c>
      <c r="BY19" s="210">
        <f t="shared" si="1"/>
        <v>17.169</v>
      </c>
      <c r="BZ19" s="210">
        <f ca="1">IF(L19="BR",'Impostos e Frete'!$F$6,IF(L19="EU",'Impostos e Frete'!$I$3,IF(L19="CN",'Impostos e Frete'!$I$4,IF(L19="JP",'Impostos e Frete'!$I$5,IF(L19="RU",'Impostos e Frete'!$I$7,"ERRO")))))</f>
        <v>0.1410816</v>
      </c>
      <c r="CA19" s="210">
        <f>VLOOKUP(L19,'Impostos e Frete'!$A$3:$B$7,2,0)*'Preços e Condições'!BY19</f>
        <v>2.23197</v>
      </c>
      <c r="CB19" s="147">
        <f t="shared" si="2"/>
        <v>0</v>
      </c>
      <c r="CC19" s="147">
        <f>IF(X19="BRL",'Impostos e Frete'!$B$11,'Impostos e Frete'!$B$12)</f>
        <v>9.1999999999999998E-2</v>
      </c>
      <c r="CD19" s="211">
        <f t="shared" ca="1" si="3"/>
        <v>19.634051599999999</v>
      </c>
      <c r="CE19" s="212">
        <f t="shared" ca="1" si="4"/>
        <v>1.3743836120000001</v>
      </c>
      <c r="CF19" s="213">
        <f>VLOOKUP(L19,'Impostos e Frete'!$A$3:$C$7,3,0)</f>
        <v>105</v>
      </c>
      <c r="CG19" s="213">
        <f t="shared" si="5"/>
        <v>60</v>
      </c>
      <c r="CH19" s="213">
        <f t="shared" si="6"/>
        <v>-45</v>
      </c>
      <c r="CI19" s="214">
        <f t="shared" ca="1" si="7"/>
        <v>0.44341866566904287</v>
      </c>
      <c r="CJ19" s="215">
        <f t="shared" ca="1" si="8"/>
        <v>20.077470265669042</v>
      </c>
      <c r="CK19" s="216">
        <f t="shared" ca="1" si="9"/>
        <v>1.405422918596833</v>
      </c>
    </row>
    <row r="20" spans="1:89">
      <c r="A20" s="176">
        <v>10253</v>
      </c>
      <c r="B20" s="177">
        <v>9370</v>
      </c>
      <c r="C20" s="178">
        <v>70</v>
      </c>
      <c r="D20" s="178">
        <v>1900</v>
      </c>
      <c r="E20" s="178" t="s">
        <v>209</v>
      </c>
      <c r="F20" s="179" t="s">
        <v>468</v>
      </c>
      <c r="G20" s="180" t="s">
        <v>212</v>
      </c>
      <c r="H20" s="178" t="s">
        <v>43</v>
      </c>
      <c r="I20" s="178" t="s">
        <v>213</v>
      </c>
      <c r="J20" s="178"/>
      <c r="K20" s="178"/>
      <c r="L20" s="178" t="s">
        <v>59</v>
      </c>
      <c r="M20" s="178">
        <v>60</v>
      </c>
      <c r="N20" s="178"/>
      <c r="O20" s="178"/>
      <c r="P20" s="178"/>
      <c r="Q20" s="178"/>
      <c r="R20" s="178" t="s">
        <v>19</v>
      </c>
      <c r="S20" s="181"/>
      <c r="T20" s="181"/>
      <c r="U20" s="182"/>
      <c r="V20" s="182" t="s">
        <v>35</v>
      </c>
      <c r="W20" s="183">
        <v>400</v>
      </c>
      <c r="X20" s="182" t="s">
        <v>51</v>
      </c>
      <c r="Y20" s="184">
        <v>3080</v>
      </c>
      <c r="Z20" s="184">
        <v>3080</v>
      </c>
      <c r="AA20" s="184">
        <v>3080</v>
      </c>
      <c r="AB20" s="184">
        <v>3010</v>
      </c>
      <c r="AC20" s="184">
        <v>3010</v>
      </c>
      <c r="AD20" s="184">
        <v>3010</v>
      </c>
      <c r="AE20" s="184">
        <v>2810</v>
      </c>
      <c r="AF20" s="184">
        <v>2810</v>
      </c>
      <c r="AG20" s="184">
        <v>2810</v>
      </c>
      <c r="AH20" s="184">
        <v>2660</v>
      </c>
      <c r="AI20" s="184">
        <v>2660</v>
      </c>
      <c r="AJ20" s="184">
        <v>2660</v>
      </c>
      <c r="AK20" s="184">
        <v>2660</v>
      </c>
      <c r="AL20" s="184">
        <v>2660</v>
      </c>
      <c r="AM20" s="184">
        <v>2660</v>
      </c>
      <c r="AN20" s="184">
        <v>2780</v>
      </c>
      <c r="AO20" s="184">
        <v>2780</v>
      </c>
      <c r="AP20" s="184">
        <v>2780</v>
      </c>
      <c r="AQ20" s="184">
        <v>2960</v>
      </c>
      <c r="AR20" s="184">
        <v>2960</v>
      </c>
      <c r="AS20" s="184">
        <v>2960</v>
      </c>
      <c r="AT20" s="184">
        <v>2960</v>
      </c>
      <c r="AU20" s="184">
        <v>2960</v>
      </c>
      <c r="AV20" s="184">
        <v>2960</v>
      </c>
      <c r="AW20" s="184">
        <v>2810</v>
      </c>
      <c r="AX20" s="184">
        <v>2810</v>
      </c>
      <c r="AY20" s="184">
        <v>2810</v>
      </c>
      <c r="AZ20" s="184">
        <v>2850</v>
      </c>
      <c r="BA20" s="184">
        <v>2850</v>
      </c>
      <c r="BB20" s="184">
        <v>2850</v>
      </c>
      <c r="BC20" s="184">
        <v>2810</v>
      </c>
      <c r="BD20" s="184">
        <v>2810</v>
      </c>
      <c r="BE20" s="184">
        <v>2810</v>
      </c>
      <c r="BF20" s="184">
        <v>2660</v>
      </c>
      <c r="BG20" s="184">
        <v>2660</v>
      </c>
      <c r="BH20" s="184">
        <v>2660</v>
      </c>
      <c r="BI20" s="184"/>
      <c r="BJ20" s="184"/>
      <c r="BK20" s="184"/>
      <c r="BL20" s="184">
        <v>2680</v>
      </c>
      <c r="BM20" s="184">
        <v>2780</v>
      </c>
      <c r="BN20" s="184">
        <v>2780</v>
      </c>
      <c r="BO20" s="184">
        <v>2800</v>
      </c>
      <c r="BP20" s="184">
        <v>2690</v>
      </c>
      <c r="BQ20" s="184">
        <v>2690</v>
      </c>
      <c r="BR20" s="184"/>
      <c r="BS20" s="184"/>
      <c r="BT20" s="184"/>
      <c r="BU20" s="146" cm="1">
        <f t="array" ref="BU20">LOOKUP(2,1/(Y20:BT20&lt;&gt;""),Y20:BH20)</f>
        <v>2690</v>
      </c>
      <c r="BV20" s="145" cm="1">
        <f t="array" aca="1" ref="BV20" ca="1">_xlfn.LET(
    _xlpm.last_col_idx, LOOKUP(2, 1/(Y20:BT20&lt;&gt;""), COLUMN(Y20:BT20) - COLUMN(Y20) + 1),
    _xlpm.header_val, INDEX($Y$3:$BT$3, 1, _xlpm.last_col_idx),
    _xlpm.header_date, IF(ISNUMBER(_xlpm.header_val), _xlpm.header_val, DATEVALUE(_xlpm.header_val)),
    IF(_xlpm.header_date &gt; TODAY(), TODAY(), _xlpm.header_date)
)</f>
        <v>46212</v>
      </c>
      <c r="BW20" s="209" cm="1">
        <f t="array" ref="BW20">(LOOKUP(2,1/(BH20:BT20&lt;&gt;""),BH20:BT20))/(INDEX(BH20:BT20,MATCH(TRUE,INDEX((BH20:BT20&lt;&gt;0),0),0)))-1</f>
        <v>1.1278195488721776E-2</v>
      </c>
      <c r="BX20" s="210">
        <f t="shared" si="0"/>
        <v>2.69</v>
      </c>
      <c r="BY20" s="210">
        <f t="shared" si="1"/>
        <v>15.871</v>
      </c>
      <c r="BZ20" s="210">
        <f ca="1">IF(L20="BR",'Impostos e Frete'!$F$6,IF(L20="EU",'Impostos e Frete'!$I$3,IF(L20="CN",'Impostos e Frete'!$I$4,IF(L20="JP",'Impostos e Frete'!$I$5,IF(L20="RU",'Impostos e Frete'!$I$7,"ERRO")))))</f>
        <v>0.1410816</v>
      </c>
      <c r="CA20" s="210">
        <f>VLOOKUP(L20,'Impostos e Frete'!$A$3:$B$7,2,0)*'Preços e Condições'!BY20</f>
        <v>2.0632300000000003</v>
      </c>
      <c r="CB20" s="147">
        <f t="shared" si="2"/>
        <v>0</v>
      </c>
      <c r="CC20" s="147">
        <f>IF(X20="BRL",'Impostos e Frete'!$B$11,'Impostos e Frete'!$B$12)</f>
        <v>9.1999999999999998E-2</v>
      </c>
      <c r="CD20" s="211">
        <f t="shared" ca="1" si="3"/>
        <v>18.167311600000001</v>
      </c>
      <c r="CE20" s="212">
        <f t="shared" ca="1" si="4"/>
        <v>1.2717118120000002</v>
      </c>
      <c r="CF20" s="213">
        <f>VLOOKUP(L20,'Impostos e Frete'!$A$3:$C$7,3,0)</f>
        <v>105</v>
      </c>
      <c r="CG20" s="213">
        <f t="shared" si="5"/>
        <v>60</v>
      </c>
      <c r="CH20" s="213">
        <f t="shared" si="6"/>
        <v>-45</v>
      </c>
      <c r="CI20" s="214">
        <f t="shared" ca="1" si="7"/>
        <v>0.4102935671446275</v>
      </c>
      <c r="CJ20" s="215">
        <f t="shared" ca="1" si="8"/>
        <v>18.577605167144629</v>
      </c>
      <c r="CK20" s="216">
        <f t="shared" ca="1" si="9"/>
        <v>1.3004323617001239</v>
      </c>
    </row>
    <row r="21" spans="1:89">
      <c r="A21" s="176">
        <v>10253</v>
      </c>
      <c r="B21" s="177">
        <v>9370</v>
      </c>
      <c r="C21" s="178">
        <v>70</v>
      </c>
      <c r="D21" s="178">
        <v>1900</v>
      </c>
      <c r="E21" s="178" t="s">
        <v>209</v>
      </c>
      <c r="F21" s="179" t="s">
        <v>468</v>
      </c>
      <c r="G21" s="180" t="s">
        <v>212</v>
      </c>
      <c r="H21" s="178" t="s">
        <v>43</v>
      </c>
      <c r="I21" s="178" t="s">
        <v>213</v>
      </c>
      <c r="J21" s="178"/>
      <c r="K21" s="178"/>
      <c r="L21" s="178" t="s">
        <v>59</v>
      </c>
      <c r="M21" s="178">
        <v>60</v>
      </c>
      <c r="N21" s="178"/>
      <c r="O21" s="178"/>
      <c r="P21" s="178"/>
      <c r="Q21" s="178"/>
      <c r="R21" s="178" t="s">
        <v>19</v>
      </c>
      <c r="S21" s="181"/>
      <c r="T21" s="181"/>
      <c r="U21" s="182"/>
      <c r="V21" s="182" t="s">
        <v>35</v>
      </c>
      <c r="W21" s="183">
        <v>800</v>
      </c>
      <c r="X21" s="182" t="s">
        <v>51</v>
      </c>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v>2760</v>
      </c>
      <c r="AX21" s="184">
        <v>2760</v>
      </c>
      <c r="AY21" s="184">
        <v>2760</v>
      </c>
      <c r="AZ21" s="184">
        <v>2800</v>
      </c>
      <c r="BA21" s="184">
        <v>2800</v>
      </c>
      <c r="BB21" s="184">
        <v>2800</v>
      </c>
      <c r="BC21" s="184">
        <v>2760</v>
      </c>
      <c r="BD21" s="184">
        <v>2760</v>
      </c>
      <c r="BE21" s="184">
        <v>2760</v>
      </c>
      <c r="BF21" s="184">
        <v>2610</v>
      </c>
      <c r="BG21" s="184">
        <v>2610</v>
      </c>
      <c r="BH21" s="184">
        <v>2610</v>
      </c>
      <c r="BI21" s="184"/>
      <c r="BJ21" s="184"/>
      <c r="BK21" s="184"/>
      <c r="BL21" s="184">
        <v>2630</v>
      </c>
      <c r="BM21" s="184">
        <v>2730</v>
      </c>
      <c r="BN21" s="184">
        <v>2730</v>
      </c>
      <c r="BO21" s="184">
        <v>2750</v>
      </c>
      <c r="BP21" s="184">
        <v>2640</v>
      </c>
      <c r="BQ21" s="184">
        <v>2640</v>
      </c>
      <c r="BR21" s="184"/>
      <c r="BS21" s="184"/>
      <c r="BT21" s="184"/>
      <c r="BU21" s="146" cm="1">
        <f t="array" ref="BU21">LOOKUP(2,1/(Y21:BT21&lt;&gt;""),Y21:BH21)</f>
        <v>2640</v>
      </c>
      <c r="BV21" s="145" cm="1">
        <f t="array" aca="1" ref="BV21" ca="1">_xlfn.LET(
    _xlpm.last_col_idx, LOOKUP(2, 1/(Y21:BT21&lt;&gt;""), COLUMN(Y21:BT21) - COLUMN(Y21) + 1),
    _xlpm.header_val, INDEX($Y$3:$BT$3, 1, _xlpm.last_col_idx),
    _xlpm.header_date, IF(ISNUMBER(_xlpm.header_val), _xlpm.header_val, DATEVALUE(_xlpm.header_val)),
    IF(_xlpm.header_date &gt; TODAY(), TODAY(), _xlpm.header_date)
)</f>
        <v>46212</v>
      </c>
      <c r="BW21" s="209" cm="1">
        <f t="array" ref="BW21">(LOOKUP(2,1/(BH21:BT21&lt;&gt;""),BH21:BT21))/(INDEX(BH21:BT21,MATCH(TRUE,INDEX((BH21:BT21&lt;&gt;0),0),0)))-1</f>
        <v>1.1494252873563315E-2</v>
      </c>
      <c r="BX21" s="210">
        <f t="shared" si="0"/>
        <v>2.64</v>
      </c>
      <c r="BY21" s="210">
        <f t="shared" si="1"/>
        <v>15.576000000000002</v>
      </c>
      <c r="BZ21" s="210">
        <f ca="1">IF(L21="BR",'Impostos e Frete'!$F$6,IF(L21="EU",'Impostos e Frete'!$I$3,IF(L21="CN",'Impostos e Frete'!$I$4,IF(L21="JP",'Impostos e Frete'!$I$5,IF(L21="RU",'Impostos e Frete'!$I$7,"ERRO")))))</f>
        <v>0.1410816</v>
      </c>
      <c r="CA21" s="210">
        <f>VLOOKUP(L21,'Impostos e Frete'!$A$3:$B$7,2,0)*'Preços e Condições'!BY21</f>
        <v>2.0248800000000005</v>
      </c>
      <c r="CB21" s="147">
        <f t="shared" si="2"/>
        <v>0</v>
      </c>
      <c r="CC21" s="147">
        <f>IF(X21="BRL",'Impostos e Frete'!$B$11,'Impostos e Frete'!$B$12)</f>
        <v>9.1999999999999998E-2</v>
      </c>
      <c r="CD21" s="211">
        <f t="shared" ca="1" si="3"/>
        <v>17.833961600000002</v>
      </c>
      <c r="CE21" s="212">
        <f t="shared" ca="1" si="4"/>
        <v>1.2483773120000001</v>
      </c>
      <c r="CF21" s="213">
        <f>VLOOKUP(L21,'Impostos e Frete'!$A$3:$C$7,3,0)</f>
        <v>105</v>
      </c>
      <c r="CG21" s="213">
        <f t="shared" si="5"/>
        <v>60</v>
      </c>
      <c r="CH21" s="213">
        <f t="shared" si="6"/>
        <v>-45</v>
      </c>
      <c r="CI21" s="214">
        <f t="shared" ca="1" si="7"/>
        <v>0.40276513566180938</v>
      </c>
      <c r="CJ21" s="215">
        <f t="shared" ca="1" si="8"/>
        <v>18.236726735661811</v>
      </c>
      <c r="CK21" s="216">
        <f t="shared" ca="1" si="9"/>
        <v>1.2765708714963269</v>
      </c>
    </row>
    <row r="22" spans="1:89">
      <c r="A22" s="176">
        <v>10253</v>
      </c>
      <c r="B22" s="177">
        <v>9370</v>
      </c>
      <c r="C22" s="178">
        <v>70</v>
      </c>
      <c r="D22" s="178">
        <v>1900</v>
      </c>
      <c r="E22" s="178" t="s">
        <v>209</v>
      </c>
      <c r="F22" s="179" t="s">
        <v>468</v>
      </c>
      <c r="G22" s="180" t="s">
        <v>212</v>
      </c>
      <c r="H22" s="178" t="s">
        <v>43</v>
      </c>
      <c r="I22" s="178" t="s">
        <v>213</v>
      </c>
      <c r="J22" s="178"/>
      <c r="K22" s="178"/>
      <c r="L22" s="178" t="s">
        <v>59</v>
      </c>
      <c r="M22" s="178">
        <v>60</v>
      </c>
      <c r="N22" s="178"/>
      <c r="O22" s="178"/>
      <c r="P22" s="178"/>
      <c r="Q22" s="178"/>
      <c r="R22" s="178" t="s">
        <v>19</v>
      </c>
      <c r="S22" s="181"/>
      <c r="T22" s="181"/>
      <c r="U22" s="182"/>
      <c r="V22" s="182" t="s">
        <v>35</v>
      </c>
      <c r="W22" s="183">
        <v>1000</v>
      </c>
      <c r="X22" s="182" t="s">
        <v>51</v>
      </c>
      <c r="Y22" s="184">
        <v>3030</v>
      </c>
      <c r="Z22" s="184">
        <v>3030</v>
      </c>
      <c r="AA22" s="184">
        <v>3030</v>
      </c>
      <c r="AB22" s="184">
        <v>2960</v>
      </c>
      <c r="AC22" s="184">
        <v>2960</v>
      </c>
      <c r="AD22" s="184">
        <v>2960</v>
      </c>
      <c r="AE22" s="184">
        <v>2760</v>
      </c>
      <c r="AF22" s="184">
        <v>2760</v>
      </c>
      <c r="AG22" s="184">
        <v>2760</v>
      </c>
      <c r="AH22" s="184">
        <v>2610</v>
      </c>
      <c r="AI22" s="184">
        <v>2610</v>
      </c>
      <c r="AJ22" s="184">
        <v>2610</v>
      </c>
      <c r="AK22" s="184">
        <v>2610</v>
      </c>
      <c r="AL22" s="184">
        <v>2610</v>
      </c>
      <c r="AM22" s="184">
        <v>2610</v>
      </c>
      <c r="AN22" s="184">
        <v>2730</v>
      </c>
      <c r="AO22" s="184">
        <v>2730</v>
      </c>
      <c r="AP22" s="184">
        <v>2730</v>
      </c>
      <c r="AQ22" s="184">
        <v>2910</v>
      </c>
      <c r="AR22" s="184">
        <v>2910</v>
      </c>
      <c r="AS22" s="184">
        <v>2910</v>
      </c>
      <c r="AT22" s="184">
        <v>2910</v>
      </c>
      <c r="AU22" s="184">
        <v>2910</v>
      </c>
      <c r="AV22" s="184">
        <v>2910</v>
      </c>
      <c r="AW22" s="184"/>
      <c r="AX22" s="184"/>
      <c r="AY22" s="184"/>
      <c r="AZ22" s="184"/>
      <c r="BA22" s="184"/>
      <c r="BB22" s="184"/>
      <c r="BC22" s="184"/>
      <c r="BD22" s="184"/>
      <c r="BE22" s="184"/>
      <c r="BF22" s="184"/>
      <c r="BG22" s="184"/>
      <c r="BH22" s="184"/>
      <c r="BI22" s="184"/>
      <c r="BJ22" s="184"/>
      <c r="BK22" s="184"/>
      <c r="BL22" s="184"/>
      <c r="BM22" s="184"/>
      <c r="BN22" s="184"/>
      <c r="BO22" s="184"/>
      <c r="BP22" s="184"/>
      <c r="BQ22" s="184"/>
      <c r="BR22" s="184"/>
      <c r="BS22" s="184"/>
      <c r="BT22" s="184"/>
      <c r="BU22" s="146" cm="1">
        <f t="array" ref="BU22">LOOKUP(2,1/(Y22:BT22&lt;&gt;""),Y22:BH22)</f>
        <v>2910</v>
      </c>
      <c r="BV22" s="145" cm="1">
        <f t="array" aca="1" ref="BV22" ca="1">_xlfn.LET(
    _xlpm.last_col_idx, LOOKUP(2, 1/(Y22:BT22&lt;&gt;""), COLUMN(Y22:BT22) - COLUMN(Y22) + 1),
    _xlpm.header_val, INDEX($Y$3:$BT$3, 1, _xlpm.last_col_idx),
    _xlpm.header_date, IF(ISNUMBER(_xlpm.header_val), _xlpm.header_val, DATEVALUE(_xlpm.header_val)),
    IF(_xlpm.header_date &gt; TODAY(), TODAY(), _xlpm.header_date)
)</f>
        <v>45627</v>
      </c>
      <c r="BW22" s="209" t="e" cm="1">
        <f t="array" ref="BW22">(LOOKUP(2,1/(BH22:BT22&lt;&gt;""),BH22:BT22))/(INDEX(BH22:BT22,MATCH(TRUE,INDEX((BH22:BT22&lt;&gt;0),0),0)))-1</f>
        <v>#N/A</v>
      </c>
      <c r="BX22" s="210">
        <f t="shared" si="0"/>
        <v>2.91</v>
      </c>
      <c r="BY22" s="210">
        <f t="shared" si="1"/>
        <v>17.169</v>
      </c>
      <c r="BZ22" s="210">
        <f ca="1">IF(L22="BR",'Impostos e Frete'!$F$6,IF(L22="EU",'Impostos e Frete'!$I$3,IF(L22="CN",'Impostos e Frete'!$I$4,IF(L22="JP",'Impostos e Frete'!$I$5,IF(L22="RU",'Impostos e Frete'!$I$7,"ERRO")))))</f>
        <v>0.1410816</v>
      </c>
      <c r="CA22" s="210">
        <f>VLOOKUP(L22,'Impostos e Frete'!$A$3:$B$7,2,0)*'Preços e Condições'!BY22</f>
        <v>2.23197</v>
      </c>
      <c r="CB22" s="147">
        <f t="shared" si="2"/>
        <v>0</v>
      </c>
      <c r="CC22" s="147">
        <f>IF(X22="BRL",'Impostos e Frete'!$B$11,'Impostos e Frete'!$B$12)</f>
        <v>9.1999999999999998E-2</v>
      </c>
      <c r="CD22" s="211">
        <f t="shared" ca="1" si="3"/>
        <v>19.634051599999999</v>
      </c>
      <c r="CE22" s="212">
        <f t="shared" ca="1" si="4"/>
        <v>1.3743836120000001</v>
      </c>
      <c r="CF22" s="213">
        <f>VLOOKUP(L22,'Impostos e Frete'!$A$3:$C$7,3,0)</f>
        <v>105</v>
      </c>
      <c r="CG22" s="213">
        <f t="shared" si="5"/>
        <v>60</v>
      </c>
      <c r="CH22" s="213">
        <f t="shared" si="6"/>
        <v>-45</v>
      </c>
      <c r="CI22" s="214">
        <f t="shared" ca="1" si="7"/>
        <v>0.44341866566904287</v>
      </c>
      <c r="CJ22" s="215">
        <f t="shared" ca="1" si="8"/>
        <v>20.077470265669042</v>
      </c>
      <c r="CK22" s="216">
        <f t="shared" ca="1" si="9"/>
        <v>1.405422918596833</v>
      </c>
    </row>
    <row r="23" spans="1:89">
      <c r="A23" s="176">
        <v>10255</v>
      </c>
      <c r="B23" s="177">
        <v>9370</v>
      </c>
      <c r="C23" s="178">
        <v>70</v>
      </c>
      <c r="D23" s="178">
        <v>1880</v>
      </c>
      <c r="E23" s="178" t="s">
        <v>209</v>
      </c>
      <c r="F23" s="179" t="s">
        <v>468</v>
      </c>
      <c r="G23" s="180" t="s">
        <v>82</v>
      </c>
      <c r="H23" s="178" t="s">
        <v>43</v>
      </c>
      <c r="I23" s="178"/>
      <c r="J23" s="178"/>
      <c r="K23" s="178"/>
      <c r="L23" s="178" t="s">
        <v>59</v>
      </c>
      <c r="M23" s="178">
        <v>60</v>
      </c>
      <c r="N23" s="178"/>
      <c r="O23" s="178"/>
      <c r="P23" s="178"/>
      <c r="Q23" s="178"/>
      <c r="R23" s="178" t="s">
        <v>19</v>
      </c>
      <c r="S23" s="181"/>
      <c r="T23" s="181"/>
      <c r="U23" s="182"/>
      <c r="V23" s="182" t="s">
        <v>35</v>
      </c>
      <c r="W23" s="183">
        <v>400</v>
      </c>
      <c r="X23" s="182" t="s">
        <v>51</v>
      </c>
      <c r="Y23" s="184">
        <v>3080</v>
      </c>
      <c r="Z23" s="184">
        <v>3080</v>
      </c>
      <c r="AA23" s="184">
        <v>3080</v>
      </c>
      <c r="AB23" s="184">
        <v>3010</v>
      </c>
      <c r="AC23" s="184">
        <v>3010</v>
      </c>
      <c r="AD23" s="184">
        <v>3010</v>
      </c>
      <c r="AE23" s="184">
        <v>2810</v>
      </c>
      <c r="AF23" s="184">
        <v>2810</v>
      </c>
      <c r="AG23" s="184">
        <v>2810</v>
      </c>
      <c r="AH23" s="184">
        <v>2660</v>
      </c>
      <c r="AI23" s="184">
        <v>2660</v>
      </c>
      <c r="AJ23" s="184">
        <v>2660</v>
      </c>
      <c r="AK23" s="184">
        <v>2660</v>
      </c>
      <c r="AL23" s="184">
        <v>2660</v>
      </c>
      <c r="AM23" s="184">
        <v>2660</v>
      </c>
      <c r="AN23" s="184">
        <v>2780</v>
      </c>
      <c r="AO23" s="184">
        <v>2780</v>
      </c>
      <c r="AP23" s="184">
        <v>2780</v>
      </c>
      <c r="AQ23" s="184">
        <v>2960</v>
      </c>
      <c r="AR23" s="184">
        <v>2960</v>
      </c>
      <c r="AS23" s="184">
        <v>2960</v>
      </c>
      <c r="AT23" s="184">
        <v>2960</v>
      </c>
      <c r="AU23" s="184">
        <v>2960</v>
      </c>
      <c r="AV23" s="184">
        <v>2960</v>
      </c>
      <c r="AW23" s="184">
        <v>2810</v>
      </c>
      <c r="AX23" s="184">
        <v>2810</v>
      </c>
      <c r="AY23" s="184">
        <v>2810</v>
      </c>
      <c r="AZ23" s="184">
        <v>2850</v>
      </c>
      <c r="BA23" s="184">
        <v>2850</v>
      </c>
      <c r="BB23" s="184">
        <v>2850</v>
      </c>
      <c r="BC23" s="184">
        <v>2810</v>
      </c>
      <c r="BD23" s="184">
        <v>2810</v>
      </c>
      <c r="BE23" s="184">
        <v>2810</v>
      </c>
      <c r="BF23" s="184">
        <v>2660</v>
      </c>
      <c r="BG23" s="184">
        <v>2660</v>
      </c>
      <c r="BH23" s="184">
        <v>2660</v>
      </c>
      <c r="BI23" s="184"/>
      <c r="BJ23" s="184"/>
      <c r="BK23" s="184"/>
      <c r="BL23" s="184">
        <v>2680</v>
      </c>
      <c r="BM23" s="184">
        <v>2780</v>
      </c>
      <c r="BN23" s="184">
        <v>2780</v>
      </c>
      <c r="BO23" s="184">
        <v>2800</v>
      </c>
      <c r="BP23" s="184">
        <v>2690</v>
      </c>
      <c r="BQ23" s="184">
        <v>2690</v>
      </c>
      <c r="BR23" s="184"/>
      <c r="BS23" s="184"/>
      <c r="BT23" s="184"/>
      <c r="BU23" s="146" cm="1">
        <f t="array" ref="BU23">LOOKUP(2,1/(Y23:BT23&lt;&gt;""),Y23:BH23)</f>
        <v>2690</v>
      </c>
      <c r="BV23" s="145" cm="1">
        <f t="array" aca="1" ref="BV23" ca="1">_xlfn.LET(
    _xlpm.last_col_idx, LOOKUP(2, 1/(Y23:BT23&lt;&gt;""), COLUMN(Y23:BT23) - COLUMN(Y23) + 1),
    _xlpm.header_val, INDEX($Y$3:$BT$3, 1, _xlpm.last_col_idx),
    _xlpm.header_date, IF(ISNUMBER(_xlpm.header_val), _xlpm.header_val, DATEVALUE(_xlpm.header_val)),
    IF(_xlpm.header_date &gt; TODAY(), TODAY(), _xlpm.header_date)
)</f>
        <v>46212</v>
      </c>
      <c r="BW23" s="209" cm="1">
        <f t="array" ref="BW23">(LOOKUP(2,1/(BH23:BT23&lt;&gt;""),BH23:BT23))/(INDEX(BH23:BT23,MATCH(TRUE,INDEX((BH23:BT23&lt;&gt;0),0),0)))-1</f>
        <v>1.1278195488721776E-2</v>
      </c>
      <c r="BX23" s="210">
        <f t="shared" si="0"/>
        <v>2.69</v>
      </c>
      <c r="BY23" s="210">
        <f t="shared" si="1"/>
        <v>15.871</v>
      </c>
      <c r="BZ23" s="210">
        <f ca="1">IF(L23="BR",'Impostos e Frete'!$F$6,IF(L23="EU",'Impostos e Frete'!$I$3,IF(L23="CN",'Impostos e Frete'!$I$4,IF(L23="JP",'Impostos e Frete'!$I$5,IF(L23="RU",'Impostos e Frete'!$I$7,"ERRO")))))</f>
        <v>0.1410816</v>
      </c>
      <c r="CA23" s="210">
        <f>VLOOKUP(L23,'Impostos e Frete'!$A$3:$B$7,2,0)*'Preços e Condições'!BY23</f>
        <v>2.0632300000000003</v>
      </c>
      <c r="CB23" s="147">
        <f t="shared" si="2"/>
        <v>0</v>
      </c>
      <c r="CC23" s="147">
        <f>IF(X23="BRL",'Impostos e Frete'!$B$11,'Impostos e Frete'!$B$12)</f>
        <v>9.1999999999999998E-2</v>
      </c>
      <c r="CD23" s="211">
        <f t="shared" ca="1" si="3"/>
        <v>18.167311600000001</v>
      </c>
      <c r="CE23" s="212">
        <f t="shared" ca="1" si="4"/>
        <v>1.2717118120000002</v>
      </c>
      <c r="CF23" s="213">
        <f>VLOOKUP(L23,'Impostos e Frete'!$A$3:$C$7,3,0)</f>
        <v>105</v>
      </c>
      <c r="CG23" s="213">
        <f t="shared" si="5"/>
        <v>60</v>
      </c>
      <c r="CH23" s="213">
        <f t="shared" si="6"/>
        <v>-45</v>
      </c>
      <c r="CI23" s="214">
        <f t="shared" ca="1" si="7"/>
        <v>0.4102935671446275</v>
      </c>
      <c r="CJ23" s="215">
        <f t="shared" ca="1" si="8"/>
        <v>18.577605167144629</v>
      </c>
      <c r="CK23" s="216">
        <f t="shared" ca="1" si="9"/>
        <v>1.3004323617001239</v>
      </c>
    </row>
    <row r="24" spans="1:89">
      <c r="A24" s="176">
        <v>10255</v>
      </c>
      <c r="B24" s="177">
        <v>9370</v>
      </c>
      <c r="C24" s="178">
        <v>70</v>
      </c>
      <c r="D24" s="178">
        <v>1880</v>
      </c>
      <c r="E24" s="178" t="s">
        <v>209</v>
      </c>
      <c r="F24" s="179" t="s">
        <v>468</v>
      </c>
      <c r="G24" s="180" t="s">
        <v>82</v>
      </c>
      <c r="H24" s="178" t="s">
        <v>43</v>
      </c>
      <c r="I24" s="178"/>
      <c r="J24" s="178"/>
      <c r="K24" s="178"/>
      <c r="L24" s="178" t="s">
        <v>59</v>
      </c>
      <c r="M24" s="178">
        <v>60</v>
      </c>
      <c r="N24" s="178"/>
      <c r="O24" s="178"/>
      <c r="P24" s="178"/>
      <c r="Q24" s="178"/>
      <c r="R24" s="178" t="s">
        <v>19</v>
      </c>
      <c r="S24" s="181"/>
      <c r="T24" s="181"/>
      <c r="U24" s="182"/>
      <c r="V24" s="182" t="s">
        <v>35</v>
      </c>
      <c r="W24" s="183">
        <v>800</v>
      </c>
      <c r="X24" s="182" t="s">
        <v>51</v>
      </c>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v>2760</v>
      </c>
      <c r="AX24" s="184">
        <v>2760</v>
      </c>
      <c r="AY24" s="184">
        <v>2760</v>
      </c>
      <c r="AZ24" s="184">
        <v>2800</v>
      </c>
      <c r="BA24" s="184">
        <v>2800</v>
      </c>
      <c r="BB24" s="184">
        <v>2800</v>
      </c>
      <c r="BC24" s="184">
        <v>2760</v>
      </c>
      <c r="BD24" s="184">
        <v>2760</v>
      </c>
      <c r="BE24" s="184">
        <v>2760</v>
      </c>
      <c r="BF24" s="184">
        <v>2610</v>
      </c>
      <c r="BG24" s="184">
        <v>2610</v>
      </c>
      <c r="BH24" s="184">
        <v>2610</v>
      </c>
      <c r="BI24" s="184"/>
      <c r="BJ24" s="184"/>
      <c r="BK24" s="184"/>
      <c r="BL24" s="184">
        <v>2630</v>
      </c>
      <c r="BM24" s="184">
        <v>2730</v>
      </c>
      <c r="BN24" s="184">
        <v>2730</v>
      </c>
      <c r="BO24" s="184">
        <v>2750</v>
      </c>
      <c r="BP24" s="184">
        <v>2640</v>
      </c>
      <c r="BQ24" s="184">
        <v>2640</v>
      </c>
      <c r="BR24" s="184"/>
      <c r="BS24" s="184"/>
      <c r="BT24" s="184"/>
      <c r="BU24" s="146" cm="1">
        <f t="array" ref="BU24">LOOKUP(2,1/(Y24:BT24&lt;&gt;""),Y24:BH24)</f>
        <v>2640</v>
      </c>
      <c r="BV24" s="145" cm="1">
        <f t="array" aca="1" ref="BV24" ca="1">_xlfn.LET(
    _xlpm.last_col_idx, LOOKUP(2, 1/(Y24:BT24&lt;&gt;""), COLUMN(Y24:BT24) - COLUMN(Y24) + 1),
    _xlpm.header_val, INDEX($Y$3:$BT$3, 1, _xlpm.last_col_idx),
    _xlpm.header_date, IF(ISNUMBER(_xlpm.header_val), _xlpm.header_val, DATEVALUE(_xlpm.header_val)),
    IF(_xlpm.header_date &gt; TODAY(), TODAY(), _xlpm.header_date)
)</f>
        <v>46212</v>
      </c>
      <c r="BW24" s="209" cm="1">
        <f t="array" ref="BW24">(LOOKUP(2,1/(BH24:BT24&lt;&gt;""),BH24:BT24))/(INDEX(BH24:BT24,MATCH(TRUE,INDEX((BH24:BT24&lt;&gt;0),0),0)))-1</f>
        <v>1.1494252873563315E-2</v>
      </c>
      <c r="BX24" s="210">
        <f t="shared" si="0"/>
        <v>2.64</v>
      </c>
      <c r="BY24" s="210">
        <f t="shared" si="1"/>
        <v>15.576000000000002</v>
      </c>
      <c r="BZ24" s="210">
        <f ca="1">IF(L24="BR",'Impostos e Frete'!$F$6,IF(L24="EU",'Impostos e Frete'!$I$3,IF(L24="CN",'Impostos e Frete'!$I$4,IF(L24="JP",'Impostos e Frete'!$I$5,IF(L24="RU",'Impostos e Frete'!$I$7,"ERRO")))))</f>
        <v>0.1410816</v>
      </c>
      <c r="CA24" s="210">
        <f>VLOOKUP(L24,'Impostos e Frete'!$A$3:$B$7,2,0)*'Preços e Condições'!BY24</f>
        <v>2.0248800000000005</v>
      </c>
      <c r="CB24" s="147">
        <f t="shared" si="2"/>
        <v>0</v>
      </c>
      <c r="CC24" s="147">
        <f>IF(X24="BRL",'Impostos e Frete'!$B$11,'Impostos e Frete'!$B$12)</f>
        <v>9.1999999999999998E-2</v>
      </c>
      <c r="CD24" s="211">
        <f t="shared" ca="1" si="3"/>
        <v>17.833961600000002</v>
      </c>
      <c r="CE24" s="212">
        <f t="shared" ca="1" si="4"/>
        <v>1.2483773120000001</v>
      </c>
      <c r="CF24" s="213">
        <f>VLOOKUP(L24,'Impostos e Frete'!$A$3:$C$7,3,0)</f>
        <v>105</v>
      </c>
      <c r="CG24" s="213">
        <f t="shared" si="5"/>
        <v>60</v>
      </c>
      <c r="CH24" s="213">
        <f t="shared" si="6"/>
        <v>-45</v>
      </c>
      <c r="CI24" s="214">
        <f t="shared" ca="1" si="7"/>
        <v>0.40276513566180938</v>
      </c>
      <c r="CJ24" s="215">
        <f t="shared" ca="1" si="8"/>
        <v>18.236726735661811</v>
      </c>
      <c r="CK24" s="216">
        <f t="shared" ca="1" si="9"/>
        <v>1.2765708714963269</v>
      </c>
    </row>
    <row r="25" spans="1:89">
      <c r="A25" s="176">
        <v>10256</v>
      </c>
      <c r="B25" s="177">
        <v>9370</v>
      </c>
      <c r="C25" s="178">
        <v>70</v>
      </c>
      <c r="D25" s="178">
        <v>1880</v>
      </c>
      <c r="E25" s="178" t="s">
        <v>209</v>
      </c>
      <c r="F25" s="179" t="s">
        <v>468</v>
      </c>
      <c r="G25" s="180" t="s">
        <v>308</v>
      </c>
      <c r="H25" s="178" t="s">
        <v>43</v>
      </c>
      <c r="I25" s="178"/>
      <c r="J25" s="178"/>
      <c r="K25" s="178"/>
      <c r="L25" s="178" t="s">
        <v>59</v>
      </c>
      <c r="M25" s="178">
        <v>60</v>
      </c>
      <c r="N25" s="178"/>
      <c r="O25" s="178"/>
      <c r="P25" s="178"/>
      <c r="Q25" s="178"/>
      <c r="R25" s="178" t="s">
        <v>19</v>
      </c>
      <c r="S25" s="181"/>
      <c r="T25" s="181"/>
      <c r="U25" s="182"/>
      <c r="V25" s="182" t="s">
        <v>35</v>
      </c>
      <c r="W25" s="183">
        <v>400</v>
      </c>
      <c r="X25" s="182" t="s">
        <v>51</v>
      </c>
      <c r="Y25" s="184">
        <v>3080</v>
      </c>
      <c r="Z25" s="184">
        <v>3080</v>
      </c>
      <c r="AA25" s="184">
        <v>3080</v>
      </c>
      <c r="AB25" s="184">
        <v>3010</v>
      </c>
      <c r="AC25" s="184">
        <v>3010</v>
      </c>
      <c r="AD25" s="184">
        <v>3010</v>
      </c>
      <c r="AE25" s="184">
        <v>2810</v>
      </c>
      <c r="AF25" s="184">
        <v>2810</v>
      </c>
      <c r="AG25" s="184">
        <v>2810</v>
      </c>
      <c r="AH25" s="184">
        <v>2660</v>
      </c>
      <c r="AI25" s="184">
        <v>2660</v>
      </c>
      <c r="AJ25" s="184">
        <v>2660</v>
      </c>
      <c r="AK25" s="184">
        <v>2660</v>
      </c>
      <c r="AL25" s="184">
        <v>2660</v>
      </c>
      <c r="AM25" s="184">
        <v>2660</v>
      </c>
      <c r="AN25" s="184">
        <v>2780</v>
      </c>
      <c r="AO25" s="184">
        <v>2780</v>
      </c>
      <c r="AP25" s="184">
        <v>2780</v>
      </c>
      <c r="AQ25" s="184">
        <v>2960</v>
      </c>
      <c r="AR25" s="184">
        <v>2960</v>
      </c>
      <c r="AS25" s="184">
        <v>2960</v>
      </c>
      <c r="AT25" s="184">
        <v>2960</v>
      </c>
      <c r="AU25" s="184">
        <v>2960</v>
      </c>
      <c r="AV25" s="184">
        <v>2960</v>
      </c>
      <c r="AW25" s="184">
        <v>2810</v>
      </c>
      <c r="AX25" s="184">
        <v>2810</v>
      </c>
      <c r="AY25" s="184">
        <v>2810</v>
      </c>
      <c r="AZ25" s="184">
        <v>2850</v>
      </c>
      <c r="BA25" s="184">
        <v>2850</v>
      </c>
      <c r="BB25" s="184">
        <v>2850</v>
      </c>
      <c r="BC25" s="184">
        <v>2810</v>
      </c>
      <c r="BD25" s="184">
        <v>2810</v>
      </c>
      <c r="BE25" s="184">
        <v>2810</v>
      </c>
      <c r="BF25" s="184">
        <v>2660</v>
      </c>
      <c r="BG25" s="184">
        <v>2660</v>
      </c>
      <c r="BH25" s="184">
        <v>2660</v>
      </c>
      <c r="BI25" s="184"/>
      <c r="BJ25" s="184"/>
      <c r="BK25" s="184"/>
      <c r="BL25" s="184">
        <v>2680</v>
      </c>
      <c r="BM25" s="184">
        <v>2780</v>
      </c>
      <c r="BN25" s="184">
        <v>2780</v>
      </c>
      <c r="BO25" s="184">
        <v>2800</v>
      </c>
      <c r="BP25" s="184">
        <v>2690</v>
      </c>
      <c r="BQ25" s="184">
        <v>2690</v>
      </c>
      <c r="BR25" s="184"/>
      <c r="BS25" s="184"/>
      <c r="BT25" s="184"/>
      <c r="BU25" s="146" cm="1">
        <f t="array" ref="BU25">LOOKUP(2,1/(Y25:BT25&lt;&gt;""),Y25:BH25)</f>
        <v>2690</v>
      </c>
      <c r="BV25" s="145" cm="1">
        <f t="array" aca="1" ref="BV25" ca="1">_xlfn.LET(
    _xlpm.last_col_idx, LOOKUP(2, 1/(Y25:BT25&lt;&gt;""), COLUMN(Y25:BT25) - COLUMN(Y25) + 1),
    _xlpm.header_val, INDEX($Y$3:$BT$3, 1, _xlpm.last_col_idx),
    _xlpm.header_date, IF(ISNUMBER(_xlpm.header_val), _xlpm.header_val, DATEVALUE(_xlpm.header_val)),
    IF(_xlpm.header_date &gt; TODAY(), TODAY(), _xlpm.header_date)
)</f>
        <v>46212</v>
      </c>
      <c r="BW25" s="209" cm="1">
        <f t="array" ref="BW25">(LOOKUP(2,1/(BH25:BT25&lt;&gt;""),BH25:BT25))/(INDEX(BH25:BT25,MATCH(TRUE,INDEX((BH25:BT25&lt;&gt;0),0),0)))-1</f>
        <v>1.1278195488721776E-2</v>
      </c>
      <c r="BX25" s="210">
        <f t="shared" si="0"/>
        <v>2.69</v>
      </c>
      <c r="BY25" s="210">
        <f t="shared" si="1"/>
        <v>15.871</v>
      </c>
      <c r="BZ25" s="210">
        <f ca="1">IF(L25="BR",'Impostos e Frete'!$F$6,IF(L25="EU",'Impostos e Frete'!$I$3,IF(L25="CN",'Impostos e Frete'!$I$4,IF(L25="JP",'Impostos e Frete'!$I$5,IF(L25="RU",'Impostos e Frete'!$I$7,"ERRO")))))</f>
        <v>0.1410816</v>
      </c>
      <c r="CA25" s="210">
        <f>VLOOKUP(L25,'Impostos e Frete'!$A$3:$B$7,2,0)*'Preços e Condições'!BY25</f>
        <v>2.0632300000000003</v>
      </c>
      <c r="CB25" s="147">
        <f t="shared" si="2"/>
        <v>0</v>
      </c>
      <c r="CC25" s="147">
        <f>IF(X25="BRL",'Impostos e Frete'!$B$11,'Impostos e Frete'!$B$12)</f>
        <v>9.1999999999999998E-2</v>
      </c>
      <c r="CD25" s="211">
        <f t="shared" ca="1" si="3"/>
        <v>18.167311600000001</v>
      </c>
      <c r="CE25" s="212">
        <f t="shared" ca="1" si="4"/>
        <v>1.2717118120000002</v>
      </c>
      <c r="CF25" s="213">
        <f>VLOOKUP(L25,'Impostos e Frete'!$A$3:$C$7,3,0)</f>
        <v>105</v>
      </c>
      <c r="CG25" s="213">
        <f t="shared" si="5"/>
        <v>60</v>
      </c>
      <c r="CH25" s="213">
        <f t="shared" si="6"/>
        <v>-45</v>
      </c>
      <c r="CI25" s="214">
        <f t="shared" ca="1" si="7"/>
        <v>0.4102935671446275</v>
      </c>
      <c r="CJ25" s="215">
        <f t="shared" ca="1" si="8"/>
        <v>18.577605167144629</v>
      </c>
      <c r="CK25" s="216">
        <f t="shared" ca="1" si="9"/>
        <v>1.3004323617001239</v>
      </c>
    </row>
    <row r="26" spans="1:89">
      <c r="A26" s="176">
        <v>10256</v>
      </c>
      <c r="B26" s="177">
        <v>9370</v>
      </c>
      <c r="C26" s="178">
        <v>70</v>
      </c>
      <c r="D26" s="178">
        <v>1880</v>
      </c>
      <c r="E26" s="178" t="s">
        <v>209</v>
      </c>
      <c r="F26" s="179" t="s">
        <v>468</v>
      </c>
      <c r="G26" s="180" t="s">
        <v>308</v>
      </c>
      <c r="H26" s="178" t="s">
        <v>43</v>
      </c>
      <c r="I26" s="178"/>
      <c r="J26" s="178"/>
      <c r="K26" s="178"/>
      <c r="L26" s="178" t="s">
        <v>59</v>
      </c>
      <c r="M26" s="178">
        <v>60</v>
      </c>
      <c r="N26" s="178"/>
      <c r="O26" s="178"/>
      <c r="P26" s="178"/>
      <c r="Q26" s="178"/>
      <c r="R26" s="178" t="s">
        <v>19</v>
      </c>
      <c r="S26" s="181"/>
      <c r="T26" s="181"/>
      <c r="U26" s="182"/>
      <c r="V26" s="182" t="s">
        <v>35</v>
      </c>
      <c r="W26" s="183">
        <v>800</v>
      </c>
      <c r="X26" s="182" t="s">
        <v>51</v>
      </c>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v>2760</v>
      </c>
      <c r="AX26" s="184">
        <v>2760</v>
      </c>
      <c r="AY26" s="184">
        <v>2760</v>
      </c>
      <c r="AZ26" s="184">
        <v>2800</v>
      </c>
      <c r="BA26" s="184">
        <v>2800</v>
      </c>
      <c r="BB26" s="184">
        <v>2800</v>
      </c>
      <c r="BC26" s="184">
        <v>2760</v>
      </c>
      <c r="BD26" s="184">
        <v>2760</v>
      </c>
      <c r="BE26" s="184">
        <v>2760</v>
      </c>
      <c r="BF26" s="184">
        <v>2610</v>
      </c>
      <c r="BG26" s="184">
        <v>2610</v>
      </c>
      <c r="BH26" s="184">
        <v>2610</v>
      </c>
      <c r="BI26" s="184"/>
      <c r="BJ26" s="184"/>
      <c r="BK26" s="184"/>
      <c r="BL26" s="184">
        <v>2630</v>
      </c>
      <c r="BM26" s="184">
        <v>2730</v>
      </c>
      <c r="BN26" s="184">
        <v>2730</v>
      </c>
      <c r="BO26" s="184">
        <v>2750</v>
      </c>
      <c r="BP26" s="184">
        <v>2640</v>
      </c>
      <c r="BQ26" s="184">
        <v>2640</v>
      </c>
      <c r="BR26" s="184"/>
      <c r="BS26" s="184"/>
      <c r="BT26" s="184"/>
      <c r="BU26" s="146" cm="1">
        <f t="array" ref="BU26">LOOKUP(2,1/(Y26:BT26&lt;&gt;""),Y26:BH26)</f>
        <v>2640</v>
      </c>
      <c r="BV26" s="145" cm="1">
        <f t="array" aca="1" ref="BV26" ca="1">_xlfn.LET(
    _xlpm.last_col_idx, LOOKUP(2, 1/(Y26:BT26&lt;&gt;""), COLUMN(Y26:BT26) - COLUMN(Y26) + 1),
    _xlpm.header_val, INDEX($Y$3:$BT$3, 1, _xlpm.last_col_idx),
    _xlpm.header_date, IF(ISNUMBER(_xlpm.header_val), _xlpm.header_val, DATEVALUE(_xlpm.header_val)),
    IF(_xlpm.header_date &gt; TODAY(), TODAY(), _xlpm.header_date)
)</f>
        <v>46212</v>
      </c>
      <c r="BW26" s="209" cm="1">
        <f t="array" ref="BW26">(LOOKUP(2,1/(BH26:BT26&lt;&gt;""),BH26:BT26))/(INDEX(BH26:BT26,MATCH(TRUE,INDEX((BH26:BT26&lt;&gt;0),0),0)))-1</f>
        <v>1.1494252873563315E-2</v>
      </c>
      <c r="BX26" s="210">
        <f t="shared" si="0"/>
        <v>2.64</v>
      </c>
      <c r="BY26" s="210">
        <f t="shared" si="1"/>
        <v>15.576000000000002</v>
      </c>
      <c r="BZ26" s="210">
        <f ca="1">IF(L26="BR",'Impostos e Frete'!$F$6,IF(L26="EU",'Impostos e Frete'!$I$3,IF(L26="CN",'Impostos e Frete'!$I$4,IF(L26="JP",'Impostos e Frete'!$I$5,IF(L26="RU",'Impostos e Frete'!$I$7,"ERRO")))))</f>
        <v>0.1410816</v>
      </c>
      <c r="CA26" s="210">
        <f>VLOOKUP(L26,'Impostos e Frete'!$A$3:$B$7,2,0)*'Preços e Condições'!BY26</f>
        <v>2.0248800000000005</v>
      </c>
      <c r="CB26" s="147">
        <f t="shared" si="2"/>
        <v>0</v>
      </c>
      <c r="CC26" s="147">
        <f>IF(X26="BRL",'Impostos e Frete'!$B$11,'Impostos e Frete'!$B$12)</f>
        <v>9.1999999999999998E-2</v>
      </c>
      <c r="CD26" s="211">
        <f t="shared" ca="1" si="3"/>
        <v>17.833961600000002</v>
      </c>
      <c r="CE26" s="212">
        <f t="shared" ca="1" si="4"/>
        <v>1.2483773120000001</v>
      </c>
      <c r="CF26" s="213">
        <f>VLOOKUP(L26,'Impostos e Frete'!$A$3:$C$7,3,0)</f>
        <v>105</v>
      </c>
      <c r="CG26" s="213">
        <f t="shared" si="5"/>
        <v>60</v>
      </c>
      <c r="CH26" s="213">
        <f t="shared" si="6"/>
        <v>-45</v>
      </c>
      <c r="CI26" s="214">
        <f t="shared" ca="1" si="7"/>
        <v>0.40276513566180938</v>
      </c>
      <c r="CJ26" s="215">
        <f t="shared" ca="1" si="8"/>
        <v>18.236726735661811</v>
      </c>
      <c r="CK26" s="216">
        <f t="shared" ca="1" si="9"/>
        <v>1.2765708714963269</v>
      </c>
    </row>
    <row r="27" spans="1:89">
      <c r="A27" s="176">
        <v>10801</v>
      </c>
      <c r="B27" s="177" t="s">
        <v>75</v>
      </c>
      <c r="C27" s="178">
        <v>40</v>
      </c>
      <c r="D27" s="178">
        <v>1900</v>
      </c>
      <c r="E27" s="178" t="s">
        <v>209</v>
      </c>
      <c r="F27" s="179" t="s">
        <v>21</v>
      </c>
      <c r="G27" s="185" t="s">
        <v>75</v>
      </c>
      <c r="H27" s="178" t="s">
        <v>43</v>
      </c>
      <c r="I27" s="178"/>
      <c r="J27" s="178"/>
      <c r="K27" s="178"/>
      <c r="L27" s="183" t="s">
        <v>58</v>
      </c>
      <c r="M27" s="183">
        <v>0</v>
      </c>
      <c r="N27" s="183"/>
      <c r="O27" s="178"/>
      <c r="P27" s="178">
        <v>0</v>
      </c>
      <c r="Q27" s="178"/>
      <c r="R27" s="178" t="s">
        <v>19</v>
      </c>
      <c r="S27" s="181">
        <v>0.12</v>
      </c>
      <c r="T27" s="181" t="s">
        <v>23</v>
      </c>
      <c r="U27" s="182">
        <v>9.2499999999999999E-2</v>
      </c>
      <c r="V27" s="182" t="s">
        <v>35</v>
      </c>
      <c r="W27" s="183"/>
      <c r="X27" s="182" t="s">
        <v>46</v>
      </c>
      <c r="Y27" s="184"/>
      <c r="Z27" s="184"/>
      <c r="AA27" s="184"/>
      <c r="AB27" s="146">
        <f>14912.17*0.7875</f>
        <v>11743.333875</v>
      </c>
      <c r="AC27" s="146">
        <f>14912.17*0.7986</f>
        <v>11908.858962</v>
      </c>
      <c r="AD27" s="146">
        <f>14912.17*0.7986</f>
        <v>11908.858962</v>
      </c>
      <c r="AE27" s="146">
        <f t="shared" ref="AE27:AJ27" si="12">14155.17*0.7986</f>
        <v>11304.318761999999</v>
      </c>
      <c r="AF27" s="146">
        <f t="shared" si="12"/>
        <v>11304.318761999999</v>
      </c>
      <c r="AG27" s="146">
        <f t="shared" si="12"/>
        <v>11304.318761999999</v>
      </c>
      <c r="AH27" s="146">
        <f t="shared" si="12"/>
        <v>11304.318761999999</v>
      </c>
      <c r="AI27" s="146">
        <f t="shared" si="12"/>
        <v>11304.318761999999</v>
      </c>
      <c r="AJ27" s="146">
        <f t="shared" si="12"/>
        <v>11304.318761999999</v>
      </c>
      <c r="AK27" s="146">
        <f>15358.36*0.7986</f>
        <v>12265.186296</v>
      </c>
      <c r="AL27" s="146">
        <f>15358.36*0.7986</f>
        <v>12265.186296</v>
      </c>
      <c r="AM27" s="146">
        <f>15358.36*0.7986</f>
        <v>12265.186296</v>
      </c>
      <c r="AN27" s="146">
        <f>15358.36*0.7986</f>
        <v>12265.186296</v>
      </c>
      <c r="AO27" s="146">
        <f>16279.86*0.7986</f>
        <v>13001.096196</v>
      </c>
      <c r="AP27" s="146">
        <f>16279.86*0.7986</f>
        <v>13001.096196</v>
      </c>
      <c r="AQ27" s="146">
        <f>16279.86*0.7986</f>
        <v>13001.096196</v>
      </c>
      <c r="AR27" s="184">
        <v>13911.18</v>
      </c>
      <c r="AS27" s="184">
        <v>13911.18</v>
      </c>
      <c r="AT27" s="184">
        <v>13911.18</v>
      </c>
      <c r="AU27" s="184">
        <v>13911.18</v>
      </c>
      <c r="AV27" s="184">
        <v>13911.18</v>
      </c>
      <c r="AW27" s="184">
        <v>13911.18</v>
      </c>
      <c r="AX27" s="184">
        <v>13911.18</v>
      </c>
      <c r="AY27" s="184">
        <v>13911.18</v>
      </c>
      <c r="AZ27" s="184">
        <v>13911.18</v>
      </c>
      <c r="BA27" s="184">
        <v>13911.18</v>
      </c>
      <c r="BB27" s="184">
        <v>13911.18</v>
      </c>
      <c r="BC27" s="184">
        <v>13911.18</v>
      </c>
      <c r="BD27" s="184">
        <v>13911.18</v>
      </c>
      <c r="BE27" s="184">
        <v>13911.18</v>
      </c>
      <c r="BF27" s="184">
        <v>13911.18</v>
      </c>
      <c r="BG27" s="184">
        <v>13911.18</v>
      </c>
      <c r="BH27" s="184">
        <v>13911.18</v>
      </c>
      <c r="BI27" s="184">
        <v>13274.03</v>
      </c>
      <c r="BJ27" s="184">
        <v>13738.61</v>
      </c>
      <c r="BK27" s="184">
        <v>14203.2</v>
      </c>
      <c r="BL27" s="184">
        <v>14203.2</v>
      </c>
      <c r="BM27" s="184"/>
      <c r="BN27" s="184"/>
      <c r="BO27" s="184"/>
      <c r="BP27" s="184"/>
      <c r="BQ27" s="184"/>
      <c r="BR27" s="184"/>
      <c r="BS27" s="184"/>
      <c r="BT27" s="184"/>
      <c r="BU27" s="146" cm="1">
        <f t="array" ref="BU27">LOOKUP(2,1/(Y27:BT27&lt;&gt;""),Y27:BH27)</f>
        <v>14203.2</v>
      </c>
      <c r="BV27" s="145" cm="1">
        <f t="array" aca="1" ref="BV27" ca="1">_xlfn.LET(
    _xlpm.last_col_idx, LOOKUP(2, 1/(Y27:BT27&lt;&gt;""), COLUMN(Y27:BT27) - COLUMN(Y27) + 1),
    _xlpm.header_val, INDEX($Y$3:$BT$3, 1, _xlpm.last_col_idx),
    _xlpm.header_date, IF(ISNUMBER(_xlpm.header_val), _xlpm.header_val, DATEVALUE(_xlpm.header_val)),
    IF(_xlpm.header_date &gt; TODAY(), TODAY(), _xlpm.header_date)
)</f>
        <v>46113</v>
      </c>
      <c r="BW27" s="209" cm="1">
        <f t="array" ref="BW27">(LOOKUP(2,1/(BH27:BT27&lt;&gt;""),BH27:BT27))/(INDEX(BH27:BT27,MATCH(TRUE,INDEX((BH27:BT27&lt;&gt;0),0),0)))-1</f>
        <v>2.0991749082392763E-2</v>
      </c>
      <c r="BX27" s="210">
        <f t="shared" si="0"/>
        <v>14.203200000000001</v>
      </c>
      <c r="BY27" s="210">
        <f t="shared" si="1"/>
        <v>14.203200000000001</v>
      </c>
      <c r="BZ27" s="210">
        <f>IF(L27="BR",'Impostos e Frete'!$F$6,IF(L27="EU",'Impostos e Frete'!$I$3,IF(L27="CN",'Impostos e Frete'!$I$4,IF(L27="JP",'Impostos e Frete'!$I$5,IF(L27="RU",'Impostos e Frete'!$I$7,"ERRO")))))</f>
        <v>0</v>
      </c>
      <c r="CA27" s="210">
        <f>VLOOKUP(L27,'Impostos e Frete'!$A$3:$B$7,2,0)*'Preços e Condições'!BY27</f>
        <v>0</v>
      </c>
      <c r="CB27" s="147">
        <f t="shared" si="2"/>
        <v>0</v>
      </c>
      <c r="CC27" s="147">
        <f>IF(X27="BRL",'Impostos e Frete'!$B$11,'Impostos e Frete'!$B$12)</f>
        <v>0.2</v>
      </c>
      <c r="CD27" s="211">
        <f t="shared" si="3"/>
        <v>14.4032</v>
      </c>
      <c r="CE27" s="212">
        <f t="shared" si="4"/>
        <v>0.57612799999999997</v>
      </c>
      <c r="CF27" s="213">
        <f>VLOOKUP(L27,'Impostos e Frete'!$A$3:$C$7,3,0)</f>
        <v>45</v>
      </c>
      <c r="CG27" s="213">
        <f t="shared" si="5"/>
        <v>0</v>
      </c>
      <c r="CH27" s="213">
        <f t="shared" si="6"/>
        <v>-45</v>
      </c>
      <c r="CI27" s="214">
        <f t="shared" si="7"/>
        <v>0.32528424878766948</v>
      </c>
      <c r="CJ27" s="215">
        <f t="shared" si="8"/>
        <v>14.728484248787669</v>
      </c>
      <c r="CK27" s="216">
        <f t="shared" si="9"/>
        <v>0.58913936995150673</v>
      </c>
    </row>
    <row r="28" spans="1:89">
      <c r="A28" s="176">
        <v>10805</v>
      </c>
      <c r="B28" s="177" t="s">
        <v>76</v>
      </c>
      <c r="C28" s="178">
        <v>40</v>
      </c>
      <c r="D28" s="178">
        <v>1900</v>
      </c>
      <c r="E28" s="178" t="s">
        <v>209</v>
      </c>
      <c r="F28" s="179" t="s">
        <v>21</v>
      </c>
      <c r="G28" s="185" t="s">
        <v>76</v>
      </c>
      <c r="H28" s="178" t="s">
        <v>62</v>
      </c>
      <c r="I28" s="178"/>
      <c r="J28" s="178"/>
      <c r="K28" s="178"/>
      <c r="L28" s="183" t="s">
        <v>58</v>
      </c>
      <c r="M28" s="183">
        <v>0</v>
      </c>
      <c r="N28" s="183"/>
      <c r="O28" s="178"/>
      <c r="P28" s="178">
        <v>0</v>
      </c>
      <c r="Q28" s="178"/>
      <c r="R28" s="178" t="s">
        <v>19</v>
      </c>
      <c r="S28" s="181">
        <v>0.12</v>
      </c>
      <c r="T28" s="181" t="s">
        <v>23</v>
      </c>
      <c r="U28" s="182">
        <v>9.2499999999999999E-2</v>
      </c>
      <c r="V28" s="182" t="s">
        <v>35</v>
      </c>
      <c r="W28" s="183"/>
      <c r="X28" s="182" t="s">
        <v>46</v>
      </c>
      <c r="Y28" s="184"/>
      <c r="Z28" s="184"/>
      <c r="AA28" s="184"/>
      <c r="AB28" s="146">
        <f>12381.98*0.7875</f>
        <v>9750.8092500000002</v>
      </c>
      <c r="AC28" s="146">
        <f>12381.98*0.7986</f>
        <v>9888.2492279999988</v>
      </c>
      <c r="AD28" s="146">
        <f>12381.98*0.7986</f>
        <v>9888.2492279999988</v>
      </c>
      <c r="AE28" s="146">
        <f t="shared" ref="AE28:AJ28" si="13">12229.65*0.7986</f>
        <v>9766.5984900000003</v>
      </c>
      <c r="AF28" s="146">
        <f t="shared" si="13"/>
        <v>9766.5984900000003</v>
      </c>
      <c r="AG28" s="146">
        <f t="shared" si="13"/>
        <v>9766.5984900000003</v>
      </c>
      <c r="AH28" s="146">
        <f t="shared" si="13"/>
        <v>9766.5984900000003</v>
      </c>
      <c r="AI28" s="146">
        <f t="shared" si="13"/>
        <v>9766.5984900000003</v>
      </c>
      <c r="AJ28" s="146">
        <f t="shared" si="13"/>
        <v>9766.5984900000003</v>
      </c>
      <c r="AK28" s="146">
        <f>13269.17*0.7986</f>
        <v>10596.759162</v>
      </c>
      <c r="AL28" s="146">
        <f>13269.17*0.7986</f>
        <v>10596.759162</v>
      </c>
      <c r="AM28" s="146">
        <f>13269.17*0.7986</f>
        <v>10596.759162</v>
      </c>
      <c r="AN28" s="146">
        <f>13269.17*0.7986</f>
        <v>10596.759162</v>
      </c>
      <c r="AO28" s="146">
        <f>14065.32*0.7986</f>
        <v>11232.564552</v>
      </c>
      <c r="AP28" s="146">
        <f>14065.32*0.7986</f>
        <v>11232.564552</v>
      </c>
      <c r="AQ28" s="146">
        <f>14065.32*0.7986</f>
        <v>11232.564552</v>
      </c>
      <c r="AR28" s="184">
        <v>12131.17</v>
      </c>
      <c r="AS28" s="184">
        <v>12131.17</v>
      </c>
      <c r="AT28" s="184">
        <v>12131.17</v>
      </c>
      <c r="AU28" s="184">
        <v>12131.17</v>
      </c>
      <c r="AV28" s="184">
        <v>12131.17</v>
      </c>
      <c r="AW28" s="184">
        <v>12131.17</v>
      </c>
      <c r="AX28" s="184">
        <v>12131.17</v>
      </c>
      <c r="AY28" s="184">
        <v>12131.17</v>
      </c>
      <c r="AZ28" s="184">
        <v>12131.17</v>
      </c>
      <c r="BA28" s="184">
        <v>12131.17</v>
      </c>
      <c r="BB28" s="184">
        <v>12131.17</v>
      </c>
      <c r="BC28" s="184">
        <v>12131.17</v>
      </c>
      <c r="BD28" s="184">
        <v>12131.17</v>
      </c>
      <c r="BE28" s="184">
        <v>12131.17</v>
      </c>
      <c r="BF28" s="184">
        <v>12131.17</v>
      </c>
      <c r="BG28" s="184">
        <v>12131.17</v>
      </c>
      <c r="BH28" s="184">
        <v>12131.17</v>
      </c>
      <c r="BI28" s="184">
        <v>11575.55</v>
      </c>
      <c r="BJ28" s="184">
        <v>11980.69</v>
      </c>
      <c r="BK28" s="184">
        <v>12385.83</v>
      </c>
      <c r="BL28" s="184">
        <v>12385.83</v>
      </c>
      <c r="BM28" s="184"/>
      <c r="BN28" s="184"/>
      <c r="BO28" s="184"/>
      <c r="BP28" s="184"/>
      <c r="BQ28" s="184"/>
      <c r="BR28" s="184"/>
      <c r="BS28" s="184"/>
      <c r="BT28" s="184"/>
      <c r="BU28" s="146" cm="1">
        <f t="array" ref="BU28">LOOKUP(2,1/(Y28:BT28&lt;&gt;""),Y28:BH28)</f>
        <v>12385.83</v>
      </c>
      <c r="BV28" s="145" cm="1">
        <f t="array" aca="1" ref="BV28" ca="1">_xlfn.LET(
    _xlpm.last_col_idx, LOOKUP(2, 1/(Y28:BT28&lt;&gt;""), COLUMN(Y28:BT28) - COLUMN(Y28) + 1),
    _xlpm.header_val, INDEX($Y$3:$BT$3, 1, _xlpm.last_col_idx),
    _xlpm.header_date, IF(ISNUMBER(_xlpm.header_val), _xlpm.header_val, DATEVALUE(_xlpm.header_val)),
    IF(_xlpm.header_date &gt; TODAY(), TODAY(), _xlpm.header_date)
)</f>
        <v>46113</v>
      </c>
      <c r="BW28" s="209" cm="1">
        <f t="array" ref="BW28">(LOOKUP(2,1/(BH28:BT28&lt;&gt;""),BH28:BT28))/(INDEX(BH28:BT28,MATCH(TRUE,INDEX((BH28:BT28&lt;&gt;0),0),0)))-1</f>
        <v>2.0992204379297386E-2</v>
      </c>
      <c r="BX28" s="210">
        <f t="shared" si="0"/>
        <v>12.38583</v>
      </c>
      <c r="BY28" s="210">
        <f t="shared" si="1"/>
        <v>12.38583</v>
      </c>
      <c r="BZ28" s="210">
        <f>IF(L28="BR",'Impostos e Frete'!$F$6,IF(L28="EU",'Impostos e Frete'!$I$3,IF(L28="CN",'Impostos e Frete'!$I$4,IF(L28="JP",'Impostos e Frete'!$I$5,IF(L28="RU",'Impostos e Frete'!$I$7,"ERRO")))))</f>
        <v>0</v>
      </c>
      <c r="CA28" s="210">
        <f>VLOOKUP(L28,'Impostos e Frete'!$A$3:$B$7,2,0)*'Preços e Condições'!BY28</f>
        <v>0</v>
      </c>
      <c r="CB28" s="147">
        <f t="shared" si="2"/>
        <v>0</v>
      </c>
      <c r="CC28" s="147">
        <f>IF(X28="BRL",'Impostos e Frete'!$B$11,'Impostos e Frete'!$B$12)</f>
        <v>0.2</v>
      </c>
      <c r="CD28" s="211">
        <f t="shared" si="3"/>
        <v>12.58583</v>
      </c>
      <c r="CE28" s="212">
        <f t="shared" si="4"/>
        <v>0.50343319999999991</v>
      </c>
      <c r="CF28" s="213">
        <f>VLOOKUP(L28,'Impostos e Frete'!$A$3:$C$7,3,0)</f>
        <v>45</v>
      </c>
      <c r="CG28" s="213">
        <f t="shared" si="5"/>
        <v>0</v>
      </c>
      <c r="CH28" s="213">
        <f t="shared" si="6"/>
        <v>-45</v>
      </c>
      <c r="CI28" s="214">
        <f t="shared" si="7"/>
        <v>0.28424046440508555</v>
      </c>
      <c r="CJ28" s="215">
        <f t="shared" si="8"/>
        <v>12.870070464405085</v>
      </c>
      <c r="CK28" s="216">
        <f t="shared" si="9"/>
        <v>0.51480281857620336</v>
      </c>
    </row>
    <row r="29" spans="1:89">
      <c r="A29" s="176">
        <v>10831</v>
      </c>
      <c r="B29" s="177" t="s">
        <v>77</v>
      </c>
      <c r="C29" s="178">
        <v>40</v>
      </c>
      <c r="D29" s="178">
        <v>1900</v>
      </c>
      <c r="E29" s="178" t="s">
        <v>209</v>
      </c>
      <c r="F29" s="179" t="s">
        <v>21</v>
      </c>
      <c r="G29" s="185" t="s">
        <v>77</v>
      </c>
      <c r="H29" s="178" t="s">
        <v>65</v>
      </c>
      <c r="I29" s="178"/>
      <c r="J29" s="178"/>
      <c r="K29" s="178"/>
      <c r="L29" s="183" t="s">
        <v>58</v>
      </c>
      <c r="M29" s="183">
        <v>0</v>
      </c>
      <c r="N29" s="183"/>
      <c r="O29" s="178"/>
      <c r="P29" s="178">
        <v>0</v>
      </c>
      <c r="Q29" s="178"/>
      <c r="R29" s="178" t="s">
        <v>19</v>
      </c>
      <c r="S29" s="181">
        <v>0.12</v>
      </c>
      <c r="T29" s="181" t="s">
        <v>23</v>
      </c>
      <c r="U29" s="182">
        <v>9.2499999999999999E-2</v>
      </c>
      <c r="V29" s="182" t="s">
        <v>35</v>
      </c>
      <c r="W29" s="183"/>
      <c r="X29" s="182" t="s">
        <v>46</v>
      </c>
      <c r="Y29" s="184"/>
      <c r="Z29" s="184"/>
      <c r="AA29" s="184"/>
      <c r="AB29" s="146">
        <f>17291.08*0.7875</f>
        <v>13616.7255</v>
      </c>
      <c r="AC29" s="146">
        <f>17291.08*0.7986</f>
        <v>13808.656488000001</v>
      </c>
      <c r="AD29" s="146">
        <f>17291.08*0.7986</f>
        <v>13808.656488000001</v>
      </c>
      <c r="AE29" s="146">
        <f t="shared" ref="AE29:AJ29" si="14">17056.46*0.7986</f>
        <v>13621.288955999999</v>
      </c>
      <c r="AF29" s="146">
        <f t="shared" si="14"/>
        <v>13621.288955999999</v>
      </c>
      <c r="AG29" s="146">
        <f t="shared" si="14"/>
        <v>13621.288955999999</v>
      </c>
      <c r="AH29" s="146">
        <f t="shared" si="14"/>
        <v>13621.288955999999</v>
      </c>
      <c r="AI29" s="146">
        <f t="shared" si="14"/>
        <v>13621.288955999999</v>
      </c>
      <c r="AJ29" s="146">
        <f t="shared" si="14"/>
        <v>13621.288955999999</v>
      </c>
      <c r="AK29" s="146">
        <f>18165.13*0.7986</f>
        <v>14506.672818000001</v>
      </c>
      <c r="AL29" s="146">
        <f>18165.13*0.7986</f>
        <v>14506.672818000001</v>
      </c>
      <c r="AM29" s="146">
        <f>18165.13*0.7986</f>
        <v>14506.672818000001</v>
      </c>
      <c r="AN29" s="146">
        <f>18165.13*0.7986</f>
        <v>14506.672818000001</v>
      </c>
      <c r="AO29" s="146">
        <f>19255.04*0.7986</f>
        <v>15377.074944</v>
      </c>
      <c r="AP29" s="146">
        <f>19255.04*0.7986</f>
        <v>15377.074944</v>
      </c>
      <c r="AQ29" s="146">
        <f>19255.04*0.7986</f>
        <v>15377.074944</v>
      </c>
      <c r="AR29" s="184">
        <v>16914.78</v>
      </c>
      <c r="AS29" s="184">
        <v>16914.78</v>
      </c>
      <c r="AT29" s="184">
        <v>16914.78</v>
      </c>
      <c r="AU29" s="184">
        <v>16914.78</v>
      </c>
      <c r="AV29" s="184">
        <v>16914.78</v>
      </c>
      <c r="AW29" s="184">
        <v>16914.78</v>
      </c>
      <c r="AX29" s="184">
        <v>16914.78</v>
      </c>
      <c r="AY29" s="184">
        <v>16914.78</v>
      </c>
      <c r="AZ29" s="184">
        <v>16914.78</v>
      </c>
      <c r="BA29" s="184">
        <v>16914.78</v>
      </c>
      <c r="BB29" s="184">
        <v>16914.78</v>
      </c>
      <c r="BC29" s="184">
        <v>16914.78</v>
      </c>
      <c r="BD29" s="184">
        <v>16914.78</v>
      </c>
      <c r="BE29" s="184">
        <v>16914.78</v>
      </c>
      <c r="BF29" s="184">
        <v>16914.78</v>
      </c>
      <c r="BG29" s="184">
        <v>16914.78</v>
      </c>
      <c r="BH29" s="184">
        <v>16914.78</v>
      </c>
      <c r="BI29" s="184">
        <v>16140.06</v>
      </c>
      <c r="BJ29" s="184">
        <v>16704.96</v>
      </c>
      <c r="BK29" s="184">
        <v>17269.86</v>
      </c>
      <c r="BL29" s="184">
        <v>17269.86</v>
      </c>
      <c r="BM29" s="184"/>
      <c r="BN29" s="184"/>
      <c r="BO29" s="184"/>
      <c r="BP29" s="184"/>
      <c r="BQ29" s="184"/>
      <c r="BR29" s="184"/>
      <c r="BS29" s="184"/>
      <c r="BT29" s="184"/>
      <c r="BU29" s="146" cm="1">
        <f t="array" ref="BU29">LOOKUP(2,1/(Y29:BT29&lt;&gt;""),Y29:BH29)</f>
        <v>17269.86</v>
      </c>
      <c r="BV29" s="145" cm="1">
        <f t="array" aca="1" ref="BV29" ca="1">_xlfn.LET(
    _xlpm.last_col_idx, LOOKUP(2, 1/(Y29:BT29&lt;&gt;""), COLUMN(Y29:BT29) - COLUMN(Y29) + 1),
    _xlpm.header_val, INDEX($Y$3:$BT$3, 1, _xlpm.last_col_idx),
    _xlpm.header_date, IF(ISNUMBER(_xlpm.header_val), _xlpm.header_val, DATEVALUE(_xlpm.header_val)),
    IF(_xlpm.header_date &gt; TODAY(), TODAY(), _xlpm.header_date)
)</f>
        <v>46113</v>
      </c>
      <c r="BW29" s="209" cm="1">
        <f t="array" ref="BW29">(LOOKUP(2,1/(BH29:BT29&lt;&gt;""),BH29:BT29))/(INDEX(BH29:BT29,MATCH(TRUE,INDEX((BH29:BT29&lt;&gt;0),0),0)))-1</f>
        <v>2.0992291948225272E-2</v>
      </c>
      <c r="BX29" s="210">
        <f t="shared" si="0"/>
        <v>17.269860000000001</v>
      </c>
      <c r="BY29" s="210">
        <f t="shared" si="1"/>
        <v>17.269860000000001</v>
      </c>
      <c r="BZ29" s="210">
        <f>IF(L29="BR",'Impostos e Frete'!$F$6,IF(L29="EU",'Impostos e Frete'!$I$3,IF(L29="CN",'Impostos e Frete'!$I$4,IF(L29="JP",'Impostos e Frete'!$I$5,IF(L29="RU",'Impostos e Frete'!$I$7,"ERRO")))))</f>
        <v>0</v>
      </c>
      <c r="CA29" s="210">
        <f>VLOOKUP(L29,'Impostos e Frete'!$A$3:$B$7,2,0)*'Preços e Condições'!BY29</f>
        <v>0</v>
      </c>
      <c r="CB29" s="147">
        <f t="shared" si="2"/>
        <v>0</v>
      </c>
      <c r="CC29" s="147">
        <f>IF(X29="BRL",'Impostos e Frete'!$B$11,'Impostos e Frete'!$B$12)</f>
        <v>0.2</v>
      </c>
      <c r="CD29" s="211">
        <f t="shared" si="3"/>
        <v>17.469860000000001</v>
      </c>
      <c r="CE29" s="212">
        <f t="shared" si="4"/>
        <v>0.69879440000000004</v>
      </c>
      <c r="CF29" s="213">
        <f>VLOOKUP(L29,'Impostos e Frete'!$A$3:$C$7,3,0)</f>
        <v>45</v>
      </c>
      <c r="CG29" s="213">
        <f t="shared" si="5"/>
        <v>0</v>
      </c>
      <c r="CH29" s="213">
        <f t="shared" si="6"/>
        <v>-45</v>
      </c>
      <c r="CI29" s="214">
        <f t="shared" si="7"/>
        <v>0.39454220496318726</v>
      </c>
      <c r="CJ29" s="215">
        <f t="shared" si="8"/>
        <v>17.864402204963188</v>
      </c>
      <c r="CK29" s="216">
        <f t="shared" si="9"/>
        <v>0.71457608819852747</v>
      </c>
    </row>
    <row r="30" spans="1:89">
      <c r="A30" s="176">
        <v>10843</v>
      </c>
      <c r="B30" s="177" t="s">
        <v>78</v>
      </c>
      <c r="C30" s="178">
        <v>45</v>
      </c>
      <c r="D30" s="178">
        <v>1900</v>
      </c>
      <c r="E30" s="178" t="s">
        <v>209</v>
      </c>
      <c r="F30" s="179" t="s">
        <v>21</v>
      </c>
      <c r="G30" s="185" t="s">
        <v>78</v>
      </c>
      <c r="H30" s="178" t="s">
        <v>66</v>
      </c>
      <c r="I30" s="178"/>
      <c r="J30" s="178"/>
      <c r="K30" s="178"/>
      <c r="L30" s="183" t="s">
        <v>58</v>
      </c>
      <c r="M30" s="183">
        <v>0</v>
      </c>
      <c r="N30" s="183"/>
      <c r="O30" s="178"/>
      <c r="P30" s="178">
        <v>0</v>
      </c>
      <c r="Q30" s="178"/>
      <c r="R30" s="178" t="s">
        <v>19</v>
      </c>
      <c r="S30" s="181">
        <v>0.12</v>
      </c>
      <c r="T30" s="181" t="s">
        <v>23</v>
      </c>
      <c r="U30" s="182">
        <v>9.2499999999999999E-2</v>
      </c>
      <c r="V30" s="182" t="s">
        <v>35</v>
      </c>
      <c r="W30" s="183"/>
      <c r="X30" s="182" t="s">
        <v>46</v>
      </c>
      <c r="Y30" s="184"/>
      <c r="Z30" s="184"/>
      <c r="AA30" s="184"/>
      <c r="AB30" s="146">
        <f>15908.98*0.7875</f>
        <v>12528.321749999999</v>
      </c>
      <c r="AC30" s="146">
        <f>15908.98*0.7986</f>
        <v>12704.911427999999</v>
      </c>
      <c r="AD30" s="146">
        <f>15908.98*0.7986</f>
        <v>12704.911427999999</v>
      </c>
      <c r="AE30" s="146">
        <f t="shared" ref="AE30:AJ30" si="15">15417.17*0.7986</f>
        <v>12312.151962</v>
      </c>
      <c r="AF30" s="146">
        <f t="shared" si="15"/>
        <v>12312.151962</v>
      </c>
      <c r="AG30" s="146">
        <f t="shared" si="15"/>
        <v>12312.151962</v>
      </c>
      <c r="AH30" s="146">
        <f t="shared" si="15"/>
        <v>12312.151962</v>
      </c>
      <c r="AI30" s="146">
        <f t="shared" si="15"/>
        <v>12312.151962</v>
      </c>
      <c r="AJ30" s="146">
        <f t="shared" si="15"/>
        <v>12312.151962</v>
      </c>
      <c r="AK30" s="146">
        <f>16727.63*0.7986</f>
        <v>13358.685318</v>
      </c>
      <c r="AL30" s="146">
        <f>16727.63*0.7986</f>
        <v>13358.685318</v>
      </c>
      <c r="AM30" s="146">
        <f>16727.63*0.7986</f>
        <v>13358.685318</v>
      </c>
      <c r="AN30" s="146">
        <f>16727.63*0.7986</f>
        <v>13358.685318</v>
      </c>
      <c r="AO30" s="146">
        <f>17731.28*0.7986</f>
        <v>14160.200207999998</v>
      </c>
      <c r="AP30" s="146">
        <f>17731.28*0.7986</f>
        <v>14160.200207999998</v>
      </c>
      <c r="AQ30" s="146">
        <f>17731.28*0.7986</f>
        <v>14160.200207999998</v>
      </c>
      <c r="AR30" s="184">
        <v>19859.43</v>
      </c>
      <c r="AS30" s="184">
        <v>19859.43</v>
      </c>
      <c r="AT30" s="184">
        <v>19859.43</v>
      </c>
      <c r="AU30" s="184">
        <v>19859.43</v>
      </c>
      <c r="AV30" s="184">
        <v>19859.43</v>
      </c>
      <c r="AW30" s="184">
        <v>15859</v>
      </c>
      <c r="AX30" s="184">
        <v>15859</v>
      </c>
      <c r="AY30" s="184">
        <v>15859</v>
      </c>
      <c r="AZ30" s="184">
        <v>15859</v>
      </c>
      <c r="BA30" s="184">
        <v>15859</v>
      </c>
      <c r="BB30" s="184">
        <v>15859</v>
      </c>
      <c r="BC30" s="184">
        <v>16477.5</v>
      </c>
      <c r="BD30" s="184">
        <v>16477.5</v>
      </c>
      <c r="BE30" s="184">
        <v>16477.5</v>
      </c>
      <c r="BF30" s="184">
        <v>16477.5</v>
      </c>
      <c r="BG30" s="184">
        <v>16477.5</v>
      </c>
      <c r="BH30" s="184">
        <v>16477.5</v>
      </c>
      <c r="BI30" s="184">
        <v>15722.81</v>
      </c>
      <c r="BJ30" s="184">
        <v>16273.1</v>
      </c>
      <c r="BK30" s="184">
        <v>16823.400000000001</v>
      </c>
      <c r="BL30" s="184">
        <v>16823.400000000001</v>
      </c>
      <c r="BM30" s="184"/>
      <c r="BN30" s="184"/>
      <c r="BO30" s="184"/>
      <c r="BP30" s="184"/>
      <c r="BQ30" s="184"/>
      <c r="BR30" s="184"/>
      <c r="BS30" s="184"/>
      <c r="BT30" s="184"/>
      <c r="BU30" s="146" cm="1">
        <f t="array" ref="BU30">LOOKUP(2,1/(Y30:BT30&lt;&gt;""),Y30:BH30)</f>
        <v>16823.400000000001</v>
      </c>
      <c r="BV30" s="145" cm="1">
        <f t="array" aca="1" ref="BV30" ca="1">_xlfn.LET(
    _xlpm.last_col_idx, LOOKUP(2, 1/(Y30:BT30&lt;&gt;""), COLUMN(Y30:BT30) - COLUMN(Y30) + 1),
    _xlpm.header_val, INDEX($Y$3:$BT$3, 1, _xlpm.last_col_idx),
    _xlpm.header_date, IF(ISNUMBER(_xlpm.header_val), _xlpm.header_val, DATEVALUE(_xlpm.header_val)),
    IF(_xlpm.header_date &gt; TODAY(), TODAY(), _xlpm.header_date)
)</f>
        <v>46113</v>
      </c>
      <c r="BW30" s="209" cm="1">
        <f t="array" ref="BW30">(LOOKUP(2,1/(BH30:BT30&lt;&gt;""),BH30:BT30))/(INDEX(BH30:BT30,MATCH(TRUE,INDEX((BH30:BT30&lt;&gt;0),0),0)))-1</f>
        <v>2.0992262175694165E-2</v>
      </c>
      <c r="BX30" s="210">
        <f t="shared" si="0"/>
        <v>16.823400000000003</v>
      </c>
      <c r="BY30" s="210">
        <f t="shared" si="1"/>
        <v>16.823400000000003</v>
      </c>
      <c r="BZ30" s="210">
        <f>IF(L30="BR",'Impostos e Frete'!$F$6,IF(L30="EU",'Impostos e Frete'!$I$3,IF(L30="CN",'Impostos e Frete'!$I$4,IF(L30="JP",'Impostos e Frete'!$I$5,IF(L30="RU",'Impostos e Frete'!$I$7,"ERRO")))))</f>
        <v>0</v>
      </c>
      <c r="CA30" s="210">
        <f>VLOOKUP(L30,'Impostos e Frete'!$A$3:$B$7,2,0)*'Preços e Condições'!BY30</f>
        <v>0</v>
      </c>
      <c r="CB30" s="147">
        <f t="shared" si="2"/>
        <v>0</v>
      </c>
      <c r="CC30" s="147">
        <f>IF(X30="BRL",'Impostos e Frete'!$B$11,'Impostos e Frete'!$B$12)</f>
        <v>0.2</v>
      </c>
      <c r="CD30" s="211">
        <f t="shared" si="3"/>
        <v>17.023400000000002</v>
      </c>
      <c r="CE30" s="212">
        <f t="shared" si="4"/>
        <v>0.76605300000000009</v>
      </c>
      <c r="CF30" s="213">
        <f>VLOOKUP(L30,'Impostos e Frete'!$A$3:$C$7,3,0)</f>
        <v>45</v>
      </c>
      <c r="CG30" s="213">
        <f t="shared" si="5"/>
        <v>0</v>
      </c>
      <c r="CH30" s="213">
        <f t="shared" si="6"/>
        <v>-45</v>
      </c>
      <c r="CI30" s="214">
        <f t="shared" si="7"/>
        <v>0.38445927855004669</v>
      </c>
      <c r="CJ30" s="215">
        <f t="shared" si="8"/>
        <v>17.407859278550049</v>
      </c>
      <c r="CK30" s="216">
        <f t="shared" si="9"/>
        <v>0.78335366753475222</v>
      </c>
    </row>
    <row r="31" spans="1:89">
      <c r="A31" s="176">
        <v>10860</v>
      </c>
      <c r="B31" s="177" t="s">
        <v>122</v>
      </c>
      <c r="C31" s="178">
        <v>40</v>
      </c>
      <c r="D31" s="178">
        <v>1900</v>
      </c>
      <c r="E31" s="178" t="s">
        <v>209</v>
      </c>
      <c r="F31" s="179" t="s">
        <v>21</v>
      </c>
      <c r="G31" s="185" t="s">
        <v>122</v>
      </c>
      <c r="H31" s="178" t="s">
        <v>43</v>
      </c>
      <c r="I31" s="178"/>
      <c r="J31" s="178"/>
      <c r="K31" s="178"/>
      <c r="L31" s="183" t="s">
        <v>58</v>
      </c>
      <c r="M31" s="183">
        <v>0</v>
      </c>
      <c r="N31" s="183"/>
      <c r="O31" s="178"/>
      <c r="P31" s="178">
        <v>0</v>
      </c>
      <c r="Q31" s="178"/>
      <c r="R31" s="178" t="s">
        <v>19</v>
      </c>
      <c r="S31" s="181">
        <v>0.12</v>
      </c>
      <c r="T31" s="181" t="s">
        <v>23</v>
      </c>
      <c r="U31" s="182">
        <v>9.2499999999999999E-2</v>
      </c>
      <c r="V31" s="182" t="s">
        <v>35</v>
      </c>
      <c r="W31" s="183"/>
      <c r="X31" s="182" t="s">
        <v>46</v>
      </c>
      <c r="Y31" s="184"/>
      <c r="Z31" s="184"/>
      <c r="AA31" s="184"/>
      <c r="AB31" s="146">
        <f>22405.74*0.7875</f>
        <v>17644.520250000001</v>
      </c>
      <c r="AC31" s="146">
        <f>22405.74*0.7986</f>
        <v>17893.223964000001</v>
      </c>
      <c r="AD31" s="146">
        <f>22405.74*0.7986</f>
        <v>17893.223964000001</v>
      </c>
      <c r="AE31" s="146">
        <f t="shared" ref="AE31:AJ31" si="16">20712.35*0.7986</f>
        <v>16540.882709999998</v>
      </c>
      <c r="AF31" s="146">
        <f t="shared" si="16"/>
        <v>16540.882709999998</v>
      </c>
      <c r="AG31" s="146">
        <f t="shared" si="16"/>
        <v>16540.882709999998</v>
      </c>
      <c r="AH31" s="146">
        <f t="shared" si="16"/>
        <v>16540.882709999998</v>
      </c>
      <c r="AI31" s="146">
        <f t="shared" si="16"/>
        <v>16540.882709999998</v>
      </c>
      <c r="AJ31" s="146">
        <f t="shared" si="16"/>
        <v>16540.882709999998</v>
      </c>
      <c r="AK31" s="146">
        <f t="shared" ref="AK31:AQ31" si="17">22472.9*0.7986</f>
        <v>17946.857940000002</v>
      </c>
      <c r="AL31" s="146">
        <f t="shared" si="17"/>
        <v>17946.857940000002</v>
      </c>
      <c r="AM31" s="146">
        <f t="shared" si="17"/>
        <v>17946.857940000002</v>
      </c>
      <c r="AN31" s="146">
        <f t="shared" si="17"/>
        <v>17946.857940000002</v>
      </c>
      <c r="AO31" s="146">
        <f t="shared" si="17"/>
        <v>17946.857940000002</v>
      </c>
      <c r="AP31" s="146">
        <f t="shared" si="17"/>
        <v>17946.857940000002</v>
      </c>
      <c r="AQ31" s="146">
        <f t="shared" si="17"/>
        <v>17946.857940000002</v>
      </c>
      <c r="AR31" s="184">
        <v>18844.2</v>
      </c>
      <c r="AS31" s="184">
        <v>18844.2</v>
      </c>
      <c r="AT31" s="184">
        <v>18844.2</v>
      </c>
      <c r="AU31" s="184">
        <v>18844.2</v>
      </c>
      <c r="AV31" s="184">
        <v>18844.2</v>
      </c>
      <c r="AW31" s="184">
        <v>18844.2</v>
      </c>
      <c r="AX31" s="184">
        <v>18844.2</v>
      </c>
      <c r="AY31" s="184">
        <v>18844.2</v>
      </c>
      <c r="AZ31" s="184">
        <v>18844.2</v>
      </c>
      <c r="BA31" s="184">
        <v>18844.2</v>
      </c>
      <c r="BB31" s="184">
        <v>18844.2</v>
      </c>
      <c r="BC31" s="184">
        <v>18844.2</v>
      </c>
      <c r="BD31" s="184">
        <v>18844.2</v>
      </c>
      <c r="BE31" s="184">
        <v>18844.2</v>
      </c>
      <c r="BF31" s="184">
        <v>18844.2</v>
      </c>
      <c r="BG31" s="184">
        <v>18844.2</v>
      </c>
      <c r="BH31" s="184">
        <v>18844.2</v>
      </c>
      <c r="BI31" s="184">
        <v>17981.11</v>
      </c>
      <c r="BJ31" s="184">
        <v>18610.439999999999</v>
      </c>
      <c r="BK31" s="184">
        <v>19239.78</v>
      </c>
      <c r="BL31" s="184">
        <v>19239.78</v>
      </c>
      <c r="BM31" s="184"/>
      <c r="BN31" s="184"/>
      <c r="BO31" s="184"/>
      <c r="BP31" s="184"/>
      <c r="BQ31" s="184"/>
      <c r="BR31" s="184"/>
      <c r="BS31" s="184"/>
      <c r="BT31" s="184"/>
      <c r="BU31" s="146" cm="1">
        <f t="array" ref="BU31">LOOKUP(2,1/(Y31:BT31&lt;&gt;""),Y31:BH31)</f>
        <v>19239.78</v>
      </c>
      <c r="BV31" s="145" cm="1">
        <f t="array" aca="1" ref="BV31" ca="1">_xlfn.LET(
    _xlpm.last_col_idx, LOOKUP(2, 1/(Y31:BT31&lt;&gt;""), COLUMN(Y31:BT31) - COLUMN(Y31) + 1),
    _xlpm.header_val, INDEX($Y$3:$BT$3, 1, _xlpm.last_col_idx),
    _xlpm.header_date, IF(ISNUMBER(_xlpm.header_val), _xlpm.header_val, DATEVALUE(_xlpm.header_val)),
    IF(_xlpm.header_date &gt; TODAY(), TODAY(), _xlpm.header_date)
)</f>
        <v>46113</v>
      </c>
      <c r="BW31" s="209" cm="1">
        <f t="array" ref="BW31">(LOOKUP(2,1/(BH31:BT31&lt;&gt;""),BH31:BT31))/(INDEX(BH31:BT31,MATCH(TRUE,INDEX((BH31:BT31&lt;&gt;0),0),0)))-1</f>
        <v>2.0992135511191723E-2</v>
      </c>
      <c r="BX31" s="210">
        <f t="shared" si="0"/>
        <v>19.23978</v>
      </c>
      <c r="BY31" s="210">
        <f t="shared" si="1"/>
        <v>19.23978</v>
      </c>
      <c r="BZ31" s="210">
        <f>IF(L31="BR",'Impostos e Frete'!$F$6,IF(L31="EU",'Impostos e Frete'!$I$3,IF(L31="CN",'Impostos e Frete'!$I$4,IF(L31="JP",'Impostos e Frete'!$I$5,IF(L31="RU",'Impostos e Frete'!$I$7,"ERRO")))))</f>
        <v>0</v>
      </c>
      <c r="CA31" s="210">
        <f>VLOOKUP(L31,'Impostos e Frete'!$A$3:$B$7,2,0)*'Preços e Condições'!BY31</f>
        <v>0</v>
      </c>
      <c r="CB31" s="147">
        <f t="shared" si="2"/>
        <v>0</v>
      </c>
      <c r="CC31" s="147">
        <f>IF(X31="BRL",'Impostos e Frete'!$B$11,'Impostos e Frete'!$B$12)</f>
        <v>0.2</v>
      </c>
      <c r="CD31" s="211">
        <f t="shared" si="3"/>
        <v>19.439779999999999</v>
      </c>
      <c r="CE31" s="212">
        <f t="shared" si="4"/>
        <v>0.77759120000000004</v>
      </c>
      <c r="CF31" s="213">
        <f>VLOOKUP(L31,'Impostos e Frete'!$A$3:$C$7,3,0)</f>
        <v>45</v>
      </c>
      <c r="CG31" s="213">
        <f t="shared" si="5"/>
        <v>0</v>
      </c>
      <c r="CH31" s="213">
        <f t="shared" si="6"/>
        <v>-45</v>
      </c>
      <c r="CI31" s="214">
        <f t="shared" si="7"/>
        <v>0.43903120375316362</v>
      </c>
      <c r="CJ31" s="215">
        <f t="shared" si="8"/>
        <v>19.878811203753163</v>
      </c>
      <c r="CK31" s="216">
        <f t="shared" si="9"/>
        <v>0.79515244815012653</v>
      </c>
    </row>
    <row r="32" spans="1:89">
      <c r="A32" s="176">
        <v>10862</v>
      </c>
      <c r="B32" s="177" t="s">
        <v>76</v>
      </c>
      <c r="C32" s="178">
        <v>40</v>
      </c>
      <c r="D32" s="178">
        <v>1905</v>
      </c>
      <c r="E32" s="178" t="s">
        <v>209</v>
      </c>
      <c r="F32" s="179" t="s">
        <v>21</v>
      </c>
      <c r="G32" s="185" t="s">
        <v>76</v>
      </c>
      <c r="H32" s="178" t="s">
        <v>62</v>
      </c>
      <c r="I32" s="178"/>
      <c r="J32" s="178"/>
      <c r="K32" s="178"/>
      <c r="L32" s="183" t="s">
        <v>58</v>
      </c>
      <c r="M32" s="183">
        <v>0</v>
      </c>
      <c r="N32" s="183"/>
      <c r="O32" s="178"/>
      <c r="P32" s="178">
        <v>0</v>
      </c>
      <c r="Q32" s="178"/>
      <c r="R32" s="178" t="s">
        <v>19</v>
      </c>
      <c r="S32" s="181">
        <v>0.12</v>
      </c>
      <c r="T32" s="181" t="s">
        <v>23</v>
      </c>
      <c r="U32" s="182">
        <v>9.2499999999999999E-2</v>
      </c>
      <c r="V32" s="182" t="s">
        <v>35</v>
      </c>
      <c r="W32" s="183"/>
      <c r="X32" s="182" t="s">
        <v>46</v>
      </c>
      <c r="Y32" s="184"/>
      <c r="Z32" s="184"/>
      <c r="AA32" s="184"/>
      <c r="AB32" s="146">
        <f>12381.98*0.7875</f>
        <v>9750.8092500000002</v>
      </c>
      <c r="AC32" s="146">
        <f>12381.98*0.7986</f>
        <v>9888.2492279999988</v>
      </c>
      <c r="AD32" s="146">
        <f>12381.98*0.7986</f>
        <v>9888.2492279999988</v>
      </c>
      <c r="AE32" s="146">
        <f t="shared" ref="AE32:AJ32" si="18">12229.65*0.7986</f>
        <v>9766.5984900000003</v>
      </c>
      <c r="AF32" s="146">
        <f t="shared" si="18"/>
        <v>9766.5984900000003</v>
      </c>
      <c r="AG32" s="146">
        <f t="shared" si="18"/>
        <v>9766.5984900000003</v>
      </c>
      <c r="AH32" s="146">
        <f t="shared" si="18"/>
        <v>9766.5984900000003</v>
      </c>
      <c r="AI32" s="146">
        <f t="shared" si="18"/>
        <v>9766.5984900000003</v>
      </c>
      <c r="AJ32" s="146">
        <f t="shared" si="18"/>
        <v>9766.5984900000003</v>
      </c>
      <c r="AK32" s="146">
        <f>13269.17*0.7986</f>
        <v>10596.759162</v>
      </c>
      <c r="AL32" s="146">
        <f>13269.17*0.7986</f>
        <v>10596.759162</v>
      </c>
      <c r="AM32" s="146">
        <f>13269.17*0.7986</f>
        <v>10596.759162</v>
      </c>
      <c r="AN32" s="146">
        <f>13269.17*0.7986</f>
        <v>10596.759162</v>
      </c>
      <c r="AO32" s="146">
        <f>14065.32*0.7986</f>
        <v>11232.564552</v>
      </c>
      <c r="AP32" s="146">
        <f>14065.32*0.7986</f>
        <v>11232.564552</v>
      </c>
      <c r="AQ32" s="146">
        <f>14065.32*0.7986</f>
        <v>11232.564552</v>
      </c>
      <c r="AR32" s="184">
        <v>12131.17</v>
      </c>
      <c r="AS32" s="184">
        <v>12131.17</v>
      </c>
      <c r="AT32" s="184">
        <v>12131.17</v>
      </c>
      <c r="AU32" s="184">
        <v>12131.17</v>
      </c>
      <c r="AV32" s="184">
        <v>12131.17</v>
      </c>
      <c r="AW32" s="184">
        <v>12131.17</v>
      </c>
      <c r="AX32" s="184">
        <v>12131.17</v>
      </c>
      <c r="AY32" s="184">
        <v>12131.17</v>
      </c>
      <c r="AZ32" s="184">
        <v>12131.17</v>
      </c>
      <c r="BA32" s="184">
        <v>12131.17</v>
      </c>
      <c r="BB32" s="184">
        <v>12131.17</v>
      </c>
      <c r="BC32" s="184">
        <v>12131.17</v>
      </c>
      <c r="BD32" s="184">
        <v>12131.17</v>
      </c>
      <c r="BE32" s="184">
        <v>12131.17</v>
      </c>
      <c r="BF32" s="184">
        <v>12131.17</v>
      </c>
      <c r="BG32" s="184">
        <v>12131.17</v>
      </c>
      <c r="BH32" s="184">
        <v>12131.17</v>
      </c>
      <c r="BI32" s="184">
        <v>11575.55</v>
      </c>
      <c r="BJ32" s="184">
        <v>11980.69</v>
      </c>
      <c r="BK32" s="184">
        <v>12385.83</v>
      </c>
      <c r="BL32" s="184">
        <v>12385.83</v>
      </c>
      <c r="BM32" s="184"/>
      <c r="BN32" s="184"/>
      <c r="BO32" s="184"/>
      <c r="BP32" s="184"/>
      <c r="BQ32" s="184"/>
      <c r="BR32" s="184"/>
      <c r="BS32" s="184"/>
      <c r="BT32" s="184"/>
      <c r="BU32" s="146" cm="1">
        <f t="array" ref="BU32">LOOKUP(2,1/(Y32:BT32&lt;&gt;""),Y32:BH32)</f>
        <v>12385.83</v>
      </c>
      <c r="BV32" s="145" cm="1">
        <f t="array" aca="1" ref="BV32" ca="1">_xlfn.LET(
    _xlpm.last_col_idx, LOOKUP(2, 1/(Y32:BT32&lt;&gt;""), COLUMN(Y32:BT32) - COLUMN(Y32) + 1),
    _xlpm.header_val, INDEX($Y$3:$BT$3, 1, _xlpm.last_col_idx),
    _xlpm.header_date, IF(ISNUMBER(_xlpm.header_val), _xlpm.header_val, DATEVALUE(_xlpm.header_val)),
    IF(_xlpm.header_date &gt; TODAY(), TODAY(), _xlpm.header_date)
)</f>
        <v>46113</v>
      </c>
      <c r="BW32" s="209" cm="1">
        <f t="array" ref="BW32">(LOOKUP(2,1/(BH32:BT32&lt;&gt;""),BH32:BT32))/(INDEX(BH32:BT32,MATCH(TRUE,INDEX((BH32:BT32&lt;&gt;0),0),0)))-1</f>
        <v>2.0992204379297386E-2</v>
      </c>
      <c r="BX32" s="210">
        <f t="shared" si="0"/>
        <v>12.38583</v>
      </c>
      <c r="BY32" s="210">
        <f t="shared" si="1"/>
        <v>12.38583</v>
      </c>
      <c r="BZ32" s="210">
        <f>IF(L32="BR",'Impostos e Frete'!$F$6,IF(L32="EU",'Impostos e Frete'!$I$3,IF(L32="CN",'Impostos e Frete'!$I$4,IF(L32="JP",'Impostos e Frete'!$I$5,IF(L32="RU",'Impostos e Frete'!$I$7,"ERRO")))))</f>
        <v>0</v>
      </c>
      <c r="CA32" s="210">
        <f>VLOOKUP(L32,'Impostos e Frete'!$A$3:$B$7,2,0)*'Preços e Condições'!BY32</f>
        <v>0</v>
      </c>
      <c r="CB32" s="147">
        <f t="shared" si="2"/>
        <v>0</v>
      </c>
      <c r="CC32" s="147">
        <f>IF(X32="BRL",'Impostos e Frete'!$B$11,'Impostos e Frete'!$B$12)</f>
        <v>0.2</v>
      </c>
      <c r="CD32" s="211">
        <f t="shared" si="3"/>
        <v>12.58583</v>
      </c>
      <c r="CE32" s="212">
        <f t="shared" si="4"/>
        <v>0.50343319999999991</v>
      </c>
      <c r="CF32" s="213">
        <f>VLOOKUP(L32,'Impostos e Frete'!$A$3:$C$7,3,0)</f>
        <v>45</v>
      </c>
      <c r="CG32" s="213">
        <f t="shared" si="5"/>
        <v>0</v>
      </c>
      <c r="CH32" s="213">
        <f t="shared" si="6"/>
        <v>-45</v>
      </c>
      <c r="CI32" s="214">
        <f t="shared" si="7"/>
        <v>0.28424046440508555</v>
      </c>
      <c r="CJ32" s="215">
        <f t="shared" si="8"/>
        <v>12.870070464405085</v>
      </c>
      <c r="CK32" s="216">
        <f t="shared" si="9"/>
        <v>0.51480281857620336</v>
      </c>
    </row>
    <row r="33" spans="1:92">
      <c r="A33" s="176">
        <v>10865</v>
      </c>
      <c r="B33" s="177" t="s">
        <v>123</v>
      </c>
      <c r="C33" s="178">
        <v>60</v>
      </c>
      <c r="D33" s="178">
        <v>2080</v>
      </c>
      <c r="E33" s="178" t="s">
        <v>49</v>
      </c>
      <c r="F33" s="179" t="s">
        <v>21</v>
      </c>
      <c r="G33" s="192" t="s">
        <v>15</v>
      </c>
      <c r="H33" s="178" t="s">
        <v>61</v>
      </c>
      <c r="I33" s="178"/>
      <c r="J33" s="178"/>
      <c r="K33" s="178"/>
      <c r="L33" s="183" t="s">
        <v>58</v>
      </c>
      <c r="M33" s="183">
        <v>0</v>
      </c>
      <c r="N33" s="183"/>
      <c r="O33" s="178"/>
      <c r="P33" s="178">
        <v>0</v>
      </c>
      <c r="Q33" s="178"/>
      <c r="R33" s="178" t="s">
        <v>19</v>
      </c>
      <c r="S33" s="181">
        <v>0.12</v>
      </c>
      <c r="T33" s="181" t="s">
        <v>23</v>
      </c>
      <c r="U33" s="182">
        <v>9.2499999999999999E-2</v>
      </c>
      <c r="V33" s="182" t="s">
        <v>35</v>
      </c>
      <c r="W33" s="183"/>
      <c r="X33" s="182" t="s">
        <v>46</v>
      </c>
      <c r="Y33" s="184"/>
      <c r="Z33" s="184"/>
      <c r="AA33" s="184"/>
      <c r="AB33" s="184"/>
      <c r="AC33" s="184"/>
      <c r="AD33" s="184"/>
      <c r="AE33" s="184"/>
      <c r="AF33" s="184"/>
      <c r="AG33" s="184"/>
      <c r="AH33" s="184"/>
      <c r="AI33" s="184"/>
      <c r="AJ33" s="184"/>
      <c r="AK33" s="184"/>
      <c r="AL33" s="184"/>
      <c r="AM33" s="184"/>
      <c r="AN33" s="184"/>
      <c r="AO33" s="184"/>
      <c r="AP33" s="184"/>
      <c r="AQ33" s="184"/>
      <c r="AR33" s="184"/>
      <c r="AS33" s="184"/>
      <c r="AT33" s="184"/>
      <c r="AU33" s="184"/>
      <c r="AV33" s="184"/>
      <c r="AW33" s="184"/>
      <c r="AX33" s="184"/>
      <c r="AY33" s="184"/>
      <c r="AZ33" s="184"/>
      <c r="BA33" s="184"/>
      <c r="BB33" s="184">
        <v>10590</v>
      </c>
      <c r="BC33" s="184">
        <v>10590</v>
      </c>
      <c r="BD33" s="184">
        <v>10590</v>
      </c>
      <c r="BE33" s="184">
        <v>10590</v>
      </c>
      <c r="BF33" s="184">
        <v>10590</v>
      </c>
      <c r="BG33" s="184">
        <v>10590</v>
      </c>
      <c r="BH33" s="184">
        <v>10590</v>
      </c>
      <c r="BI33" s="184"/>
      <c r="BJ33" s="184"/>
      <c r="BK33" s="184"/>
      <c r="BL33" s="184"/>
      <c r="BM33" s="184"/>
      <c r="BN33" s="184"/>
      <c r="BO33" s="184"/>
      <c r="BP33" s="184"/>
      <c r="BQ33" s="184"/>
      <c r="BR33" s="184"/>
      <c r="BS33" s="184"/>
      <c r="BT33" s="184"/>
      <c r="BU33" s="146" cm="1">
        <f t="array" ref="BU33">LOOKUP(2,1/(Y33:BT33&lt;&gt;""),Y33:BH33)</f>
        <v>10590</v>
      </c>
      <c r="BV33" s="145" cm="1">
        <f t="array" aca="1" ref="BV33" ca="1">_xlfn.LET(
    _xlpm.last_col_idx, LOOKUP(2, 1/(Y33:BT33&lt;&gt;""), COLUMN(Y33:BT33) - COLUMN(Y33) + 1),
    _xlpm.header_val, INDEX($Y$3:$BT$3, 1, _xlpm.last_col_idx),
    _xlpm.header_date, IF(ISNUMBER(_xlpm.header_val), _xlpm.header_val, DATEVALUE(_xlpm.header_val)),
    IF(_xlpm.header_date &gt; TODAY(), TODAY(), _xlpm.header_date)
)</f>
        <v>45992</v>
      </c>
      <c r="BW33" s="209" cm="1">
        <f t="array" ref="BW33">(LOOKUP(2,1/(BH33:BT33&lt;&gt;""),BH33:BT33))/(INDEX(BH33:BT33,MATCH(TRUE,INDEX((BH33:BT33&lt;&gt;0),0),0)))-1</f>
        <v>0</v>
      </c>
      <c r="BX33" s="210">
        <f t="shared" si="0"/>
        <v>10.59</v>
      </c>
      <c r="BY33" s="210">
        <f t="shared" si="1"/>
        <v>10.59</v>
      </c>
      <c r="BZ33" s="210">
        <f>IF(L33="BR",'Impostos e Frete'!$F$6,IF(L33="EU",'Impostos e Frete'!$I$3,IF(L33="CN",'Impostos e Frete'!$I$4,IF(L33="JP",'Impostos e Frete'!$I$5,IF(L33="RU",'Impostos e Frete'!$I$7,"ERRO")))))</f>
        <v>0</v>
      </c>
      <c r="CA33" s="210">
        <f>VLOOKUP(L33,'Impostos e Frete'!$A$3:$B$7,2,0)*'Preços e Condições'!BY33</f>
        <v>0</v>
      </c>
      <c r="CB33" s="147">
        <f t="shared" si="2"/>
        <v>0</v>
      </c>
      <c r="CC33" s="147">
        <f>IF(X33="BRL",'Impostos e Frete'!$B$11,'Impostos e Frete'!$B$12)</f>
        <v>0.2</v>
      </c>
      <c r="CD33" s="211">
        <f t="shared" si="3"/>
        <v>10.79</v>
      </c>
      <c r="CE33" s="212">
        <f t="shared" si="4"/>
        <v>0.64739999999999998</v>
      </c>
      <c r="CF33" s="213">
        <f>VLOOKUP(L33,'Impostos e Frete'!$A$3:$C$7,3,0)</f>
        <v>45</v>
      </c>
      <c r="CG33" s="213">
        <f t="shared" si="5"/>
        <v>0</v>
      </c>
      <c r="CH33" s="213">
        <f t="shared" si="6"/>
        <v>-45</v>
      </c>
      <c r="CI33" s="214">
        <f t="shared" si="7"/>
        <v>0.24368314294177296</v>
      </c>
      <c r="CJ33" s="215">
        <f t="shared" si="8"/>
        <v>11.033683142941772</v>
      </c>
      <c r="CK33" s="216">
        <f t="shared" si="9"/>
        <v>0.66202098857650626</v>
      </c>
    </row>
    <row r="34" spans="1:92">
      <c r="A34" s="176">
        <v>10866</v>
      </c>
      <c r="B34" s="177" t="s">
        <v>344</v>
      </c>
      <c r="C34" s="178">
        <v>40</v>
      </c>
      <c r="D34" s="178">
        <v>1270</v>
      </c>
      <c r="E34" s="178" t="s">
        <v>209</v>
      </c>
      <c r="F34" s="179" t="s">
        <v>21</v>
      </c>
      <c r="G34" s="185" t="s">
        <v>333</v>
      </c>
      <c r="H34" s="178" t="s">
        <v>43</v>
      </c>
      <c r="I34" s="178"/>
      <c r="J34" s="178"/>
      <c r="K34" s="178"/>
      <c r="L34" s="183" t="s">
        <v>58</v>
      </c>
      <c r="M34" s="183">
        <v>0</v>
      </c>
      <c r="N34" s="183"/>
      <c r="O34" s="178"/>
      <c r="P34" s="178">
        <v>0</v>
      </c>
      <c r="Q34" s="178"/>
      <c r="R34" s="178" t="s">
        <v>19</v>
      </c>
      <c r="S34" s="181">
        <v>0.12</v>
      </c>
      <c r="T34" s="181" t="s">
        <v>23</v>
      </c>
      <c r="U34" s="182">
        <v>9.2499999999999999E-2</v>
      </c>
      <c r="V34" s="182" t="s">
        <v>35</v>
      </c>
      <c r="W34" s="183"/>
      <c r="X34" s="182" t="s">
        <v>46</v>
      </c>
      <c r="Y34" s="184"/>
      <c r="Z34" s="184"/>
      <c r="AA34" s="184"/>
      <c r="AB34" s="184"/>
      <c r="AC34" s="184"/>
      <c r="AD34" s="184"/>
      <c r="AE34" s="184"/>
      <c r="AF34" s="184"/>
      <c r="AG34" s="184"/>
      <c r="AH34" s="184"/>
      <c r="AI34" s="184"/>
      <c r="AJ34" s="184"/>
      <c r="AK34" s="184"/>
      <c r="AL34" s="184"/>
      <c r="AM34" s="184"/>
      <c r="AN34" s="184"/>
      <c r="AO34" s="184"/>
      <c r="AP34" s="184"/>
      <c r="AQ34" s="184"/>
      <c r="AR34" s="184"/>
      <c r="AS34" s="184"/>
      <c r="AT34" s="184"/>
      <c r="AU34" s="184"/>
      <c r="AV34" s="184"/>
      <c r="AW34" s="184"/>
      <c r="AX34" s="184"/>
      <c r="AY34" s="184"/>
      <c r="AZ34" s="184"/>
      <c r="BA34" s="184">
        <v>9432</v>
      </c>
      <c r="BB34" s="184">
        <v>9432</v>
      </c>
      <c r="BC34" s="184">
        <v>9432</v>
      </c>
      <c r="BD34" s="184">
        <v>9432</v>
      </c>
      <c r="BE34" s="184">
        <v>9432</v>
      </c>
      <c r="BF34" s="184">
        <v>9432</v>
      </c>
      <c r="BG34" s="184">
        <v>9432</v>
      </c>
      <c r="BH34" s="184">
        <v>9432</v>
      </c>
      <c r="BI34" s="184"/>
      <c r="BJ34" s="184"/>
      <c r="BK34" s="184"/>
      <c r="BL34" s="184"/>
      <c r="BM34" s="184"/>
      <c r="BN34" s="184"/>
      <c r="BO34" s="184"/>
      <c r="BP34" s="184"/>
      <c r="BQ34" s="184"/>
      <c r="BR34" s="184"/>
      <c r="BS34" s="184"/>
      <c r="BT34" s="184"/>
      <c r="BU34" s="146" cm="1">
        <f t="array" ref="BU34">LOOKUP(2,1/(Y34:BT34&lt;&gt;""),Y34:BH34)</f>
        <v>9432</v>
      </c>
      <c r="BV34" s="145" cm="1">
        <f t="array" aca="1" ref="BV34" ca="1">_xlfn.LET(
    _xlpm.last_col_idx, LOOKUP(2, 1/(Y34:BT34&lt;&gt;""), COLUMN(Y34:BT34) - COLUMN(Y34) + 1),
    _xlpm.header_val, INDEX($Y$3:$BT$3, 1, _xlpm.last_col_idx),
    _xlpm.header_date, IF(ISNUMBER(_xlpm.header_val), _xlpm.header_val, DATEVALUE(_xlpm.header_val)),
    IF(_xlpm.header_date &gt; TODAY(), TODAY(), _xlpm.header_date)
)</f>
        <v>45992</v>
      </c>
      <c r="BW34" s="209" cm="1">
        <f t="array" ref="BW34">(LOOKUP(2,1/(BH34:BT34&lt;&gt;""),BH34:BT34))/(INDEX(BH34:BT34,MATCH(TRUE,INDEX((BH34:BT34&lt;&gt;0),0),0)))-1</f>
        <v>0</v>
      </c>
      <c r="BX34" s="210">
        <f t="shared" si="0"/>
        <v>9.4320000000000004</v>
      </c>
      <c r="BY34" s="210">
        <f t="shared" si="1"/>
        <v>9.4320000000000004</v>
      </c>
      <c r="BZ34" s="210">
        <f>IF(L34="BR",'Impostos e Frete'!$F$6,IF(L34="EU",'Impostos e Frete'!$I$3,IF(L34="CN",'Impostos e Frete'!$I$4,IF(L34="JP",'Impostos e Frete'!$I$5,IF(L34="RU",'Impostos e Frete'!$I$7,"ERRO")))))</f>
        <v>0</v>
      </c>
      <c r="CA34" s="210">
        <f>VLOOKUP(L34,'Impostos e Frete'!$A$3:$B$7,2,0)*'Preços e Condições'!BY34</f>
        <v>0</v>
      </c>
      <c r="CB34" s="147">
        <f t="shared" si="2"/>
        <v>0</v>
      </c>
      <c r="CC34" s="147">
        <f>IF(X34="BRL",'Impostos e Frete'!$B$11,'Impostos e Frete'!$B$12)</f>
        <v>0.2</v>
      </c>
      <c r="CD34" s="211">
        <f t="shared" si="3"/>
        <v>9.6319999999999997</v>
      </c>
      <c r="CE34" s="212">
        <f t="shared" si="4"/>
        <v>0.38528000000000001</v>
      </c>
      <c r="CF34" s="213">
        <f>VLOOKUP(L34,'Impostos e Frete'!$A$3:$C$7,3,0)</f>
        <v>45</v>
      </c>
      <c r="CG34" s="213">
        <f t="shared" si="5"/>
        <v>0</v>
      </c>
      <c r="CH34" s="213">
        <f t="shared" si="6"/>
        <v>-45</v>
      </c>
      <c r="CI34" s="214">
        <f t="shared" si="7"/>
        <v>0.21753067959362049</v>
      </c>
      <c r="CJ34" s="215">
        <f t="shared" si="8"/>
        <v>9.8495306795936202</v>
      </c>
      <c r="CK34" s="216">
        <f t="shared" si="9"/>
        <v>0.39398122718374479</v>
      </c>
    </row>
    <row r="35" spans="1:92">
      <c r="A35" s="176">
        <v>10932</v>
      </c>
      <c r="B35" s="177">
        <v>399</v>
      </c>
      <c r="C35" s="178">
        <v>68</v>
      </c>
      <c r="D35" s="178">
        <v>1870</v>
      </c>
      <c r="E35" s="178" t="s">
        <v>50</v>
      </c>
      <c r="F35" s="179" t="s">
        <v>67</v>
      </c>
      <c r="G35" s="180" t="s">
        <v>145</v>
      </c>
      <c r="H35" s="178" t="s">
        <v>42</v>
      </c>
      <c r="I35" s="178"/>
      <c r="J35" s="178"/>
      <c r="K35" s="178"/>
      <c r="L35" s="178" t="s">
        <v>59</v>
      </c>
      <c r="M35" s="178">
        <v>90</v>
      </c>
      <c r="N35" s="178"/>
      <c r="O35" s="178"/>
      <c r="P35" s="178"/>
      <c r="Q35" s="178"/>
      <c r="R35" s="178" t="s">
        <v>19</v>
      </c>
      <c r="S35" s="181"/>
      <c r="T35" s="181"/>
      <c r="U35" s="182"/>
      <c r="V35" s="182" t="s">
        <v>35</v>
      </c>
      <c r="W35" s="183">
        <v>50</v>
      </c>
      <c r="X35" s="182" t="s">
        <v>51</v>
      </c>
      <c r="Y35" s="184">
        <v>2450</v>
      </c>
      <c r="Z35" s="184">
        <v>2450</v>
      </c>
      <c r="AA35" s="184">
        <v>2450</v>
      </c>
      <c r="AB35" s="184">
        <v>2400</v>
      </c>
      <c r="AC35" s="184">
        <v>2400</v>
      </c>
      <c r="AD35" s="184">
        <v>2400</v>
      </c>
      <c r="AE35" s="184">
        <v>2250</v>
      </c>
      <c r="AF35" s="184">
        <v>2250</v>
      </c>
      <c r="AG35" s="184">
        <v>2250</v>
      </c>
      <c r="AH35" s="184">
        <v>2150</v>
      </c>
      <c r="AI35" s="184">
        <v>2150</v>
      </c>
      <c r="AJ35" s="184">
        <v>2150</v>
      </c>
      <c r="AK35" s="184">
        <v>2150</v>
      </c>
      <c r="AL35" s="184">
        <v>2200</v>
      </c>
      <c r="AM35" s="184">
        <v>2200</v>
      </c>
      <c r="AN35" s="184">
        <v>2300</v>
      </c>
      <c r="AO35" s="184">
        <v>2300</v>
      </c>
      <c r="AP35" s="184">
        <v>2300</v>
      </c>
      <c r="AQ35" s="184">
        <v>2450</v>
      </c>
      <c r="AR35" s="184">
        <v>2450</v>
      </c>
      <c r="AS35" s="184">
        <v>2450</v>
      </c>
      <c r="AT35" s="184"/>
      <c r="AU35" s="184"/>
      <c r="AV35" s="184"/>
      <c r="AW35" s="184"/>
      <c r="AX35" s="184"/>
      <c r="AY35" s="184"/>
      <c r="AZ35" s="184"/>
      <c r="BA35" s="184"/>
      <c r="BB35" s="184"/>
      <c r="BC35" s="184"/>
      <c r="BD35" s="184"/>
      <c r="BE35" s="184"/>
      <c r="BF35" s="184"/>
      <c r="BG35" s="184"/>
      <c r="BH35" s="184"/>
      <c r="BI35" s="184"/>
      <c r="BJ35" s="184"/>
      <c r="BK35" s="184"/>
      <c r="BL35" s="184"/>
      <c r="BM35" s="184"/>
      <c r="BN35" s="184"/>
      <c r="BO35" s="184"/>
      <c r="BP35" s="184"/>
      <c r="BQ35" s="184"/>
      <c r="BR35" s="184"/>
      <c r="BS35" s="184"/>
      <c r="BT35" s="184"/>
      <c r="BU35" s="146" cm="1">
        <f t="array" ref="BU35">LOOKUP(2,1/(Y35:BT35&lt;&gt;""),Y35:BH35)</f>
        <v>2450</v>
      </c>
      <c r="BV35" s="145" cm="1">
        <f t="array" aca="1" ref="BV35" ca="1">_xlfn.LET(
    _xlpm.last_col_idx, LOOKUP(2, 1/(Y35:BT35&lt;&gt;""), COLUMN(Y35:BT35) - COLUMN(Y35) + 1),
    _xlpm.header_val, INDEX($Y$3:$BT$3, 1, _xlpm.last_col_idx),
    _xlpm.header_date, IF(ISNUMBER(_xlpm.header_val), _xlpm.header_val, DATEVALUE(_xlpm.header_val)),
    IF(_xlpm.header_date &gt; TODAY(), TODAY(), _xlpm.header_date)
)</f>
        <v>45536</v>
      </c>
      <c r="BW35" s="209" t="e" cm="1">
        <f t="array" ref="BW35">(LOOKUP(2,1/(BH35:BT35&lt;&gt;""),BH35:BT35))/(INDEX(BH35:BT35,MATCH(TRUE,INDEX((BH35:BT35&lt;&gt;0),0),0)))-1</f>
        <v>#N/A</v>
      </c>
      <c r="BX35" s="210">
        <f t="shared" si="0"/>
        <v>2.4500000000000002</v>
      </c>
      <c r="BY35" s="210">
        <f t="shared" si="1"/>
        <v>14.455000000000002</v>
      </c>
      <c r="BZ35" s="210">
        <f ca="1">IF(L35="BR",'Impostos e Frete'!$F$6,IF(L35="EU",'Impostos e Frete'!$I$3,IF(L35="CN",'Impostos e Frete'!$I$4,IF(L35="JP",'Impostos e Frete'!$I$5,IF(L35="RU",'Impostos e Frete'!$I$7,"ERRO")))))</f>
        <v>0.1410816</v>
      </c>
      <c r="CA35" s="210">
        <f>VLOOKUP(L35,'Impostos e Frete'!$A$3:$B$7,2,0)*'Preços e Condições'!BY35</f>
        <v>1.8791500000000003</v>
      </c>
      <c r="CB35" s="147">
        <f t="shared" si="2"/>
        <v>0</v>
      </c>
      <c r="CC35" s="147">
        <f>IF(X35="BRL",'Impostos e Frete'!$B$11,'Impostos e Frete'!$B$12)</f>
        <v>9.1999999999999998E-2</v>
      </c>
      <c r="CD35" s="211">
        <f t="shared" ca="1" si="3"/>
        <v>16.5672316</v>
      </c>
      <c r="CE35" s="212">
        <f t="shared" ca="1" si="4"/>
        <v>1.1265717488</v>
      </c>
      <c r="CF35" s="213">
        <f>VLOOKUP(L35,'Impostos e Frete'!$A$3:$C$7,3,0)</f>
        <v>105</v>
      </c>
      <c r="CG35" s="213">
        <f t="shared" si="5"/>
        <v>90</v>
      </c>
      <c r="CH35" s="213">
        <f t="shared" si="6"/>
        <v>-15</v>
      </c>
      <c r="CI35" s="214">
        <f t="shared" ca="1" si="7"/>
        <v>0.12379174583949748</v>
      </c>
      <c r="CJ35" s="215">
        <f t="shared" ca="1" si="8"/>
        <v>16.691023345839497</v>
      </c>
      <c r="CK35" s="216">
        <f t="shared" ca="1" si="9"/>
        <v>1.1349895875170859</v>
      </c>
      <c r="CL35" s="187"/>
      <c r="CM35" s="187"/>
      <c r="CN35" s="187"/>
    </row>
    <row r="36" spans="1:92">
      <c r="A36" s="176">
        <v>10932</v>
      </c>
      <c r="B36" s="177">
        <v>399</v>
      </c>
      <c r="C36" s="178">
        <v>68</v>
      </c>
      <c r="D36" s="178">
        <v>1870</v>
      </c>
      <c r="E36" s="178" t="s">
        <v>50</v>
      </c>
      <c r="F36" s="179" t="s">
        <v>67</v>
      </c>
      <c r="G36" s="180" t="s">
        <v>145</v>
      </c>
      <c r="H36" s="178" t="s">
        <v>42</v>
      </c>
      <c r="I36" s="178"/>
      <c r="J36" s="178"/>
      <c r="K36" s="178"/>
      <c r="L36" s="178" t="s">
        <v>59</v>
      </c>
      <c r="M36" s="178">
        <v>90</v>
      </c>
      <c r="N36" s="178"/>
      <c r="O36" s="178"/>
      <c r="P36" s="178"/>
      <c r="Q36" s="178"/>
      <c r="R36" s="178" t="s">
        <v>19</v>
      </c>
      <c r="S36" s="181"/>
      <c r="T36" s="181"/>
      <c r="U36" s="182"/>
      <c r="V36" s="182" t="s">
        <v>35</v>
      </c>
      <c r="W36" s="183">
        <v>100</v>
      </c>
      <c r="X36" s="182" t="s">
        <v>51</v>
      </c>
      <c r="Y36" s="184">
        <v>2370</v>
      </c>
      <c r="Z36" s="184">
        <v>2370</v>
      </c>
      <c r="AA36" s="184">
        <v>2370</v>
      </c>
      <c r="AB36" s="184">
        <v>2320</v>
      </c>
      <c r="AC36" s="184">
        <v>2320</v>
      </c>
      <c r="AD36" s="184">
        <v>2320</v>
      </c>
      <c r="AE36" s="184">
        <v>2170</v>
      </c>
      <c r="AF36" s="184">
        <v>2170</v>
      </c>
      <c r="AG36" s="184">
        <v>2170</v>
      </c>
      <c r="AH36" s="184">
        <v>2070</v>
      </c>
      <c r="AI36" s="184">
        <v>2070</v>
      </c>
      <c r="AJ36" s="184">
        <v>2070</v>
      </c>
      <c r="AK36" s="184">
        <v>2070</v>
      </c>
      <c r="AL36" s="184">
        <v>2120</v>
      </c>
      <c r="AM36" s="184">
        <v>2120</v>
      </c>
      <c r="AN36" s="184">
        <v>2220</v>
      </c>
      <c r="AO36" s="184">
        <v>2220</v>
      </c>
      <c r="AP36" s="184">
        <v>2220</v>
      </c>
      <c r="AQ36" s="184">
        <v>2370</v>
      </c>
      <c r="AR36" s="184">
        <v>2370</v>
      </c>
      <c r="AS36" s="184">
        <v>2370</v>
      </c>
      <c r="AT36" s="184"/>
      <c r="AU36" s="184"/>
      <c r="AV36" s="184"/>
      <c r="AW36" s="184"/>
      <c r="AX36" s="184"/>
      <c r="AY36" s="184"/>
      <c r="AZ36" s="184"/>
      <c r="BA36" s="184"/>
      <c r="BB36" s="184"/>
      <c r="BC36" s="184"/>
      <c r="BD36" s="184"/>
      <c r="BE36" s="184"/>
      <c r="BF36" s="184"/>
      <c r="BG36" s="184"/>
      <c r="BH36" s="184"/>
      <c r="BI36" s="184"/>
      <c r="BJ36" s="184"/>
      <c r="BK36" s="184"/>
      <c r="BL36" s="184"/>
      <c r="BM36" s="184"/>
      <c r="BN36" s="184"/>
      <c r="BO36" s="184"/>
      <c r="BP36" s="184"/>
      <c r="BQ36" s="184"/>
      <c r="BR36" s="184"/>
      <c r="BS36" s="184"/>
      <c r="BT36" s="184"/>
      <c r="BU36" s="146" cm="1">
        <f t="array" ref="BU36">LOOKUP(2,1/(Y36:BT36&lt;&gt;""),Y36:BH36)</f>
        <v>2370</v>
      </c>
      <c r="BV36" s="145" cm="1">
        <f t="array" aca="1" ref="BV36" ca="1">_xlfn.LET(
    _xlpm.last_col_idx, LOOKUP(2, 1/(Y36:BT36&lt;&gt;""), COLUMN(Y36:BT36) - COLUMN(Y36) + 1),
    _xlpm.header_val, INDEX($Y$3:$BT$3, 1, _xlpm.last_col_idx),
    _xlpm.header_date, IF(ISNUMBER(_xlpm.header_val), _xlpm.header_val, DATEVALUE(_xlpm.header_val)),
    IF(_xlpm.header_date &gt; TODAY(), TODAY(), _xlpm.header_date)
)</f>
        <v>45536</v>
      </c>
      <c r="BW36" s="209" t="e" cm="1">
        <f t="array" ref="BW36">(LOOKUP(2,1/(BH36:BT36&lt;&gt;""),BH36:BT36))/(INDEX(BH36:BT36,MATCH(TRUE,INDEX((BH36:BT36&lt;&gt;0),0),0)))-1</f>
        <v>#N/A</v>
      </c>
      <c r="BX36" s="210">
        <f t="shared" si="0"/>
        <v>2.37</v>
      </c>
      <c r="BY36" s="210">
        <f t="shared" si="1"/>
        <v>13.983000000000002</v>
      </c>
      <c r="BZ36" s="210">
        <f ca="1">IF(L36="BR",'Impostos e Frete'!$F$6,IF(L36="EU",'Impostos e Frete'!$I$3,IF(L36="CN",'Impostos e Frete'!$I$4,IF(L36="JP",'Impostos e Frete'!$I$5,IF(L36="RU",'Impostos e Frete'!$I$7,"ERRO")))))</f>
        <v>0.1410816</v>
      </c>
      <c r="CA36" s="210">
        <f>VLOOKUP(L36,'Impostos e Frete'!$A$3:$B$7,2,0)*'Preços e Condições'!BY36</f>
        <v>1.8177900000000005</v>
      </c>
      <c r="CB36" s="147">
        <f t="shared" si="2"/>
        <v>0</v>
      </c>
      <c r="CC36" s="147">
        <f>IF(X36="BRL",'Impostos e Frete'!$B$11,'Impostos e Frete'!$B$12)</f>
        <v>9.1999999999999998E-2</v>
      </c>
      <c r="CD36" s="211">
        <f t="shared" ca="1" si="3"/>
        <v>16.033871600000001</v>
      </c>
      <c r="CE36" s="212">
        <f t="shared" ca="1" si="4"/>
        <v>1.0903032688000003</v>
      </c>
      <c r="CF36" s="213">
        <f>VLOOKUP(L36,'Impostos e Frete'!$A$3:$C$7,3,0)</f>
        <v>105</v>
      </c>
      <c r="CG36" s="213">
        <f t="shared" si="5"/>
        <v>90</v>
      </c>
      <c r="CH36" s="213">
        <f t="shared" si="6"/>
        <v>-15</v>
      </c>
      <c r="CI36" s="214">
        <f t="shared" ca="1" si="7"/>
        <v>0.11980643512766065</v>
      </c>
      <c r="CJ36" s="215">
        <f t="shared" ca="1" si="8"/>
        <v>16.153678035127662</v>
      </c>
      <c r="CK36" s="216">
        <f t="shared" ca="1" si="9"/>
        <v>1.0984501063886811</v>
      </c>
      <c r="CL36" s="187"/>
      <c r="CM36" s="187"/>
      <c r="CN36" s="187"/>
    </row>
    <row r="37" spans="1:92">
      <c r="A37" s="176">
        <v>10937</v>
      </c>
      <c r="B37" s="177" t="s">
        <v>303</v>
      </c>
      <c r="C37" s="178">
        <v>40</v>
      </c>
      <c r="D37" s="178">
        <v>1900</v>
      </c>
      <c r="E37" s="178" t="s">
        <v>209</v>
      </c>
      <c r="F37" s="179" t="s">
        <v>151</v>
      </c>
      <c r="G37" s="189" t="s">
        <v>75</v>
      </c>
      <c r="H37" s="178" t="s">
        <v>43</v>
      </c>
      <c r="I37" s="178"/>
      <c r="J37" s="178"/>
      <c r="K37" s="178"/>
      <c r="L37" s="178" t="s">
        <v>58</v>
      </c>
      <c r="M37" s="178">
        <v>30</v>
      </c>
      <c r="N37" s="178"/>
      <c r="O37" s="178"/>
      <c r="P37" s="178"/>
      <c r="Q37" s="178"/>
      <c r="R37" s="178" t="s">
        <v>19</v>
      </c>
      <c r="S37" s="181"/>
      <c r="T37" s="181"/>
      <c r="U37" s="182"/>
      <c r="V37" s="182" t="s">
        <v>35</v>
      </c>
      <c r="W37" s="183"/>
      <c r="X37" s="182" t="s">
        <v>46</v>
      </c>
      <c r="Y37" s="184"/>
      <c r="Z37" s="184"/>
      <c r="AA37" s="184"/>
      <c r="AB37" s="184"/>
      <c r="AC37" s="184"/>
      <c r="AD37" s="184"/>
      <c r="AE37" s="184"/>
      <c r="AF37" s="184"/>
      <c r="AG37" s="184"/>
      <c r="AH37" s="184"/>
      <c r="AI37" s="184"/>
      <c r="AJ37" s="184"/>
      <c r="AK37" s="184"/>
      <c r="AL37" s="184"/>
      <c r="AM37" s="184"/>
      <c r="AN37" s="184"/>
      <c r="AO37" s="184"/>
      <c r="AP37" s="184"/>
      <c r="AQ37" s="184"/>
      <c r="AR37" s="184"/>
      <c r="AS37" s="184"/>
      <c r="AT37" s="184"/>
      <c r="AU37" s="184"/>
      <c r="AV37" s="184"/>
      <c r="AW37" s="184"/>
      <c r="AX37" s="184"/>
      <c r="AY37" s="184"/>
      <c r="AZ37" s="184"/>
      <c r="BA37" s="184"/>
      <c r="BB37" s="184">
        <v>8864.4599999999991</v>
      </c>
      <c r="BC37" s="184"/>
      <c r="BD37" s="184"/>
      <c r="BE37" s="184"/>
      <c r="BF37" s="184"/>
      <c r="BG37" s="184"/>
      <c r="BH37" s="184"/>
      <c r="BI37" s="184"/>
      <c r="BJ37" s="184"/>
      <c r="BK37" s="184"/>
      <c r="BL37" s="184"/>
      <c r="BM37" s="184"/>
      <c r="BN37" s="184"/>
      <c r="BO37" s="184"/>
      <c r="BP37" s="184"/>
      <c r="BQ37" s="184"/>
      <c r="BR37" s="184"/>
      <c r="BS37" s="184"/>
      <c r="BT37" s="184"/>
      <c r="BU37" s="146" cm="1">
        <f t="array" ref="BU37">LOOKUP(2,1/(Y37:BT37&lt;&gt;""),Y37:BH37)</f>
        <v>8864.4599999999991</v>
      </c>
      <c r="BV37" s="145" cm="1">
        <f t="array" aca="1" ref="BV37" ca="1">_xlfn.LET(
    _xlpm.last_col_idx, LOOKUP(2, 1/(Y37:BT37&lt;&gt;""), COLUMN(Y37:BT37) - COLUMN(Y37) + 1),
    _xlpm.header_val, INDEX($Y$3:$BT$3, 1, _xlpm.last_col_idx),
    _xlpm.header_date, IF(ISNUMBER(_xlpm.header_val), _xlpm.header_val, DATEVALUE(_xlpm.header_val)),
    IF(_xlpm.header_date &gt; TODAY(), TODAY(), _xlpm.header_date)
)</f>
        <v>45809</v>
      </c>
      <c r="BW37" s="209" t="e" cm="1">
        <f t="array" ref="BW37">(LOOKUP(2,1/(BH37:BT37&lt;&gt;""),BH37:BT37))/(INDEX(BH37:BT37,MATCH(TRUE,INDEX((BH37:BT37&lt;&gt;0),0),0)))-1</f>
        <v>#N/A</v>
      </c>
      <c r="BX37" s="210">
        <f t="shared" si="0"/>
        <v>8.8644599999999993</v>
      </c>
      <c r="BY37" s="210">
        <f t="shared" si="1"/>
        <v>8.8644599999999993</v>
      </c>
      <c r="BZ37" s="210">
        <f>IF(L37="BR",'Impostos e Frete'!$F$6,IF(L37="EU",'Impostos e Frete'!$I$3,IF(L37="CN",'Impostos e Frete'!$I$4,IF(L37="JP",'Impostos e Frete'!$I$5,IF(L37="RU",'Impostos e Frete'!$I$7,"ERRO")))))</f>
        <v>0</v>
      </c>
      <c r="CA37" s="210">
        <f>VLOOKUP(L37,'Impostos e Frete'!$A$3:$B$7,2,0)*'Preços e Condições'!BY37</f>
        <v>0</v>
      </c>
      <c r="CB37" s="147">
        <f t="shared" si="2"/>
        <v>0</v>
      </c>
      <c r="CC37" s="147">
        <f>IF(X37="BRL",'Impostos e Frete'!$B$11,'Impostos e Frete'!$B$12)</f>
        <v>0.2</v>
      </c>
      <c r="CD37" s="211">
        <f t="shared" si="3"/>
        <v>9.0644599999999986</v>
      </c>
      <c r="CE37" s="212">
        <f t="shared" si="4"/>
        <v>0.36257839999999991</v>
      </c>
      <c r="CF37" s="213">
        <f>VLOOKUP(L37,'Impostos e Frete'!$A$3:$C$7,3,0)</f>
        <v>45</v>
      </c>
      <c r="CG37" s="213">
        <f t="shared" si="5"/>
        <v>30</v>
      </c>
      <c r="CH37" s="213">
        <f t="shared" si="6"/>
        <v>-15</v>
      </c>
      <c r="CI37" s="214">
        <f t="shared" si="7"/>
        <v>6.773040635783012E-2</v>
      </c>
      <c r="CJ37" s="215">
        <f t="shared" si="8"/>
        <v>9.1321904063578287</v>
      </c>
      <c r="CK37" s="216">
        <f t="shared" si="9"/>
        <v>0.36528761625431316</v>
      </c>
    </row>
    <row r="38" spans="1:92">
      <c r="A38" s="176">
        <v>10945</v>
      </c>
      <c r="B38" s="177">
        <v>932</v>
      </c>
      <c r="C38" s="178">
        <v>80</v>
      </c>
      <c r="D38" s="178">
        <v>1855</v>
      </c>
      <c r="E38" s="178" t="s">
        <v>49</v>
      </c>
      <c r="F38" s="179" t="s">
        <v>67</v>
      </c>
      <c r="G38" s="180" t="s">
        <v>69</v>
      </c>
      <c r="H38" s="178" t="s">
        <v>42</v>
      </c>
      <c r="I38" s="178" t="s">
        <v>68</v>
      </c>
      <c r="J38" s="178"/>
      <c r="K38" s="178"/>
      <c r="L38" s="178" t="s">
        <v>59</v>
      </c>
      <c r="M38" s="178">
        <v>90</v>
      </c>
      <c r="N38" s="178"/>
      <c r="O38" s="178"/>
      <c r="P38" s="178"/>
      <c r="Q38" s="178"/>
      <c r="R38" s="178" t="s">
        <v>19</v>
      </c>
      <c r="S38" s="181"/>
      <c r="T38" s="181"/>
      <c r="U38" s="182"/>
      <c r="V38" s="182" t="s">
        <v>35</v>
      </c>
      <c r="W38" s="183">
        <v>25</v>
      </c>
      <c r="X38" s="182" t="s">
        <v>51</v>
      </c>
      <c r="Y38" s="184">
        <v>3100</v>
      </c>
      <c r="Z38" s="184">
        <v>3100</v>
      </c>
      <c r="AA38" s="184">
        <v>3100</v>
      </c>
      <c r="AB38" s="184">
        <v>2850</v>
      </c>
      <c r="AC38" s="184">
        <v>2850</v>
      </c>
      <c r="AD38" s="184">
        <v>2850</v>
      </c>
      <c r="AE38" s="184">
        <v>2700</v>
      </c>
      <c r="AF38" s="184">
        <v>2700</v>
      </c>
      <c r="AG38" s="184">
        <v>2700</v>
      </c>
      <c r="AH38" s="184">
        <v>2600</v>
      </c>
      <c r="AI38" s="184">
        <v>2600</v>
      </c>
      <c r="AJ38" s="184">
        <v>2600</v>
      </c>
      <c r="AK38" s="184">
        <v>2600</v>
      </c>
      <c r="AL38" s="184">
        <v>2650</v>
      </c>
      <c r="AM38" s="184">
        <v>2650</v>
      </c>
      <c r="AN38" s="184">
        <v>2750</v>
      </c>
      <c r="AO38" s="184">
        <v>2750</v>
      </c>
      <c r="AP38" s="184">
        <v>2750</v>
      </c>
      <c r="AQ38" s="184">
        <v>2900</v>
      </c>
      <c r="AR38" s="184">
        <v>2900</v>
      </c>
      <c r="AS38" s="184">
        <v>2900</v>
      </c>
      <c r="AT38" s="184"/>
      <c r="AU38" s="184"/>
      <c r="AV38" s="184"/>
      <c r="AW38" s="184"/>
      <c r="AX38" s="184"/>
      <c r="AY38" s="184"/>
      <c r="AZ38" s="184"/>
      <c r="BA38" s="184"/>
      <c r="BB38" s="184"/>
      <c r="BC38" s="184"/>
      <c r="BD38" s="184"/>
      <c r="BE38" s="184"/>
      <c r="BF38" s="184"/>
      <c r="BG38" s="184"/>
      <c r="BH38" s="184"/>
      <c r="BI38" s="184"/>
      <c r="BJ38" s="184"/>
      <c r="BK38" s="184"/>
      <c r="BL38" s="184"/>
      <c r="BM38" s="184"/>
      <c r="BN38" s="184"/>
      <c r="BO38" s="184"/>
      <c r="BP38" s="184"/>
      <c r="BQ38" s="184"/>
      <c r="BR38" s="184"/>
      <c r="BS38" s="184"/>
      <c r="BT38" s="184"/>
      <c r="BU38" s="146" cm="1">
        <f t="array" ref="BU38">LOOKUP(2,1/(Y38:BT38&lt;&gt;""),Y38:BH38)</f>
        <v>2900</v>
      </c>
      <c r="BV38" s="145" cm="1">
        <f t="array" aca="1" ref="BV38" ca="1">_xlfn.LET(
    _xlpm.last_col_idx, LOOKUP(2, 1/(Y38:BT38&lt;&gt;""), COLUMN(Y38:BT38) - COLUMN(Y38) + 1),
    _xlpm.header_val, INDEX($Y$3:$BT$3, 1, _xlpm.last_col_idx),
    _xlpm.header_date, IF(ISNUMBER(_xlpm.header_val), _xlpm.header_val, DATEVALUE(_xlpm.header_val)),
    IF(_xlpm.header_date &gt; TODAY(), TODAY(), _xlpm.header_date)
)</f>
        <v>45536</v>
      </c>
      <c r="BW38" s="209" t="e" cm="1">
        <f t="array" ref="BW38">(LOOKUP(2,1/(BH38:BT38&lt;&gt;""),BH38:BT38))/(INDEX(BH38:BT38,MATCH(TRUE,INDEX((BH38:BT38&lt;&gt;0),0),0)))-1</f>
        <v>#N/A</v>
      </c>
      <c r="BX38" s="210">
        <f t="shared" si="0"/>
        <v>2.9</v>
      </c>
      <c r="BY38" s="210">
        <f t="shared" si="1"/>
        <v>17.11</v>
      </c>
      <c r="BZ38" s="210">
        <f ca="1">IF(L38="BR",'Impostos e Frete'!$F$6,IF(L38="EU",'Impostos e Frete'!$I$3,IF(L38="CN",'Impostos e Frete'!$I$4,IF(L38="JP",'Impostos e Frete'!$I$5,IF(L38="RU",'Impostos e Frete'!$I$7,"ERRO")))))</f>
        <v>0.1410816</v>
      </c>
      <c r="CA38" s="210">
        <f>VLOOKUP(L38,'Impostos e Frete'!$A$3:$B$7,2,0)*'Preços e Condições'!BY38</f>
        <v>2.2242999999999999</v>
      </c>
      <c r="CB38" s="147">
        <f t="shared" si="2"/>
        <v>0</v>
      </c>
      <c r="CC38" s="147">
        <f>IF(X38="BRL",'Impostos e Frete'!$B$11,'Impostos e Frete'!$B$12)</f>
        <v>9.1999999999999998E-2</v>
      </c>
      <c r="CD38" s="211">
        <f t="shared" ca="1" si="3"/>
        <v>19.567381599999997</v>
      </c>
      <c r="CE38" s="212">
        <f t="shared" ca="1" si="4"/>
        <v>1.5653905279999996</v>
      </c>
      <c r="CF38" s="213">
        <f>VLOOKUP(L38,'Impostos e Frete'!$A$3:$C$7,3,0)</f>
        <v>105</v>
      </c>
      <c r="CG38" s="213">
        <f t="shared" si="5"/>
        <v>90</v>
      </c>
      <c r="CH38" s="213">
        <f t="shared" si="6"/>
        <v>-15</v>
      </c>
      <c r="CI38" s="214">
        <f t="shared" ca="1" si="7"/>
        <v>0.14620911859357832</v>
      </c>
      <c r="CJ38" s="215">
        <f t="shared" ca="1" si="8"/>
        <v>19.713590718593576</v>
      </c>
      <c r="CK38" s="216">
        <f t="shared" ca="1" si="9"/>
        <v>1.5770872574874861</v>
      </c>
    </row>
    <row r="39" spans="1:92">
      <c r="A39" s="176">
        <v>10945</v>
      </c>
      <c r="B39" s="177">
        <v>932</v>
      </c>
      <c r="C39" s="178">
        <v>80</v>
      </c>
      <c r="D39" s="178">
        <v>1855</v>
      </c>
      <c r="E39" s="178" t="s">
        <v>49</v>
      </c>
      <c r="F39" s="179" t="s">
        <v>67</v>
      </c>
      <c r="G39" s="180" t="s">
        <v>69</v>
      </c>
      <c r="H39" s="178" t="s">
        <v>42</v>
      </c>
      <c r="I39" s="178" t="s">
        <v>68</v>
      </c>
      <c r="J39" s="178"/>
      <c r="K39" s="178"/>
      <c r="L39" s="178" t="s">
        <v>59</v>
      </c>
      <c r="M39" s="178">
        <v>90</v>
      </c>
      <c r="N39" s="178"/>
      <c r="O39" s="178"/>
      <c r="P39" s="178"/>
      <c r="Q39" s="178"/>
      <c r="R39" s="178" t="s">
        <v>19</v>
      </c>
      <c r="S39" s="181"/>
      <c r="T39" s="181"/>
      <c r="U39" s="182"/>
      <c r="V39" s="182" t="s">
        <v>35</v>
      </c>
      <c r="W39" s="183">
        <v>15</v>
      </c>
      <c r="X39" s="182" t="s">
        <v>51</v>
      </c>
      <c r="Y39" s="184">
        <v>3850</v>
      </c>
      <c r="Z39" s="184">
        <v>3850</v>
      </c>
      <c r="AA39" s="184">
        <v>3850</v>
      </c>
      <c r="AB39" s="184">
        <v>3700</v>
      </c>
      <c r="AC39" s="184">
        <v>3700</v>
      </c>
      <c r="AD39" s="184">
        <v>3700</v>
      </c>
      <c r="AE39" s="184">
        <v>3550</v>
      </c>
      <c r="AF39" s="184">
        <v>3550</v>
      </c>
      <c r="AG39" s="184">
        <v>3550</v>
      </c>
      <c r="AH39" s="184">
        <v>3450</v>
      </c>
      <c r="AI39" s="184">
        <v>3450</v>
      </c>
      <c r="AJ39" s="184">
        <v>3450</v>
      </c>
      <c r="AK39" s="184">
        <v>3450</v>
      </c>
      <c r="AL39" s="184">
        <v>3500</v>
      </c>
      <c r="AM39" s="184">
        <v>3500</v>
      </c>
      <c r="AN39" s="184">
        <v>3600</v>
      </c>
      <c r="AO39" s="184">
        <v>3600</v>
      </c>
      <c r="AP39" s="184">
        <v>3600</v>
      </c>
      <c r="AQ39" s="184">
        <v>3750</v>
      </c>
      <c r="AR39" s="184">
        <v>3750</v>
      </c>
      <c r="AS39" s="184">
        <v>3750</v>
      </c>
      <c r="AT39" s="184"/>
      <c r="AU39" s="184"/>
      <c r="AV39" s="184"/>
      <c r="AW39" s="184"/>
      <c r="AX39" s="184"/>
      <c r="AY39" s="184"/>
      <c r="AZ39" s="184"/>
      <c r="BA39" s="184"/>
      <c r="BB39" s="184"/>
      <c r="BC39" s="184"/>
      <c r="BD39" s="184"/>
      <c r="BE39" s="184"/>
      <c r="BF39" s="184"/>
      <c r="BG39" s="184"/>
      <c r="BH39" s="184"/>
      <c r="BI39" s="184"/>
      <c r="BJ39" s="184"/>
      <c r="BK39" s="184"/>
      <c r="BL39" s="184"/>
      <c r="BM39" s="184"/>
      <c r="BN39" s="184"/>
      <c r="BO39" s="184"/>
      <c r="BP39" s="184"/>
      <c r="BQ39" s="184"/>
      <c r="BR39" s="184"/>
      <c r="BS39" s="184"/>
      <c r="BT39" s="184"/>
      <c r="BU39" s="146" cm="1">
        <f t="array" ref="BU39">LOOKUP(2,1/(Y39:BT39&lt;&gt;""),Y39:BH39)</f>
        <v>3750</v>
      </c>
      <c r="BV39" s="145" cm="1">
        <f t="array" aca="1" ref="BV39" ca="1">_xlfn.LET(
    _xlpm.last_col_idx, LOOKUP(2, 1/(Y39:BT39&lt;&gt;""), COLUMN(Y39:BT39) - COLUMN(Y39) + 1),
    _xlpm.header_val, INDEX($Y$3:$BT$3, 1, _xlpm.last_col_idx),
    _xlpm.header_date, IF(ISNUMBER(_xlpm.header_val), _xlpm.header_val, DATEVALUE(_xlpm.header_val)),
    IF(_xlpm.header_date &gt; TODAY(), TODAY(), _xlpm.header_date)
)</f>
        <v>45536</v>
      </c>
      <c r="BW39" s="209" t="e" cm="1">
        <f t="array" ref="BW39">(LOOKUP(2,1/(BH39:BT39&lt;&gt;""),BH39:BT39))/(INDEX(BH39:BT39,MATCH(TRUE,INDEX((BH39:BT39&lt;&gt;0),0),0)))-1</f>
        <v>#N/A</v>
      </c>
      <c r="BX39" s="210">
        <f t="shared" si="0"/>
        <v>3.75</v>
      </c>
      <c r="BY39" s="210">
        <f t="shared" si="1"/>
        <v>22.125</v>
      </c>
      <c r="BZ39" s="210">
        <f ca="1">IF(L39="BR",'Impostos e Frete'!$F$6,IF(L39="EU",'Impostos e Frete'!$I$3,IF(L39="CN",'Impostos e Frete'!$I$4,IF(L39="JP",'Impostos e Frete'!$I$5,IF(L39="RU",'Impostos e Frete'!$I$7,"ERRO")))))</f>
        <v>0.1410816</v>
      </c>
      <c r="CA39" s="210">
        <f>VLOOKUP(L39,'Impostos e Frete'!$A$3:$B$7,2,0)*'Preços e Condições'!BY39</f>
        <v>2.8762500000000002</v>
      </c>
      <c r="CB39" s="147">
        <f t="shared" si="2"/>
        <v>0</v>
      </c>
      <c r="CC39" s="147">
        <f>IF(X39="BRL",'Impostos e Frete'!$B$11,'Impostos e Frete'!$B$12)</f>
        <v>9.1999999999999998E-2</v>
      </c>
      <c r="CD39" s="211">
        <f t="shared" ca="1" si="3"/>
        <v>25.234331599999997</v>
      </c>
      <c r="CE39" s="212">
        <f t="shared" ca="1" si="4"/>
        <v>2.0187465279999999</v>
      </c>
      <c r="CF39" s="213">
        <f>VLOOKUP(L39,'Impostos e Frete'!$A$3:$C$7,3,0)</f>
        <v>105</v>
      </c>
      <c r="CG39" s="213">
        <f t="shared" si="5"/>
        <v>90</v>
      </c>
      <c r="CH39" s="213">
        <f t="shared" si="6"/>
        <v>-15</v>
      </c>
      <c r="CI39" s="214">
        <f t="shared" ca="1" si="7"/>
        <v>0.18855304490683977</v>
      </c>
      <c r="CJ39" s="215">
        <f t="shared" ca="1" si="8"/>
        <v>25.422884644906837</v>
      </c>
      <c r="CK39" s="216">
        <f t="shared" ca="1" si="9"/>
        <v>2.0338307715925468</v>
      </c>
    </row>
    <row r="40" spans="1:92">
      <c r="A40" s="176">
        <v>10945</v>
      </c>
      <c r="B40" s="177">
        <v>932</v>
      </c>
      <c r="C40" s="178">
        <v>80</v>
      </c>
      <c r="D40" s="178">
        <v>1855</v>
      </c>
      <c r="E40" s="178" t="s">
        <v>49</v>
      </c>
      <c r="F40" s="179" t="s">
        <v>67</v>
      </c>
      <c r="G40" s="180" t="s">
        <v>69</v>
      </c>
      <c r="H40" s="178" t="s">
        <v>42</v>
      </c>
      <c r="I40" s="178" t="s">
        <v>68</v>
      </c>
      <c r="J40" s="178"/>
      <c r="K40" s="178"/>
      <c r="L40" s="178" t="s">
        <v>59</v>
      </c>
      <c r="M40" s="178">
        <v>90</v>
      </c>
      <c r="N40" s="178"/>
      <c r="O40" s="178"/>
      <c r="P40" s="178"/>
      <c r="Q40" s="178"/>
      <c r="R40" s="178" t="s">
        <v>19</v>
      </c>
      <c r="S40" s="181"/>
      <c r="T40" s="181"/>
      <c r="U40" s="182"/>
      <c r="V40" s="182" t="s">
        <v>35</v>
      </c>
      <c r="W40" s="183">
        <v>50</v>
      </c>
      <c r="X40" s="182" t="s">
        <v>51</v>
      </c>
      <c r="Y40" s="184">
        <v>2750</v>
      </c>
      <c r="Z40" s="184">
        <v>2750</v>
      </c>
      <c r="AA40" s="184">
        <v>2750</v>
      </c>
      <c r="AB40" s="184">
        <v>2500</v>
      </c>
      <c r="AC40" s="184">
        <v>2500</v>
      </c>
      <c r="AD40" s="184">
        <v>2500</v>
      </c>
      <c r="AE40" s="184">
        <v>2350</v>
      </c>
      <c r="AF40" s="184">
        <v>2350</v>
      </c>
      <c r="AG40" s="184">
        <v>2350</v>
      </c>
      <c r="AH40" s="184">
        <v>2250</v>
      </c>
      <c r="AI40" s="184">
        <v>2250</v>
      </c>
      <c r="AJ40" s="184">
        <v>2250</v>
      </c>
      <c r="AK40" s="184">
        <v>2250</v>
      </c>
      <c r="AL40" s="184">
        <v>2300</v>
      </c>
      <c r="AM40" s="184">
        <v>2300</v>
      </c>
      <c r="AN40" s="184">
        <v>2400</v>
      </c>
      <c r="AO40" s="184">
        <v>2400</v>
      </c>
      <c r="AP40" s="184">
        <v>2400</v>
      </c>
      <c r="AQ40" s="184">
        <v>2550</v>
      </c>
      <c r="AR40" s="184">
        <v>2550</v>
      </c>
      <c r="AS40" s="184">
        <v>2550</v>
      </c>
      <c r="AT40" s="184"/>
      <c r="AU40" s="184"/>
      <c r="AV40" s="184"/>
      <c r="AW40" s="184"/>
      <c r="AX40" s="184"/>
      <c r="AY40" s="184"/>
      <c r="AZ40" s="184"/>
      <c r="BA40" s="184"/>
      <c r="BB40" s="184"/>
      <c r="BC40" s="184"/>
      <c r="BD40" s="184"/>
      <c r="BE40" s="184"/>
      <c r="BF40" s="184"/>
      <c r="BG40" s="184"/>
      <c r="BH40" s="184"/>
      <c r="BI40" s="184"/>
      <c r="BJ40" s="184"/>
      <c r="BK40" s="184"/>
      <c r="BL40" s="184"/>
      <c r="BM40" s="184"/>
      <c r="BN40" s="184"/>
      <c r="BO40" s="184"/>
      <c r="BP40" s="184"/>
      <c r="BQ40" s="184"/>
      <c r="BR40" s="184"/>
      <c r="BS40" s="184"/>
      <c r="BT40" s="184"/>
      <c r="BU40" s="146" cm="1">
        <f t="array" ref="BU40">LOOKUP(2,1/(Y40:BT40&lt;&gt;""),Y40:BH40)</f>
        <v>2550</v>
      </c>
      <c r="BV40" s="145" cm="1">
        <f t="array" aca="1" ref="BV40" ca="1">_xlfn.LET(
    _xlpm.last_col_idx, LOOKUP(2, 1/(Y40:BT40&lt;&gt;""), COLUMN(Y40:BT40) - COLUMN(Y40) + 1),
    _xlpm.header_val, INDEX($Y$3:$BT$3, 1, _xlpm.last_col_idx),
    _xlpm.header_date, IF(ISNUMBER(_xlpm.header_val), _xlpm.header_val, DATEVALUE(_xlpm.header_val)),
    IF(_xlpm.header_date &gt; TODAY(), TODAY(), _xlpm.header_date)
)</f>
        <v>45536</v>
      </c>
      <c r="BW40" s="209" t="e" cm="1">
        <f t="array" ref="BW40">(LOOKUP(2,1/(BH40:BT40&lt;&gt;""),BH40:BT40))/(INDEX(BH40:BT40,MATCH(TRUE,INDEX((BH40:BT40&lt;&gt;0),0),0)))-1</f>
        <v>#N/A</v>
      </c>
      <c r="BX40" s="210">
        <f t="shared" si="0"/>
        <v>2.5499999999999998</v>
      </c>
      <c r="BY40" s="210">
        <f t="shared" si="1"/>
        <v>15.045</v>
      </c>
      <c r="BZ40" s="210">
        <f ca="1">IF(L40="BR",'Impostos e Frete'!$F$6,IF(L40="EU",'Impostos e Frete'!$I$3,IF(L40="CN",'Impostos e Frete'!$I$4,IF(L40="JP",'Impostos e Frete'!$I$5,IF(L40="RU",'Impostos e Frete'!$I$7,"ERRO")))))</f>
        <v>0.1410816</v>
      </c>
      <c r="CA40" s="210">
        <f>VLOOKUP(L40,'Impostos e Frete'!$A$3:$B$7,2,0)*'Preços e Condições'!BY40</f>
        <v>1.9558500000000001</v>
      </c>
      <c r="CB40" s="147">
        <f t="shared" si="2"/>
        <v>0</v>
      </c>
      <c r="CC40" s="147">
        <f>IF(X40="BRL",'Impostos e Frete'!$B$11,'Impostos e Frete'!$B$12)</f>
        <v>9.1999999999999998E-2</v>
      </c>
      <c r="CD40" s="211">
        <f t="shared" ca="1" si="3"/>
        <v>17.233931599999998</v>
      </c>
      <c r="CE40" s="212">
        <f t="shared" ca="1" si="4"/>
        <v>1.3787145279999999</v>
      </c>
      <c r="CF40" s="213">
        <f>VLOOKUP(L40,'Impostos e Frete'!$A$3:$C$7,3,0)</f>
        <v>105</v>
      </c>
      <c r="CG40" s="213">
        <f t="shared" si="5"/>
        <v>90</v>
      </c>
      <c r="CH40" s="213">
        <f t="shared" si="6"/>
        <v>-15</v>
      </c>
      <c r="CI40" s="214">
        <f t="shared" ca="1" si="7"/>
        <v>0.12877338422929441</v>
      </c>
      <c r="CJ40" s="215">
        <f t="shared" ca="1" si="8"/>
        <v>17.362704984229293</v>
      </c>
      <c r="CK40" s="216">
        <f t="shared" ca="1" si="9"/>
        <v>1.3890163987383433</v>
      </c>
      <c r="CL40" s="187"/>
      <c r="CM40" s="187"/>
      <c r="CN40" s="187"/>
    </row>
    <row r="41" spans="1:92">
      <c r="A41" s="176">
        <v>10945</v>
      </c>
      <c r="B41" s="177">
        <v>932</v>
      </c>
      <c r="C41" s="178">
        <v>80</v>
      </c>
      <c r="D41" s="178">
        <v>1855</v>
      </c>
      <c r="E41" s="178" t="s">
        <v>49</v>
      </c>
      <c r="F41" s="179" t="s">
        <v>67</v>
      </c>
      <c r="G41" s="180" t="s">
        <v>69</v>
      </c>
      <c r="H41" s="178" t="s">
        <v>42</v>
      </c>
      <c r="I41" s="178" t="s">
        <v>68</v>
      </c>
      <c r="J41" s="178"/>
      <c r="K41" s="178"/>
      <c r="L41" s="178" t="s">
        <v>59</v>
      </c>
      <c r="M41" s="178">
        <v>90</v>
      </c>
      <c r="N41" s="178"/>
      <c r="O41" s="178"/>
      <c r="P41" s="178"/>
      <c r="Q41" s="178"/>
      <c r="R41" s="178" t="s">
        <v>19</v>
      </c>
      <c r="S41" s="181"/>
      <c r="T41" s="181"/>
      <c r="U41" s="182"/>
      <c r="V41" s="182" t="s">
        <v>35</v>
      </c>
      <c r="W41" s="183">
        <v>100</v>
      </c>
      <c r="X41" s="182" t="s">
        <v>51</v>
      </c>
      <c r="Y41" s="184">
        <v>2650</v>
      </c>
      <c r="Z41" s="184">
        <v>2650</v>
      </c>
      <c r="AA41" s="184">
        <v>2650</v>
      </c>
      <c r="AB41" s="184">
        <v>2400</v>
      </c>
      <c r="AC41" s="184">
        <v>2400</v>
      </c>
      <c r="AD41" s="184">
        <v>2400</v>
      </c>
      <c r="AE41" s="184">
        <v>2250</v>
      </c>
      <c r="AF41" s="184">
        <v>2250</v>
      </c>
      <c r="AG41" s="184">
        <v>2250</v>
      </c>
      <c r="AH41" s="184">
        <v>2150</v>
      </c>
      <c r="AI41" s="184">
        <v>2150</v>
      </c>
      <c r="AJ41" s="184">
        <v>2150</v>
      </c>
      <c r="AK41" s="184">
        <v>2150</v>
      </c>
      <c r="AL41" s="184">
        <v>2200</v>
      </c>
      <c r="AM41" s="184">
        <v>2200</v>
      </c>
      <c r="AN41" s="184">
        <v>2300</v>
      </c>
      <c r="AO41" s="184">
        <v>2300</v>
      </c>
      <c r="AP41" s="184">
        <v>2300</v>
      </c>
      <c r="AQ41" s="184">
        <v>2450</v>
      </c>
      <c r="AR41" s="184">
        <v>2450</v>
      </c>
      <c r="AS41" s="184">
        <v>2450</v>
      </c>
      <c r="AT41" s="184"/>
      <c r="AU41" s="184"/>
      <c r="AV41" s="184"/>
      <c r="AW41" s="184"/>
      <c r="AX41" s="184"/>
      <c r="AY41" s="184"/>
      <c r="AZ41" s="184"/>
      <c r="BA41" s="184"/>
      <c r="BB41" s="184"/>
      <c r="BC41" s="184"/>
      <c r="BD41" s="184"/>
      <c r="BE41" s="184"/>
      <c r="BF41" s="184"/>
      <c r="BG41" s="184"/>
      <c r="BH41" s="184"/>
      <c r="BI41" s="184"/>
      <c r="BJ41" s="184"/>
      <c r="BK41" s="184"/>
      <c r="BL41" s="184"/>
      <c r="BM41" s="184"/>
      <c r="BN41" s="184"/>
      <c r="BO41" s="184"/>
      <c r="BP41" s="184"/>
      <c r="BQ41" s="184"/>
      <c r="BR41" s="184"/>
      <c r="BS41" s="184"/>
      <c r="BT41" s="184"/>
      <c r="BU41" s="146" cm="1">
        <f t="array" ref="BU41">LOOKUP(2,1/(Y41:BT41&lt;&gt;""),Y41:BH41)</f>
        <v>2450</v>
      </c>
      <c r="BV41" s="145" cm="1">
        <f t="array" aca="1" ref="BV41" ca="1">_xlfn.LET(
    _xlpm.last_col_idx, LOOKUP(2, 1/(Y41:BT41&lt;&gt;""), COLUMN(Y41:BT41) - COLUMN(Y41) + 1),
    _xlpm.header_val, INDEX($Y$3:$BT$3, 1, _xlpm.last_col_idx),
    _xlpm.header_date, IF(ISNUMBER(_xlpm.header_val), _xlpm.header_val, DATEVALUE(_xlpm.header_val)),
    IF(_xlpm.header_date &gt; TODAY(), TODAY(), _xlpm.header_date)
)</f>
        <v>45536</v>
      </c>
      <c r="BW41" s="209" t="e" cm="1">
        <f t="array" ref="BW41">(LOOKUP(2,1/(BH41:BT41&lt;&gt;""),BH41:BT41))/(INDEX(BH41:BT41,MATCH(TRUE,INDEX((BH41:BT41&lt;&gt;0),0),0)))-1</f>
        <v>#N/A</v>
      </c>
      <c r="BX41" s="210">
        <f t="shared" si="0"/>
        <v>2.4500000000000002</v>
      </c>
      <c r="BY41" s="210">
        <f t="shared" si="1"/>
        <v>14.455000000000002</v>
      </c>
      <c r="BZ41" s="210">
        <f ca="1">IF(L41="BR",'Impostos e Frete'!$F$6,IF(L41="EU",'Impostos e Frete'!$I$3,IF(L41="CN",'Impostos e Frete'!$I$4,IF(L41="JP",'Impostos e Frete'!$I$5,IF(L41="RU",'Impostos e Frete'!$I$7,"ERRO")))))</f>
        <v>0.1410816</v>
      </c>
      <c r="CA41" s="210">
        <f>VLOOKUP(L41,'Impostos e Frete'!$A$3:$B$7,2,0)*'Preços e Condições'!BY41</f>
        <v>1.8791500000000003</v>
      </c>
      <c r="CB41" s="147">
        <f t="shared" si="2"/>
        <v>0</v>
      </c>
      <c r="CC41" s="147">
        <f>IF(X41="BRL",'Impostos e Frete'!$B$11,'Impostos e Frete'!$B$12)</f>
        <v>9.1999999999999998E-2</v>
      </c>
      <c r="CD41" s="211">
        <f t="shared" ca="1" si="3"/>
        <v>16.5672316</v>
      </c>
      <c r="CE41" s="212">
        <f t="shared" ca="1" si="4"/>
        <v>1.3253785279999999</v>
      </c>
      <c r="CF41" s="213">
        <f>VLOOKUP(L41,'Impostos e Frete'!$A$3:$C$7,3,0)</f>
        <v>105</v>
      </c>
      <c r="CG41" s="213">
        <f t="shared" si="5"/>
        <v>90</v>
      </c>
      <c r="CH41" s="213">
        <f t="shared" si="6"/>
        <v>-15</v>
      </c>
      <c r="CI41" s="214">
        <f t="shared" ca="1" si="7"/>
        <v>0.12379174583949748</v>
      </c>
      <c r="CJ41" s="215">
        <f t="shared" ca="1" si="8"/>
        <v>16.691023345839497</v>
      </c>
      <c r="CK41" s="216">
        <f t="shared" ca="1" si="9"/>
        <v>1.3352818676671598</v>
      </c>
    </row>
    <row r="42" spans="1:92">
      <c r="A42" s="176">
        <v>10957</v>
      </c>
      <c r="B42" s="177">
        <v>80</v>
      </c>
      <c r="C42" s="178">
        <v>80</v>
      </c>
      <c r="D42" s="178">
        <v>1840</v>
      </c>
      <c r="E42" s="178" t="s">
        <v>49</v>
      </c>
      <c r="F42" s="179" t="s">
        <v>67</v>
      </c>
      <c r="G42" s="180" t="s">
        <v>74</v>
      </c>
      <c r="H42" s="178" t="s">
        <v>66</v>
      </c>
      <c r="I42" s="178" t="s">
        <v>73</v>
      </c>
      <c r="J42" s="178"/>
      <c r="K42" s="178"/>
      <c r="L42" s="178" t="s">
        <v>59</v>
      </c>
      <c r="M42" s="178">
        <v>90</v>
      </c>
      <c r="N42" s="178"/>
      <c r="O42" s="178"/>
      <c r="P42" s="178"/>
      <c r="Q42" s="178"/>
      <c r="R42" s="178" t="s">
        <v>19</v>
      </c>
      <c r="S42" s="181"/>
      <c r="T42" s="181"/>
      <c r="U42" s="182"/>
      <c r="V42" s="182" t="s">
        <v>35</v>
      </c>
      <c r="W42" s="183">
        <v>100</v>
      </c>
      <c r="X42" s="182" t="s">
        <v>51</v>
      </c>
      <c r="Y42" s="184">
        <v>2680</v>
      </c>
      <c r="Z42" s="184">
        <v>2680</v>
      </c>
      <c r="AA42" s="184">
        <v>2680</v>
      </c>
      <c r="AB42" s="184">
        <v>2590</v>
      </c>
      <c r="AC42" s="184">
        <v>2590</v>
      </c>
      <c r="AD42" s="184">
        <v>2590</v>
      </c>
      <c r="AE42" s="184">
        <v>2380</v>
      </c>
      <c r="AF42" s="184">
        <v>2380</v>
      </c>
      <c r="AG42" s="184">
        <v>2380</v>
      </c>
      <c r="AH42" s="184">
        <v>2330</v>
      </c>
      <c r="AI42" s="184">
        <v>2330</v>
      </c>
      <c r="AJ42" s="184">
        <v>2330</v>
      </c>
      <c r="AK42" s="184">
        <v>2330</v>
      </c>
      <c r="AL42" s="184">
        <v>2380</v>
      </c>
      <c r="AM42" s="184">
        <v>2380</v>
      </c>
      <c r="AN42" s="184">
        <v>2480</v>
      </c>
      <c r="AO42" s="184">
        <v>2480</v>
      </c>
      <c r="AP42" s="184">
        <v>2480</v>
      </c>
      <c r="AQ42" s="184">
        <v>2630</v>
      </c>
      <c r="AR42" s="184">
        <v>2630</v>
      </c>
      <c r="AS42" s="184">
        <v>2630</v>
      </c>
      <c r="AT42" s="184"/>
      <c r="AU42" s="184"/>
      <c r="AV42" s="184"/>
      <c r="AW42" s="184"/>
      <c r="AX42" s="184"/>
      <c r="AY42" s="184"/>
      <c r="AZ42" s="184"/>
      <c r="BA42" s="184"/>
      <c r="BB42" s="184"/>
      <c r="BC42" s="184"/>
      <c r="BD42" s="184"/>
      <c r="BE42" s="184"/>
      <c r="BF42" s="184"/>
      <c r="BG42" s="184"/>
      <c r="BH42" s="184"/>
      <c r="BI42" s="184"/>
      <c r="BJ42" s="184"/>
      <c r="BK42" s="184"/>
      <c r="BL42" s="184"/>
      <c r="BM42" s="184"/>
      <c r="BN42" s="184"/>
      <c r="BO42" s="184"/>
      <c r="BP42" s="184"/>
      <c r="BQ42" s="184"/>
      <c r="BR42" s="184"/>
      <c r="BS42" s="184"/>
      <c r="BT42" s="184"/>
      <c r="BU42" s="146" cm="1">
        <f t="array" ref="BU42">LOOKUP(2,1/(Y42:BT42&lt;&gt;""),Y42:BH42)</f>
        <v>2630</v>
      </c>
      <c r="BV42" s="145" cm="1">
        <f t="array" aca="1" ref="BV42" ca="1">_xlfn.LET(
    _xlpm.last_col_idx, LOOKUP(2, 1/(Y42:BT42&lt;&gt;""), COLUMN(Y42:BT42) - COLUMN(Y42) + 1),
    _xlpm.header_val, INDEX($Y$3:$BT$3, 1, _xlpm.last_col_idx),
    _xlpm.header_date, IF(ISNUMBER(_xlpm.header_val), _xlpm.header_val, DATEVALUE(_xlpm.header_val)),
    IF(_xlpm.header_date &gt; TODAY(), TODAY(), _xlpm.header_date)
)</f>
        <v>45536</v>
      </c>
      <c r="BW42" s="209" t="e" cm="1">
        <f t="array" ref="BW42">(LOOKUP(2,1/(BH42:BT42&lt;&gt;""),BH42:BT42))/(INDEX(BH42:BT42,MATCH(TRUE,INDEX((BH42:BT42&lt;&gt;0),0),0)))-1</f>
        <v>#N/A</v>
      </c>
      <c r="BX42" s="210">
        <f t="shared" si="0"/>
        <v>2.63</v>
      </c>
      <c r="BY42" s="210">
        <f t="shared" si="1"/>
        <v>15.516999999999999</v>
      </c>
      <c r="BZ42" s="210">
        <f ca="1">IF(L42="BR",'Impostos e Frete'!$F$6,IF(L42="EU",'Impostos e Frete'!$I$3,IF(L42="CN",'Impostos e Frete'!$I$4,IF(L42="JP",'Impostos e Frete'!$I$5,IF(L42="RU",'Impostos e Frete'!$I$7,"ERRO")))))</f>
        <v>0.1410816</v>
      </c>
      <c r="CA42" s="210">
        <f>VLOOKUP(L42,'Impostos e Frete'!$A$3:$B$7,2,0)*'Preços e Condições'!BY42</f>
        <v>2.0172099999999999</v>
      </c>
      <c r="CB42" s="147">
        <f t="shared" si="2"/>
        <v>0</v>
      </c>
      <c r="CC42" s="147">
        <f>IF(X42="BRL",'Impostos e Frete'!$B$11,'Impostos e Frete'!$B$12)</f>
        <v>9.1999999999999998E-2</v>
      </c>
      <c r="CD42" s="211">
        <f t="shared" ca="1" si="3"/>
        <v>17.767291599999997</v>
      </c>
      <c r="CE42" s="212">
        <f t="shared" ca="1" si="4"/>
        <v>1.4213833279999997</v>
      </c>
      <c r="CF42" s="213">
        <f>VLOOKUP(L42,'Impostos e Frete'!$A$3:$C$7,3,0)</f>
        <v>105</v>
      </c>
      <c r="CG42" s="213">
        <f t="shared" si="5"/>
        <v>90</v>
      </c>
      <c r="CH42" s="213">
        <f t="shared" si="6"/>
        <v>-15</v>
      </c>
      <c r="CI42" s="214">
        <f t="shared" ca="1" si="7"/>
        <v>0.13275869494113124</v>
      </c>
      <c r="CJ42" s="215">
        <f t="shared" ca="1" si="8"/>
        <v>17.900050294941128</v>
      </c>
      <c r="CK42" s="216">
        <f t="shared" ca="1" si="9"/>
        <v>1.4320040235952902</v>
      </c>
    </row>
    <row r="43" spans="1:92">
      <c r="A43" s="176">
        <v>10959</v>
      </c>
      <c r="B43" s="177" t="s">
        <v>123</v>
      </c>
      <c r="C43" s="178">
        <v>60</v>
      </c>
      <c r="D43" s="178">
        <v>2080</v>
      </c>
      <c r="E43" s="178" t="s">
        <v>49</v>
      </c>
      <c r="F43" s="179" t="s">
        <v>67</v>
      </c>
      <c r="G43" s="185" t="s">
        <v>330</v>
      </c>
      <c r="H43" s="178" t="s">
        <v>61</v>
      </c>
      <c r="I43" s="178"/>
      <c r="J43" s="178"/>
      <c r="K43" s="178"/>
      <c r="L43" s="178" t="s">
        <v>59</v>
      </c>
      <c r="M43" s="178">
        <v>90</v>
      </c>
      <c r="N43" s="178"/>
      <c r="O43" s="178"/>
      <c r="P43" s="178"/>
      <c r="Q43" s="178"/>
      <c r="R43" s="178" t="s">
        <v>19</v>
      </c>
      <c r="S43" s="181"/>
      <c r="T43" s="181"/>
      <c r="U43" s="182"/>
      <c r="V43" s="182" t="s">
        <v>35</v>
      </c>
      <c r="W43" s="183">
        <v>100</v>
      </c>
      <c r="X43" s="182" t="s">
        <v>51</v>
      </c>
      <c r="Y43" s="184"/>
      <c r="Z43" s="184"/>
      <c r="AA43" s="184"/>
      <c r="AB43" s="184"/>
      <c r="AC43" s="184"/>
      <c r="AD43" s="184"/>
      <c r="AE43" s="184"/>
      <c r="AF43" s="184"/>
      <c r="AG43" s="184"/>
      <c r="AH43" s="184"/>
      <c r="AI43" s="184"/>
      <c r="AJ43" s="184"/>
      <c r="AK43" s="184"/>
      <c r="AL43" s="184"/>
      <c r="AM43" s="184"/>
      <c r="AN43" s="184"/>
      <c r="AO43" s="184"/>
      <c r="AP43" s="184"/>
      <c r="AQ43" s="184"/>
      <c r="AR43" s="184"/>
      <c r="AS43" s="184"/>
      <c r="AT43" s="184"/>
      <c r="AU43" s="184"/>
      <c r="AV43" s="184"/>
      <c r="AW43" s="184"/>
      <c r="AX43" s="184"/>
      <c r="AY43" s="184"/>
      <c r="AZ43" s="184">
        <v>1230</v>
      </c>
      <c r="BA43" s="184">
        <v>1230</v>
      </c>
      <c r="BB43" s="184">
        <v>1230</v>
      </c>
      <c r="BC43" s="184">
        <v>1230</v>
      </c>
      <c r="BD43" s="184">
        <v>1230</v>
      </c>
      <c r="BE43" s="184"/>
      <c r="BF43" s="184"/>
      <c r="BG43" s="184"/>
      <c r="BH43" s="184"/>
      <c r="BI43" s="184"/>
      <c r="BJ43" s="184"/>
      <c r="BK43" s="184"/>
      <c r="BL43" s="184"/>
      <c r="BM43" s="184"/>
      <c r="BN43" s="184"/>
      <c r="BO43" s="184"/>
      <c r="BP43" s="184"/>
      <c r="BQ43" s="184"/>
      <c r="BR43" s="184"/>
      <c r="BS43" s="184"/>
      <c r="BT43" s="184"/>
      <c r="BU43" s="146" cm="1">
        <f t="array" ref="BU43">LOOKUP(2,1/(Y43:BT43&lt;&gt;""),Y43:BH43)</f>
        <v>1230</v>
      </c>
      <c r="BV43" s="145" cm="1">
        <f t="array" aca="1" ref="BV43" ca="1">_xlfn.LET(
    _xlpm.last_col_idx, LOOKUP(2, 1/(Y43:BT43&lt;&gt;""), COLUMN(Y43:BT43) - COLUMN(Y43) + 1),
    _xlpm.header_val, INDEX($Y$3:$BT$3, 1, _xlpm.last_col_idx),
    _xlpm.header_date, IF(ISNUMBER(_xlpm.header_val), _xlpm.header_val, DATEVALUE(_xlpm.header_val)),
    IF(_xlpm.header_date &gt; TODAY(), TODAY(), _xlpm.header_date)
)</f>
        <v>45870</v>
      </c>
      <c r="BW43" s="209" t="e" cm="1">
        <f t="array" ref="BW43">(LOOKUP(2,1/(BH43:BT43&lt;&gt;""),BH43:BT43))/(INDEX(BH43:BT43,MATCH(TRUE,INDEX((BH43:BT43&lt;&gt;0),0),0)))-1</f>
        <v>#N/A</v>
      </c>
      <c r="BX43" s="210">
        <f t="shared" si="0"/>
        <v>1.23</v>
      </c>
      <c r="BY43" s="210">
        <f t="shared" si="1"/>
        <v>7.2570000000000006</v>
      </c>
      <c r="BZ43" s="210">
        <f ca="1">IF(L43="BR",'Impostos e Frete'!$F$6,IF(L43="EU",'Impostos e Frete'!$I$3,IF(L43="CN",'Impostos e Frete'!$I$4,IF(L43="JP",'Impostos e Frete'!$I$5,IF(L43="RU",'Impostos e Frete'!$I$7,"ERRO")))))</f>
        <v>0.1410816</v>
      </c>
      <c r="CA43" s="210">
        <f>VLOOKUP(L43,'Impostos e Frete'!$A$3:$B$7,2,0)*'Preços e Condições'!BY43</f>
        <v>0.94341000000000008</v>
      </c>
      <c r="CB43" s="147">
        <f t="shared" si="2"/>
        <v>0</v>
      </c>
      <c r="CC43" s="147">
        <f>IF(X43="BRL",'Impostos e Frete'!$B$11,'Impostos e Frete'!$B$12)</f>
        <v>9.1999999999999998E-2</v>
      </c>
      <c r="CD43" s="211">
        <f t="shared" ca="1" si="3"/>
        <v>8.4334916000000018</v>
      </c>
      <c r="CE43" s="212">
        <f t="shared" ca="1" si="4"/>
        <v>0.50600949600000011</v>
      </c>
      <c r="CF43" s="213">
        <f>VLOOKUP(L43,'Impostos e Frete'!$A$3:$C$7,3,0)</f>
        <v>105</v>
      </c>
      <c r="CG43" s="213">
        <f t="shared" si="5"/>
        <v>90</v>
      </c>
      <c r="CH43" s="213">
        <f t="shared" si="6"/>
        <v>-15</v>
      </c>
      <c r="CI43" s="214">
        <f t="shared" ca="1" si="7"/>
        <v>6.3015757483993795E-2</v>
      </c>
      <c r="CJ43" s="215">
        <f t="shared" ca="1" si="8"/>
        <v>8.4965073574839955</v>
      </c>
      <c r="CK43" s="216">
        <f t="shared" ca="1" si="9"/>
        <v>0.50979044144903973</v>
      </c>
    </row>
    <row r="44" spans="1:92">
      <c r="A44" s="176">
        <v>10960</v>
      </c>
      <c r="B44" s="177" t="s">
        <v>123</v>
      </c>
      <c r="C44" s="178">
        <v>50</v>
      </c>
      <c r="D44" s="178">
        <v>2080</v>
      </c>
      <c r="E44" s="178" t="s">
        <v>49</v>
      </c>
      <c r="F44" s="179" t="s">
        <v>67</v>
      </c>
      <c r="G44" s="185" t="s">
        <v>329</v>
      </c>
      <c r="H44" s="178" t="s">
        <v>61</v>
      </c>
      <c r="I44" s="178"/>
      <c r="J44" s="178"/>
      <c r="K44" s="178"/>
      <c r="L44" s="178" t="s">
        <v>59</v>
      </c>
      <c r="M44" s="178">
        <v>90</v>
      </c>
      <c r="N44" s="178"/>
      <c r="O44" s="178"/>
      <c r="P44" s="178"/>
      <c r="Q44" s="178"/>
      <c r="R44" s="178" t="s">
        <v>331</v>
      </c>
      <c r="S44" s="181"/>
      <c r="T44" s="181"/>
      <c r="U44" s="182"/>
      <c r="V44" s="182" t="s">
        <v>35</v>
      </c>
      <c r="W44" s="183">
        <v>100</v>
      </c>
      <c r="X44" s="182" t="s">
        <v>51</v>
      </c>
      <c r="Y44" s="184"/>
      <c r="Z44" s="184"/>
      <c r="AA44" s="184"/>
      <c r="AB44" s="184"/>
      <c r="AC44" s="184"/>
      <c r="AD44" s="184"/>
      <c r="AE44" s="184"/>
      <c r="AF44" s="184"/>
      <c r="AG44" s="184"/>
      <c r="AH44" s="184"/>
      <c r="AI44" s="184"/>
      <c r="AJ44" s="184"/>
      <c r="AK44" s="184"/>
      <c r="AL44" s="184"/>
      <c r="AM44" s="184"/>
      <c r="AN44" s="184"/>
      <c r="AO44" s="184"/>
      <c r="AP44" s="184"/>
      <c r="AQ44" s="184"/>
      <c r="AR44" s="184"/>
      <c r="AS44" s="184"/>
      <c r="AT44" s="184"/>
      <c r="AU44" s="184"/>
      <c r="AV44" s="184"/>
      <c r="AW44" s="184"/>
      <c r="AX44" s="184"/>
      <c r="AY44" s="184"/>
      <c r="AZ44" s="184">
        <v>1250</v>
      </c>
      <c r="BA44" s="184">
        <v>1250</v>
      </c>
      <c r="BB44" s="184">
        <v>1250</v>
      </c>
      <c r="BC44" s="184">
        <v>1250</v>
      </c>
      <c r="BD44" s="184">
        <v>1250</v>
      </c>
      <c r="BE44" s="184"/>
      <c r="BF44" s="184"/>
      <c r="BG44" s="184"/>
      <c r="BH44" s="184"/>
      <c r="BI44" s="184"/>
      <c r="BJ44" s="184"/>
      <c r="BK44" s="184"/>
      <c r="BL44" s="184"/>
      <c r="BM44" s="184"/>
      <c r="BN44" s="184"/>
      <c r="BO44" s="184"/>
      <c r="BP44" s="184"/>
      <c r="BQ44" s="184"/>
      <c r="BR44" s="184"/>
      <c r="BS44" s="184"/>
      <c r="BT44" s="184"/>
      <c r="BU44" s="146" cm="1">
        <f t="array" ref="BU44">LOOKUP(2,1/(Y44:BT44&lt;&gt;""),Y44:BH44)</f>
        <v>1250</v>
      </c>
      <c r="BV44" s="145" cm="1">
        <f t="array" aca="1" ref="BV44" ca="1">_xlfn.LET(
    _xlpm.last_col_idx, LOOKUP(2, 1/(Y44:BT44&lt;&gt;""), COLUMN(Y44:BT44) - COLUMN(Y44) + 1),
    _xlpm.header_val, INDEX($Y$3:$BT$3, 1, _xlpm.last_col_idx),
    _xlpm.header_date, IF(ISNUMBER(_xlpm.header_val), _xlpm.header_val, DATEVALUE(_xlpm.header_val)),
    IF(_xlpm.header_date &gt; TODAY(), TODAY(), _xlpm.header_date)
)</f>
        <v>45870</v>
      </c>
      <c r="BW44" s="209" t="e" cm="1">
        <f t="array" ref="BW44">(LOOKUP(2,1/(BH44:BT44&lt;&gt;""),BH44:BT44))/(INDEX(BH44:BT44,MATCH(TRUE,INDEX((BH44:BT44&lt;&gt;0),0),0)))-1</f>
        <v>#N/A</v>
      </c>
      <c r="BX44" s="210">
        <f t="shared" si="0"/>
        <v>1.25</v>
      </c>
      <c r="BY44" s="210">
        <f t="shared" si="1"/>
        <v>7.375</v>
      </c>
      <c r="BZ44" s="210">
        <f ca="1">IF(L44="BR",'Impostos e Frete'!$F$6,IF(L44="EU",'Impostos e Frete'!$I$3,IF(L44="CN",'Impostos e Frete'!$I$4,IF(L44="JP",'Impostos e Frete'!$I$5,IF(L44="RU",'Impostos e Frete'!$I$7,"ERRO")))))</f>
        <v>0.1410816</v>
      </c>
      <c r="CA44" s="210">
        <f>VLOOKUP(L44,'Impostos e Frete'!$A$3:$B$7,2,0)*'Preços e Condições'!BY44</f>
        <v>0.95874999999999999</v>
      </c>
      <c r="CB44" s="147">
        <f t="shared" si="2"/>
        <v>5.9000000000000004E-2</v>
      </c>
      <c r="CC44" s="147">
        <f>IF(X44="BRL",'Impostos e Frete'!$B$11,'Impostos e Frete'!$B$12)</f>
        <v>9.1999999999999998E-2</v>
      </c>
      <c r="CD44" s="211">
        <f t="shared" ca="1" si="3"/>
        <v>8.6258315999999997</v>
      </c>
      <c r="CE44" s="212">
        <f t="shared" ca="1" si="4"/>
        <v>0.43129158000000001</v>
      </c>
      <c r="CF44" s="213">
        <f>VLOOKUP(L44,'Impostos e Frete'!$A$3:$C$7,3,0)</f>
        <v>105</v>
      </c>
      <c r="CG44" s="213">
        <f t="shared" si="5"/>
        <v>90</v>
      </c>
      <c r="CH44" s="213">
        <f t="shared" si="6"/>
        <v>-15</v>
      </c>
      <c r="CI44" s="214">
        <f t="shared" ca="1" si="7"/>
        <v>6.4452938116801306E-2</v>
      </c>
      <c r="CJ44" s="215">
        <f t="shared" ca="1" si="8"/>
        <v>8.690284538116801</v>
      </c>
      <c r="CK44" s="216">
        <f t="shared" ca="1" si="9"/>
        <v>0.43451422690584002</v>
      </c>
    </row>
    <row r="45" spans="1:92">
      <c r="A45" s="176">
        <v>10961</v>
      </c>
      <c r="B45" s="177">
        <v>2</v>
      </c>
      <c r="C45" s="178">
        <v>80</v>
      </c>
      <c r="D45" s="178">
        <v>1865</v>
      </c>
      <c r="E45" s="178" t="s">
        <v>50</v>
      </c>
      <c r="F45" s="179" t="s">
        <v>67</v>
      </c>
      <c r="G45" s="185" t="s">
        <v>377</v>
      </c>
      <c r="H45" s="178" t="s">
        <v>43</v>
      </c>
      <c r="I45" s="178" t="s">
        <v>376</v>
      </c>
      <c r="J45" s="178"/>
      <c r="K45" s="178"/>
      <c r="L45" s="178" t="s">
        <v>59</v>
      </c>
      <c r="M45" s="178">
        <v>90</v>
      </c>
      <c r="N45" s="178"/>
      <c r="O45" s="178"/>
      <c r="P45" s="178"/>
      <c r="Q45" s="178"/>
      <c r="R45" s="178" t="s">
        <v>19</v>
      </c>
      <c r="S45" s="181"/>
      <c r="T45" s="181"/>
      <c r="U45" s="182"/>
      <c r="V45" s="182" t="s">
        <v>35</v>
      </c>
      <c r="W45" s="183">
        <v>100</v>
      </c>
      <c r="X45" s="182" t="s">
        <v>51</v>
      </c>
      <c r="Y45" s="184"/>
      <c r="Z45" s="184"/>
      <c r="AA45" s="184"/>
      <c r="AB45" s="184"/>
      <c r="AC45" s="184"/>
      <c r="AD45" s="184"/>
      <c r="AE45" s="184"/>
      <c r="AF45" s="184"/>
      <c r="AG45" s="184"/>
      <c r="AH45" s="184"/>
      <c r="AI45" s="184"/>
      <c r="AJ45" s="184"/>
      <c r="AK45" s="184"/>
      <c r="AL45" s="184"/>
      <c r="AM45" s="184"/>
      <c r="AN45" s="184"/>
      <c r="AO45" s="184"/>
      <c r="AP45" s="184"/>
      <c r="AQ45" s="184"/>
      <c r="AR45" s="184"/>
      <c r="AS45" s="184"/>
      <c r="AT45" s="184"/>
      <c r="AU45" s="184"/>
      <c r="AV45" s="184"/>
      <c r="AW45" s="184"/>
      <c r="AX45" s="184"/>
      <c r="AY45" s="184"/>
      <c r="AZ45" s="184"/>
      <c r="BA45" s="184"/>
      <c r="BB45" s="184"/>
      <c r="BC45" s="184"/>
      <c r="BD45" s="184"/>
      <c r="BE45" s="184"/>
      <c r="BF45" s="184"/>
      <c r="BG45" s="184">
        <v>2390</v>
      </c>
      <c r="BH45" s="184">
        <v>2390</v>
      </c>
      <c r="BI45" s="184">
        <v>2390</v>
      </c>
      <c r="BJ45" s="184"/>
      <c r="BK45" s="184"/>
      <c r="BL45" s="184"/>
      <c r="BM45" s="184"/>
      <c r="BN45" s="184"/>
      <c r="BO45" s="184"/>
      <c r="BP45" s="184"/>
      <c r="BQ45" s="184"/>
      <c r="BR45" s="184"/>
      <c r="BS45" s="184"/>
      <c r="BT45" s="184"/>
      <c r="BU45" s="146" cm="1">
        <f t="array" ref="BU45">LOOKUP(2,1/(Y45:BT45&lt;&gt;""),Y45:BH45)</f>
        <v>2390</v>
      </c>
      <c r="BV45" s="145" cm="1">
        <f t="array" aca="1" ref="BV45" ca="1">_xlfn.LET(
    _xlpm.last_col_idx, LOOKUP(2, 1/(Y45:BT45&lt;&gt;""), COLUMN(Y45:BT45) - COLUMN(Y45) + 1),
    _xlpm.header_val, INDEX($Y$3:$BT$3, 1, _xlpm.last_col_idx),
    _xlpm.header_date, IF(ISNUMBER(_xlpm.header_val), _xlpm.header_val, DATEVALUE(_xlpm.header_val)),
    IF(_xlpm.header_date &gt; TODAY(), TODAY(), _xlpm.header_date)
)</f>
        <v>46023</v>
      </c>
      <c r="BW45" s="209" cm="1">
        <f t="array" ref="BW45">(LOOKUP(2,1/(BH45:BT45&lt;&gt;""),BH45:BT45))/(INDEX(BH45:BT45,MATCH(TRUE,INDEX((BH45:BT45&lt;&gt;0),0),0)))-1</f>
        <v>0</v>
      </c>
      <c r="BX45" s="210">
        <f t="shared" si="0"/>
        <v>2.39</v>
      </c>
      <c r="BY45" s="210">
        <f t="shared" si="1"/>
        <v>14.101000000000001</v>
      </c>
      <c r="BZ45" s="210">
        <f ca="1">IF(L45="BR",'Impostos e Frete'!$F$6,IF(L45="EU",'Impostos e Frete'!$I$3,IF(L45="CN",'Impostos e Frete'!$I$4,IF(L45="JP",'Impostos e Frete'!$I$5,IF(L45="RU",'Impostos e Frete'!$I$7,"ERRO")))))</f>
        <v>0.1410816</v>
      </c>
      <c r="CA45" s="210">
        <f>VLOOKUP(L45,'Impostos e Frete'!$A$3:$B$7,2,0)*'Preços e Condições'!BY45</f>
        <v>1.8331300000000001</v>
      </c>
      <c r="CB45" s="147">
        <f t="shared" si="2"/>
        <v>0</v>
      </c>
      <c r="CC45" s="147">
        <f>IF(X45="BRL",'Impostos e Frete'!$B$11,'Impostos e Frete'!$B$12)</f>
        <v>9.1999999999999998E-2</v>
      </c>
      <c r="CD45" s="211">
        <f t="shared" ca="1" si="3"/>
        <v>16.167211599999998</v>
      </c>
      <c r="CE45" s="212">
        <f t="shared" ca="1" si="4"/>
        <v>1.2933769279999998</v>
      </c>
      <c r="CF45" s="213">
        <f>VLOOKUP(L45,'Impostos e Frete'!$A$3:$C$7,3,0)</f>
        <v>105</v>
      </c>
      <c r="CG45" s="213">
        <f t="shared" si="5"/>
        <v>90</v>
      </c>
      <c r="CH45" s="213">
        <f t="shared" si="6"/>
        <v>-15</v>
      </c>
      <c r="CI45" s="214">
        <f t="shared" ca="1" si="7"/>
        <v>0.12080276280562074</v>
      </c>
      <c r="CJ45" s="215">
        <f t="shared" ca="1" si="8"/>
        <v>16.288014362805619</v>
      </c>
      <c r="CK45" s="216">
        <f t="shared" ca="1" si="9"/>
        <v>1.3030411490244496</v>
      </c>
    </row>
    <row r="46" spans="1:92">
      <c r="A46" s="176">
        <v>10961</v>
      </c>
      <c r="B46" s="177">
        <v>2</v>
      </c>
      <c r="C46" s="178">
        <v>80</v>
      </c>
      <c r="D46" s="178">
        <v>1865</v>
      </c>
      <c r="E46" s="178" t="s">
        <v>50</v>
      </c>
      <c r="F46" s="179" t="s">
        <v>67</v>
      </c>
      <c r="G46" s="185" t="s">
        <v>377</v>
      </c>
      <c r="H46" s="178" t="s">
        <v>43</v>
      </c>
      <c r="I46" s="178" t="s">
        <v>376</v>
      </c>
      <c r="J46" s="178"/>
      <c r="K46" s="178"/>
      <c r="L46" s="178" t="s">
        <v>59</v>
      </c>
      <c r="M46" s="178">
        <v>90</v>
      </c>
      <c r="N46" s="178"/>
      <c r="O46" s="178"/>
      <c r="P46" s="178"/>
      <c r="Q46" s="178"/>
      <c r="R46" s="178" t="s">
        <v>19</v>
      </c>
      <c r="S46" s="181"/>
      <c r="T46" s="181"/>
      <c r="U46" s="182"/>
      <c r="V46" s="182" t="s">
        <v>35</v>
      </c>
      <c r="W46" s="183">
        <v>50</v>
      </c>
      <c r="X46" s="182" t="s">
        <v>51</v>
      </c>
      <c r="Y46" s="184"/>
      <c r="Z46" s="184"/>
      <c r="AA46" s="184"/>
      <c r="AB46" s="184"/>
      <c r="AC46" s="184"/>
      <c r="AD46" s="184"/>
      <c r="AE46" s="184"/>
      <c r="AF46" s="184"/>
      <c r="AG46" s="184"/>
      <c r="AH46" s="184"/>
      <c r="AI46" s="184"/>
      <c r="AJ46" s="184"/>
      <c r="AK46" s="184"/>
      <c r="AL46" s="184"/>
      <c r="AM46" s="184"/>
      <c r="AN46" s="184"/>
      <c r="AO46" s="184"/>
      <c r="AP46" s="184"/>
      <c r="AQ46" s="184"/>
      <c r="AR46" s="184"/>
      <c r="AS46" s="184"/>
      <c r="AT46" s="184"/>
      <c r="AU46" s="184"/>
      <c r="AV46" s="184"/>
      <c r="AW46" s="184"/>
      <c r="AX46" s="184"/>
      <c r="AY46" s="184"/>
      <c r="AZ46" s="184"/>
      <c r="BA46" s="184"/>
      <c r="BB46" s="184"/>
      <c r="BC46" s="184"/>
      <c r="BD46" s="184"/>
      <c r="BE46" s="184"/>
      <c r="BF46" s="184"/>
      <c r="BG46" s="184">
        <v>2450</v>
      </c>
      <c r="BH46" s="184">
        <v>2450</v>
      </c>
      <c r="BI46" s="184">
        <v>2450</v>
      </c>
      <c r="BJ46" s="184"/>
      <c r="BK46" s="184"/>
      <c r="BL46" s="184"/>
      <c r="BM46" s="184"/>
      <c r="BN46" s="184"/>
      <c r="BO46" s="184"/>
      <c r="BP46" s="184"/>
      <c r="BQ46" s="184"/>
      <c r="BR46" s="184"/>
      <c r="BS46" s="184"/>
      <c r="BT46" s="184"/>
      <c r="BU46" s="146" cm="1">
        <f t="array" ref="BU46">LOOKUP(2,1/(Y46:BT46&lt;&gt;""),Y46:BH46)</f>
        <v>2450</v>
      </c>
      <c r="BV46" s="145" cm="1">
        <f t="array" aca="1" ref="BV46" ca="1">_xlfn.LET(
    _xlpm.last_col_idx, LOOKUP(2, 1/(Y46:BT46&lt;&gt;""), COLUMN(Y46:BT46) - COLUMN(Y46) + 1),
    _xlpm.header_val, INDEX($Y$3:$BT$3, 1, _xlpm.last_col_idx),
    _xlpm.header_date, IF(ISNUMBER(_xlpm.header_val), _xlpm.header_val, DATEVALUE(_xlpm.header_val)),
    IF(_xlpm.header_date &gt; TODAY(), TODAY(), _xlpm.header_date)
)</f>
        <v>46023</v>
      </c>
      <c r="BW46" s="209" cm="1">
        <f t="array" ref="BW46">(LOOKUP(2,1/(BH46:BT46&lt;&gt;""),BH46:BT46))/(INDEX(BH46:BT46,MATCH(TRUE,INDEX((BH46:BT46&lt;&gt;0),0),0)))-1</f>
        <v>0</v>
      </c>
      <c r="BX46" s="210">
        <f t="shared" si="0"/>
        <v>2.4500000000000002</v>
      </c>
      <c r="BY46" s="210">
        <f t="shared" si="1"/>
        <v>14.455000000000002</v>
      </c>
      <c r="BZ46" s="210">
        <f ca="1">IF(L46="BR",'Impostos e Frete'!$F$6,IF(L46="EU",'Impostos e Frete'!$I$3,IF(L46="CN",'Impostos e Frete'!$I$4,IF(L46="JP",'Impostos e Frete'!$I$5,IF(L46="RU",'Impostos e Frete'!$I$7,"ERRO")))))</f>
        <v>0.1410816</v>
      </c>
      <c r="CA46" s="210">
        <f>VLOOKUP(L46,'Impostos e Frete'!$A$3:$B$7,2,0)*'Preços e Condições'!BY46</f>
        <v>1.8791500000000003</v>
      </c>
      <c r="CB46" s="147">
        <f t="shared" si="2"/>
        <v>0</v>
      </c>
      <c r="CC46" s="147">
        <f>IF(X46="BRL",'Impostos e Frete'!$B$11,'Impostos e Frete'!$B$12)</f>
        <v>9.1999999999999998E-2</v>
      </c>
      <c r="CD46" s="211">
        <f t="shared" ca="1" si="3"/>
        <v>16.5672316</v>
      </c>
      <c r="CE46" s="212">
        <f t="shared" ca="1" si="4"/>
        <v>1.3253785279999999</v>
      </c>
      <c r="CF46" s="213">
        <f>VLOOKUP(L46,'Impostos e Frete'!$A$3:$C$7,3,0)</f>
        <v>105</v>
      </c>
      <c r="CG46" s="213">
        <f t="shared" si="5"/>
        <v>90</v>
      </c>
      <c r="CH46" s="213">
        <f t="shared" si="6"/>
        <v>-15</v>
      </c>
      <c r="CI46" s="214">
        <f t="shared" ca="1" si="7"/>
        <v>0.12379174583949748</v>
      </c>
      <c r="CJ46" s="215">
        <f t="shared" ca="1" si="8"/>
        <v>16.691023345839497</v>
      </c>
      <c r="CK46" s="216">
        <f t="shared" ca="1" si="9"/>
        <v>1.3352818676671598</v>
      </c>
    </row>
    <row r="47" spans="1:92">
      <c r="A47" s="176">
        <v>10961</v>
      </c>
      <c r="B47" s="177">
        <v>2</v>
      </c>
      <c r="C47" s="178">
        <v>80</v>
      </c>
      <c r="D47" s="178">
        <v>1865</v>
      </c>
      <c r="E47" s="178" t="s">
        <v>50</v>
      </c>
      <c r="F47" s="179" t="s">
        <v>67</v>
      </c>
      <c r="G47" s="185" t="s">
        <v>377</v>
      </c>
      <c r="H47" s="178" t="s">
        <v>43</v>
      </c>
      <c r="I47" s="178" t="s">
        <v>376</v>
      </c>
      <c r="J47" s="178"/>
      <c r="K47" s="178"/>
      <c r="L47" s="178" t="s">
        <v>59</v>
      </c>
      <c r="M47" s="178">
        <v>90</v>
      </c>
      <c r="N47" s="178"/>
      <c r="O47" s="178"/>
      <c r="P47" s="178"/>
      <c r="Q47" s="178"/>
      <c r="R47" s="178" t="s">
        <v>19</v>
      </c>
      <c r="S47" s="181"/>
      <c r="T47" s="181"/>
      <c r="U47" s="182"/>
      <c r="V47" s="182" t="s">
        <v>35</v>
      </c>
      <c r="W47" s="183">
        <v>25</v>
      </c>
      <c r="X47" s="182" t="s">
        <v>51</v>
      </c>
      <c r="Y47" s="184"/>
      <c r="Z47" s="184"/>
      <c r="AA47" s="184"/>
      <c r="AB47" s="184"/>
      <c r="AC47" s="184"/>
      <c r="AD47" s="184"/>
      <c r="AE47" s="184"/>
      <c r="AF47" s="184"/>
      <c r="AG47" s="184"/>
      <c r="AH47" s="184"/>
      <c r="AI47" s="184"/>
      <c r="AJ47" s="184"/>
      <c r="AK47" s="184"/>
      <c r="AL47" s="184"/>
      <c r="AM47" s="184"/>
      <c r="AN47" s="184"/>
      <c r="AO47" s="184"/>
      <c r="AP47" s="184"/>
      <c r="AQ47" s="184"/>
      <c r="AR47" s="184"/>
      <c r="AS47" s="184"/>
      <c r="AT47" s="184"/>
      <c r="AU47" s="184"/>
      <c r="AV47" s="184"/>
      <c r="AW47" s="184"/>
      <c r="AX47" s="184"/>
      <c r="AY47" s="184"/>
      <c r="AZ47" s="184"/>
      <c r="BA47" s="184"/>
      <c r="BB47" s="184"/>
      <c r="BC47" s="184"/>
      <c r="BD47" s="184"/>
      <c r="BE47" s="184"/>
      <c r="BF47" s="184"/>
      <c r="BG47" s="184">
        <v>2890</v>
      </c>
      <c r="BH47" s="184">
        <v>2890</v>
      </c>
      <c r="BI47" s="184">
        <v>2890</v>
      </c>
      <c r="BJ47" s="184"/>
      <c r="BK47" s="184"/>
      <c r="BL47" s="184"/>
      <c r="BM47" s="184"/>
      <c r="BN47" s="184"/>
      <c r="BO47" s="184"/>
      <c r="BP47" s="184"/>
      <c r="BQ47" s="184"/>
      <c r="BR47" s="184"/>
      <c r="BS47" s="184"/>
      <c r="BT47" s="184"/>
      <c r="BU47" s="146" cm="1">
        <f t="array" ref="BU47">LOOKUP(2,1/(Y47:BT47&lt;&gt;""),Y47:BH47)</f>
        <v>2890</v>
      </c>
      <c r="BV47" s="145" cm="1">
        <f t="array" aca="1" ref="BV47" ca="1">_xlfn.LET(
    _xlpm.last_col_idx, LOOKUP(2, 1/(Y47:BT47&lt;&gt;""), COLUMN(Y47:BT47) - COLUMN(Y47) + 1),
    _xlpm.header_val, INDEX($Y$3:$BT$3, 1, _xlpm.last_col_idx),
    _xlpm.header_date, IF(ISNUMBER(_xlpm.header_val), _xlpm.header_val, DATEVALUE(_xlpm.header_val)),
    IF(_xlpm.header_date &gt; TODAY(), TODAY(), _xlpm.header_date)
)</f>
        <v>46023</v>
      </c>
      <c r="BW47" s="209" cm="1">
        <f t="array" ref="BW47">(LOOKUP(2,1/(BH47:BT47&lt;&gt;""),BH47:BT47))/(INDEX(BH47:BT47,MATCH(TRUE,INDEX((BH47:BT47&lt;&gt;0),0),0)))-1</f>
        <v>0</v>
      </c>
      <c r="BX47" s="210">
        <f t="shared" si="0"/>
        <v>2.89</v>
      </c>
      <c r="BY47" s="210">
        <f t="shared" si="1"/>
        <v>17.051000000000002</v>
      </c>
      <c r="BZ47" s="210">
        <f ca="1">IF(L47="BR",'Impostos e Frete'!$F$6,IF(L47="EU",'Impostos e Frete'!$I$3,IF(L47="CN",'Impostos e Frete'!$I$4,IF(L47="JP",'Impostos e Frete'!$I$5,IF(L47="RU",'Impostos e Frete'!$I$7,"ERRO")))))</f>
        <v>0.1410816</v>
      </c>
      <c r="CA47" s="210">
        <f>VLOOKUP(L47,'Impostos e Frete'!$A$3:$B$7,2,0)*'Preços e Condições'!BY47</f>
        <v>2.2166300000000003</v>
      </c>
      <c r="CB47" s="147">
        <f t="shared" si="2"/>
        <v>0</v>
      </c>
      <c r="CC47" s="147">
        <f>IF(X47="BRL",'Impostos e Frete'!$B$11,'Impostos e Frete'!$B$12)</f>
        <v>9.1999999999999998E-2</v>
      </c>
      <c r="CD47" s="211">
        <f t="shared" ca="1" si="3"/>
        <v>19.500711600000002</v>
      </c>
      <c r="CE47" s="212">
        <f t="shared" ca="1" si="4"/>
        <v>1.5600569280000001</v>
      </c>
      <c r="CF47" s="213">
        <f>VLOOKUP(L47,'Impostos e Frete'!$A$3:$C$7,3,0)</f>
        <v>105</v>
      </c>
      <c r="CG47" s="213">
        <f t="shared" si="5"/>
        <v>90</v>
      </c>
      <c r="CH47" s="213">
        <f t="shared" si="6"/>
        <v>-15</v>
      </c>
      <c r="CI47" s="214">
        <f t="shared" ca="1" si="7"/>
        <v>0.14571095475459828</v>
      </c>
      <c r="CJ47" s="215">
        <f t="shared" ca="1" si="8"/>
        <v>19.646422554754601</v>
      </c>
      <c r="CK47" s="216">
        <f t="shared" ca="1" si="9"/>
        <v>1.571713804380368</v>
      </c>
    </row>
    <row r="48" spans="1:92">
      <c r="A48" s="176">
        <v>10962</v>
      </c>
      <c r="B48" s="177">
        <v>483</v>
      </c>
      <c r="C48" s="178">
        <v>70</v>
      </c>
      <c r="D48" s="178">
        <v>1870</v>
      </c>
      <c r="E48" s="178" t="s">
        <v>50</v>
      </c>
      <c r="F48" s="179" t="s">
        <v>67</v>
      </c>
      <c r="G48" s="185" t="s">
        <v>374</v>
      </c>
      <c r="H48" s="178" t="s">
        <v>63</v>
      </c>
      <c r="I48" s="178"/>
      <c r="J48" s="178"/>
      <c r="K48" s="178"/>
      <c r="L48" s="178" t="s">
        <v>59</v>
      </c>
      <c r="M48" s="178">
        <v>90</v>
      </c>
      <c r="N48" s="178"/>
      <c r="O48" s="178"/>
      <c r="P48" s="178"/>
      <c r="Q48" s="178"/>
      <c r="R48" s="178" t="s">
        <v>19</v>
      </c>
      <c r="S48" s="181"/>
      <c r="T48" s="181"/>
      <c r="U48" s="182"/>
      <c r="V48" s="182" t="s">
        <v>35</v>
      </c>
      <c r="W48" s="183">
        <v>300</v>
      </c>
      <c r="X48" s="182" t="s">
        <v>51</v>
      </c>
      <c r="Y48" s="184"/>
      <c r="Z48" s="184"/>
      <c r="AA48" s="184"/>
      <c r="AB48" s="184"/>
      <c r="AC48" s="184"/>
      <c r="AD48" s="184"/>
      <c r="AE48" s="184"/>
      <c r="AF48" s="184"/>
      <c r="AG48" s="184"/>
      <c r="AH48" s="184"/>
      <c r="AI48" s="184"/>
      <c r="AJ48" s="184"/>
      <c r="AK48" s="184"/>
      <c r="AL48" s="184"/>
      <c r="AM48" s="184"/>
      <c r="AN48" s="184"/>
      <c r="AO48" s="184"/>
      <c r="AP48" s="184"/>
      <c r="AQ48" s="184"/>
      <c r="AR48" s="184"/>
      <c r="AS48" s="184"/>
      <c r="AT48" s="184"/>
      <c r="AU48" s="184"/>
      <c r="AV48" s="184"/>
      <c r="AW48" s="184"/>
      <c r="AX48" s="184"/>
      <c r="AY48" s="184"/>
      <c r="AZ48" s="184"/>
      <c r="BA48" s="184"/>
      <c r="BB48" s="184"/>
      <c r="BC48" s="184"/>
      <c r="BD48" s="184"/>
      <c r="BE48" s="184"/>
      <c r="BF48" s="184"/>
      <c r="BG48" s="184">
        <v>1750</v>
      </c>
      <c r="BH48" s="184">
        <v>1750</v>
      </c>
      <c r="BI48" s="184">
        <v>1750</v>
      </c>
      <c r="BJ48" s="184"/>
      <c r="BK48" s="184"/>
      <c r="BL48" s="184"/>
      <c r="BM48" s="184"/>
      <c r="BN48" s="184"/>
      <c r="BO48" s="184"/>
      <c r="BP48" s="184"/>
      <c r="BQ48" s="184"/>
      <c r="BR48" s="184"/>
      <c r="BS48" s="184"/>
      <c r="BT48" s="184"/>
      <c r="BU48" s="146" cm="1">
        <f t="array" ref="BU48">LOOKUP(2,1/(Y48:BT48&lt;&gt;""),Y48:BH48)</f>
        <v>1750</v>
      </c>
      <c r="BV48" s="145" cm="1">
        <f t="array" aca="1" ref="BV48" ca="1">_xlfn.LET(
    _xlpm.last_col_idx, LOOKUP(2, 1/(Y48:BT48&lt;&gt;""), COLUMN(Y48:BT48) - COLUMN(Y48) + 1),
    _xlpm.header_val, INDEX($Y$3:$BT$3, 1, _xlpm.last_col_idx),
    _xlpm.header_date, IF(ISNUMBER(_xlpm.header_val), _xlpm.header_val, DATEVALUE(_xlpm.header_val)),
    IF(_xlpm.header_date &gt; TODAY(), TODAY(), _xlpm.header_date)
)</f>
        <v>46023</v>
      </c>
      <c r="BW48" s="209" cm="1">
        <f t="array" ref="BW48">(LOOKUP(2,1/(BH48:BT48&lt;&gt;""),BH48:BT48))/(INDEX(BH48:BT48,MATCH(TRUE,INDEX((BH48:BT48&lt;&gt;0),0),0)))-1</f>
        <v>0</v>
      </c>
      <c r="BX48" s="210">
        <f t="shared" si="0"/>
        <v>1.75</v>
      </c>
      <c r="BY48" s="210">
        <f t="shared" si="1"/>
        <v>10.325000000000001</v>
      </c>
      <c r="BZ48" s="210">
        <f ca="1">IF(L48="BR",'Impostos e Frete'!$F$6,IF(L48="EU",'Impostos e Frete'!$I$3,IF(L48="CN",'Impostos e Frete'!$I$4,IF(L48="JP",'Impostos e Frete'!$I$5,IF(L48="RU",'Impostos e Frete'!$I$7,"ERRO")))))</f>
        <v>0.1410816</v>
      </c>
      <c r="CA48" s="210">
        <f>VLOOKUP(L48,'Impostos e Frete'!$A$3:$B$7,2,0)*'Preços e Condições'!BY48</f>
        <v>1.3422500000000002</v>
      </c>
      <c r="CB48" s="147">
        <f t="shared" si="2"/>
        <v>0</v>
      </c>
      <c r="CC48" s="147">
        <f>IF(X48="BRL",'Impostos e Frete'!$B$11,'Impostos e Frete'!$B$12)</f>
        <v>9.1999999999999998E-2</v>
      </c>
      <c r="CD48" s="211">
        <f t="shared" ca="1" si="3"/>
        <v>11.900331600000001</v>
      </c>
      <c r="CE48" s="212">
        <f t="shared" ca="1" si="4"/>
        <v>0.83302321200000007</v>
      </c>
      <c r="CF48" s="213">
        <f>VLOOKUP(L48,'Impostos e Frete'!$A$3:$C$7,3,0)</f>
        <v>105</v>
      </c>
      <c r="CG48" s="213">
        <f t="shared" si="5"/>
        <v>90</v>
      </c>
      <c r="CH48" s="213">
        <f t="shared" si="6"/>
        <v>-15</v>
      </c>
      <c r="CI48" s="214">
        <f t="shared" ca="1" si="7"/>
        <v>8.8920277110929646E-2</v>
      </c>
      <c r="CJ48" s="215">
        <f t="shared" ca="1" si="8"/>
        <v>11.989251877110931</v>
      </c>
      <c r="CK48" s="216">
        <f t="shared" ca="1" si="9"/>
        <v>0.83924763139776515</v>
      </c>
    </row>
    <row r="49" spans="1:89">
      <c r="A49" s="176">
        <v>10962</v>
      </c>
      <c r="B49" s="177">
        <v>483</v>
      </c>
      <c r="C49" s="178">
        <v>70</v>
      </c>
      <c r="D49" s="178">
        <v>1870</v>
      </c>
      <c r="E49" s="178" t="s">
        <v>50</v>
      </c>
      <c r="F49" s="179" t="s">
        <v>67</v>
      </c>
      <c r="G49" s="185" t="s">
        <v>374</v>
      </c>
      <c r="H49" s="178" t="s">
        <v>63</v>
      </c>
      <c r="I49" s="178"/>
      <c r="J49" s="178"/>
      <c r="K49" s="178"/>
      <c r="L49" s="178" t="s">
        <v>59</v>
      </c>
      <c r="M49" s="178">
        <v>90</v>
      </c>
      <c r="N49" s="178"/>
      <c r="O49" s="178"/>
      <c r="P49" s="178"/>
      <c r="Q49" s="178"/>
      <c r="R49" s="178" t="s">
        <v>19</v>
      </c>
      <c r="S49" s="181"/>
      <c r="T49" s="181"/>
      <c r="U49" s="182"/>
      <c r="V49" s="182" t="s">
        <v>35</v>
      </c>
      <c r="W49" s="183">
        <v>150</v>
      </c>
      <c r="X49" s="182" t="s">
        <v>51</v>
      </c>
      <c r="Y49" s="184"/>
      <c r="Z49" s="184"/>
      <c r="AA49" s="184"/>
      <c r="AB49" s="184"/>
      <c r="AC49" s="184"/>
      <c r="AD49" s="184"/>
      <c r="AE49" s="184"/>
      <c r="AF49" s="184"/>
      <c r="AG49" s="184"/>
      <c r="AH49" s="184"/>
      <c r="AI49" s="184"/>
      <c r="AJ49" s="184"/>
      <c r="AK49" s="184"/>
      <c r="AL49" s="184"/>
      <c r="AM49" s="184"/>
      <c r="AN49" s="184"/>
      <c r="AO49" s="184"/>
      <c r="AP49" s="184"/>
      <c r="AQ49" s="184"/>
      <c r="AR49" s="184"/>
      <c r="AS49" s="184"/>
      <c r="AT49" s="184"/>
      <c r="AU49" s="184"/>
      <c r="AV49" s="184"/>
      <c r="AW49" s="184"/>
      <c r="AX49" s="184"/>
      <c r="AY49" s="184"/>
      <c r="AZ49" s="184"/>
      <c r="BA49" s="184"/>
      <c r="BB49" s="184"/>
      <c r="BC49" s="184"/>
      <c r="BD49" s="184"/>
      <c r="BE49" s="184"/>
      <c r="BF49" s="184"/>
      <c r="BG49" s="184">
        <v>1790</v>
      </c>
      <c r="BH49" s="184">
        <v>1790</v>
      </c>
      <c r="BI49" s="184">
        <v>1790</v>
      </c>
      <c r="BJ49" s="184"/>
      <c r="BK49" s="184"/>
      <c r="BL49" s="184"/>
      <c r="BM49" s="184"/>
      <c r="BN49" s="184"/>
      <c r="BO49" s="184"/>
      <c r="BP49" s="184"/>
      <c r="BQ49" s="184"/>
      <c r="BR49" s="184"/>
      <c r="BS49" s="184"/>
      <c r="BT49" s="184"/>
      <c r="BU49" s="146" cm="1">
        <f t="array" ref="BU49">LOOKUP(2,1/(Y49:BT49&lt;&gt;""),Y49:BH49)</f>
        <v>1790</v>
      </c>
      <c r="BV49" s="145" cm="1">
        <f t="array" aca="1" ref="BV49" ca="1">_xlfn.LET(
    _xlpm.last_col_idx, LOOKUP(2, 1/(Y49:BT49&lt;&gt;""), COLUMN(Y49:BT49) - COLUMN(Y49) + 1),
    _xlpm.header_val, INDEX($Y$3:$BT$3, 1, _xlpm.last_col_idx),
    _xlpm.header_date, IF(ISNUMBER(_xlpm.header_val), _xlpm.header_val, DATEVALUE(_xlpm.header_val)),
    IF(_xlpm.header_date &gt; TODAY(), TODAY(), _xlpm.header_date)
)</f>
        <v>46023</v>
      </c>
      <c r="BW49" s="209" cm="1">
        <f t="array" ref="BW49">(LOOKUP(2,1/(BH49:BT49&lt;&gt;""),BH49:BT49))/(INDEX(BH49:BT49,MATCH(TRUE,INDEX((BH49:BT49&lt;&gt;0),0),0)))-1</f>
        <v>0</v>
      </c>
      <c r="BX49" s="210">
        <f t="shared" si="0"/>
        <v>1.79</v>
      </c>
      <c r="BY49" s="210">
        <f t="shared" si="1"/>
        <v>10.561000000000002</v>
      </c>
      <c r="BZ49" s="210">
        <f ca="1">IF(L49="BR",'Impostos e Frete'!$F$6,IF(L49="EU",'Impostos e Frete'!$I$3,IF(L49="CN",'Impostos e Frete'!$I$4,IF(L49="JP",'Impostos e Frete'!$I$5,IF(L49="RU",'Impostos e Frete'!$I$7,"ERRO")))))</f>
        <v>0.1410816</v>
      </c>
      <c r="CA49" s="210">
        <f>VLOOKUP(L49,'Impostos e Frete'!$A$3:$B$7,2,0)*'Preços e Condições'!BY49</f>
        <v>1.3729300000000002</v>
      </c>
      <c r="CB49" s="147">
        <f t="shared" si="2"/>
        <v>0</v>
      </c>
      <c r="CC49" s="147">
        <f>IF(X49="BRL",'Impostos e Frete'!$B$11,'Impostos e Frete'!$B$12)</f>
        <v>9.1999999999999998E-2</v>
      </c>
      <c r="CD49" s="211">
        <f t="shared" ca="1" si="3"/>
        <v>12.167011600000002</v>
      </c>
      <c r="CE49" s="212">
        <f t="shared" ca="1" si="4"/>
        <v>0.85169081200000019</v>
      </c>
      <c r="CF49" s="213">
        <f>VLOOKUP(L49,'Impostos e Frete'!$A$3:$C$7,3,0)</f>
        <v>105</v>
      </c>
      <c r="CG49" s="213">
        <f t="shared" si="5"/>
        <v>90</v>
      </c>
      <c r="CH49" s="213">
        <f t="shared" si="6"/>
        <v>-15</v>
      </c>
      <c r="CI49" s="214">
        <f t="shared" ca="1" si="7"/>
        <v>9.0912932466848062E-2</v>
      </c>
      <c r="CJ49" s="215">
        <f t="shared" ca="1" si="8"/>
        <v>12.25792453246685</v>
      </c>
      <c r="CK49" s="216">
        <f t="shared" ca="1" si="9"/>
        <v>0.85805471727267946</v>
      </c>
    </row>
    <row r="50" spans="1:89">
      <c r="A50" s="176">
        <v>10962</v>
      </c>
      <c r="B50" s="177">
        <v>483</v>
      </c>
      <c r="C50" s="178">
        <v>70</v>
      </c>
      <c r="D50" s="178">
        <v>1870</v>
      </c>
      <c r="E50" s="178" t="s">
        <v>50</v>
      </c>
      <c r="F50" s="179" t="s">
        <v>67</v>
      </c>
      <c r="G50" s="185" t="s">
        <v>374</v>
      </c>
      <c r="H50" s="178" t="s">
        <v>63</v>
      </c>
      <c r="I50" s="178"/>
      <c r="J50" s="178"/>
      <c r="K50" s="178"/>
      <c r="L50" s="178" t="s">
        <v>59</v>
      </c>
      <c r="M50" s="178">
        <v>90</v>
      </c>
      <c r="N50" s="178"/>
      <c r="O50" s="178"/>
      <c r="P50" s="178"/>
      <c r="Q50" s="178"/>
      <c r="R50" s="178" t="s">
        <v>19</v>
      </c>
      <c r="S50" s="181"/>
      <c r="T50" s="181"/>
      <c r="U50" s="182"/>
      <c r="V50" s="182" t="s">
        <v>35</v>
      </c>
      <c r="W50" s="183">
        <v>100</v>
      </c>
      <c r="X50" s="182" t="s">
        <v>51</v>
      </c>
      <c r="Y50" s="184"/>
      <c r="Z50" s="184"/>
      <c r="AA50" s="184"/>
      <c r="AB50" s="184"/>
      <c r="AC50" s="184"/>
      <c r="AD50" s="184"/>
      <c r="AE50" s="184"/>
      <c r="AF50" s="184"/>
      <c r="AG50" s="184"/>
      <c r="AH50" s="184"/>
      <c r="AI50" s="184"/>
      <c r="AJ50" s="184"/>
      <c r="AK50" s="184"/>
      <c r="AL50" s="184"/>
      <c r="AM50" s="184"/>
      <c r="AN50" s="184"/>
      <c r="AO50" s="184"/>
      <c r="AP50" s="184"/>
      <c r="AQ50" s="184"/>
      <c r="AR50" s="184"/>
      <c r="AS50" s="184"/>
      <c r="AT50" s="184"/>
      <c r="AU50" s="184"/>
      <c r="AV50" s="184"/>
      <c r="AW50" s="184"/>
      <c r="AX50" s="184"/>
      <c r="AY50" s="184"/>
      <c r="AZ50" s="184"/>
      <c r="BA50" s="184"/>
      <c r="BB50" s="184"/>
      <c r="BC50" s="184"/>
      <c r="BD50" s="184"/>
      <c r="BE50" s="184"/>
      <c r="BF50" s="184"/>
      <c r="BG50" s="184">
        <v>1900</v>
      </c>
      <c r="BH50" s="184">
        <v>1900</v>
      </c>
      <c r="BI50" s="184">
        <v>1900</v>
      </c>
      <c r="BJ50" s="184"/>
      <c r="BK50" s="184"/>
      <c r="BL50" s="184"/>
      <c r="BM50" s="184"/>
      <c r="BN50" s="184"/>
      <c r="BO50" s="184"/>
      <c r="BP50" s="184"/>
      <c r="BQ50" s="184"/>
      <c r="BR50" s="184"/>
      <c r="BS50" s="184"/>
      <c r="BT50" s="184"/>
      <c r="BU50" s="146" cm="1">
        <f t="array" ref="BU50">LOOKUP(2,1/(Y50:BT50&lt;&gt;""),Y50:BH50)</f>
        <v>1900</v>
      </c>
      <c r="BV50" s="145" cm="1">
        <f t="array" aca="1" ref="BV50" ca="1">_xlfn.LET(
    _xlpm.last_col_idx, LOOKUP(2, 1/(Y50:BT50&lt;&gt;""), COLUMN(Y50:BT50) - COLUMN(Y50) + 1),
    _xlpm.header_val, INDEX($Y$3:$BT$3, 1, _xlpm.last_col_idx),
    _xlpm.header_date, IF(ISNUMBER(_xlpm.header_val), _xlpm.header_val, DATEVALUE(_xlpm.header_val)),
    IF(_xlpm.header_date &gt; TODAY(), TODAY(), _xlpm.header_date)
)</f>
        <v>46023</v>
      </c>
      <c r="BW50" s="209" cm="1">
        <f t="array" ref="BW50">(LOOKUP(2,1/(BH50:BT50&lt;&gt;""),BH50:BT50))/(INDEX(BH50:BT50,MATCH(TRUE,INDEX((BH50:BT50&lt;&gt;0),0),0)))-1</f>
        <v>0</v>
      </c>
      <c r="BX50" s="210">
        <f t="shared" si="0"/>
        <v>1.9</v>
      </c>
      <c r="BY50" s="210">
        <f t="shared" si="1"/>
        <v>11.21</v>
      </c>
      <c r="BZ50" s="210">
        <f ca="1">IF(L50="BR",'Impostos e Frete'!$F$6,IF(L50="EU",'Impostos e Frete'!$I$3,IF(L50="CN",'Impostos e Frete'!$I$4,IF(L50="JP",'Impostos e Frete'!$I$5,IF(L50="RU",'Impostos e Frete'!$I$7,"ERRO")))))</f>
        <v>0.1410816</v>
      </c>
      <c r="CA50" s="210">
        <f>VLOOKUP(L50,'Impostos e Frete'!$A$3:$B$7,2,0)*'Preços e Condições'!BY50</f>
        <v>1.4573000000000003</v>
      </c>
      <c r="CB50" s="147">
        <f t="shared" si="2"/>
        <v>0</v>
      </c>
      <c r="CC50" s="147">
        <f>IF(X50="BRL",'Impostos e Frete'!$B$11,'Impostos e Frete'!$B$12)</f>
        <v>9.1999999999999998E-2</v>
      </c>
      <c r="CD50" s="211">
        <f t="shared" ca="1" si="3"/>
        <v>12.900381600000001</v>
      </c>
      <c r="CE50" s="212">
        <f t="shared" ca="1" si="4"/>
        <v>0.90302671200000018</v>
      </c>
      <c r="CF50" s="213">
        <f>VLOOKUP(L50,'Impostos e Frete'!$A$3:$C$7,3,0)</f>
        <v>105</v>
      </c>
      <c r="CG50" s="213">
        <f t="shared" si="5"/>
        <v>90</v>
      </c>
      <c r="CH50" s="213">
        <f t="shared" si="6"/>
        <v>-15</v>
      </c>
      <c r="CI50" s="214">
        <f t="shared" ca="1" si="7"/>
        <v>9.6392734695623261E-2</v>
      </c>
      <c r="CJ50" s="215">
        <f t="shared" ca="1" si="8"/>
        <v>12.996774334695624</v>
      </c>
      <c r="CK50" s="216">
        <f t="shared" ca="1" si="9"/>
        <v>0.90977420342869375</v>
      </c>
    </row>
    <row r="51" spans="1:89">
      <c r="A51" s="176">
        <v>10962</v>
      </c>
      <c r="B51" s="177">
        <v>483</v>
      </c>
      <c r="C51" s="178">
        <v>70</v>
      </c>
      <c r="D51" s="178">
        <v>1870</v>
      </c>
      <c r="E51" s="178" t="s">
        <v>50</v>
      </c>
      <c r="F51" s="179" t="s">
        <v>67</v>
      </c>
      <c r="G51" s="185" t="s">
        <v>374</v>
      </c>
      <c r="H51" s="178" t="s">
        <v>63</v>
      </c>
      <c r="I51" s="178"/>
      <c r="J51" s="178"/>
      <c r="K51" s="178"/>
      <c r="L51" s="178" t="s">
        <v>59</v>
      </c>
      <c r="M51" s="178">
        <v>90</v>
      </c>
      <c r="N51" s="178"/>
      <c r="O51" s="178"/>
      <c r="P51" s="178"/>
      <c r="Q51" s="178"/>
      <c r="R51" s="178" t="s">
        <v>19</v>
      </c>
      <c r="S51" s="181"/>
      <c r="T51" s="181"/>
      <c r="U51" s="182"/>
      <c r="V51" s="182" t="s">
        <v>35</v>
      </c>
      <c r="W51" s="183">
        <v>50</v>
      </c>
      <c r="X51" s="182" t="s">
        <v>51</v>
      </c>
      <c r="Y51" s="184"/>
      <c r="Z51" s="184"/>
      <c r="AA51" s="184"/>
      <c r="AB51" s="184"/>
      <c r="AC51" s="184"/>
      <c r="AD51" s="184"/>
      <c r="AE51" s="184"/>
      <c r="AF51" s="184"/>
      <c r="AG51" s="184"/>
      <c r="AH51" s="184"/>
      <c r="AI51" s="184"/>
      <c r="AJ51" s="184"/>
      <c r="AK51" s="184"/>
      <c r="AL51" s="184"/>
      <c r="AM51" s="184"/>
      <c r="AN51" s="184"/>
      <c r="AO51" s="184"/>
      <c r="AP51" s="184"/>
      <c r="AQ51" s="184"/>
      <c r="AR51" s="184"/>
      <c r="AS51" s="184"/>
      <c r="AT51" s="184"/>
      <c r="AU51" s="184"/>
      <c r="AV51" s="184"/>
      <c r="AW51" s="184"/>
      <c r="AX51" s="184"/>
      <c r="AY51" s="184"/>
      <c r="AZ51" s="184"/>
      <c r="BA51" s="184"/>
      <c r="BB51" s="184"/>
      <c r="BC51" s="184"/>
      <c r="BD51" s="184"/>
      <c r="BE51" s="184"/>
      <c r="BF51" s="184"/>
      <c r="BG51" s="184">
        <v>2050</v>
      </c>
      <c r="BH51" s="184">
        <v>2050</v>
      </c>
      <c r="BI51" s="184">
        <v>2050</v>
      </c>
      <c r="BJ51" s="184"/>
      <c r="BK51" s="184"/>
      <c r="BL51" s="184"/>
      <c r="BM51" s="184"/>
      <c r="BN51" s="184"/>
      <c r="BO51" s="184"/>
      <c r="BP51" s="184"/>
      <c r="BQ51" s="184"/>
      <c r="BR51" s="184"/>
      <c r="BS51" s="184"/>
      <c r="BT51" s="184"/>
      <c r="BU51" s="146" cm="1">
        <f t="array" ref="BU51">LOOKUP(2,1/(Y51:BT51&lt;&gt;""),Y51:BH51)</f>
        <v>2050</v>
      </c>
      <c r="BV51" s="145" cm="1">
        <f t="array" aca="1" ref="BV51" ca="1">_xlfn.LET(
    _xlpm.last_col_idx, LOOKUP(2, 1/(Y51:BT51&lt;&gt;""), COLUMN(Y51:BT51) - COLUMN(Y51) + 1),
    _xlpm.header_val, INDEX($Y$3:$BT$3, 1, _xlpm.last_col_idx),
    _xlpm.header_date, IF(ISNUMBER(_xlpm.header_val), _xlpm.header_val, DATEVALUE(_xlpm.header_val)),
    IF(_xlpm.header_date &gt; TODAY(), TODAY(), _xlpm.header_date)
)</f>
        <v>46023</v>
      </c>
      <c r="BW51" s="209" cm="1">
        <f t="array" ref="BW51">(LOOKUP(2,1/(BH51:BT51&lt;&gt;""),BH51:BT51))/(INDEX(BH51:BT51,MATCH(TRUE,INDEX((BH51:BT51&lt;&gt;0),0),0)))-1</f>
        <v>0</v>
      </c>
      <c r="BX51" s="210">
        <f t="shared" si="0"/>
        <v>2.0499999999999998</v>
      </c>
      <c r="BY51" s="210">
        <f t="shared" si="1"/>
        <v>12.094999999999999</v>
      </c>
      <c r="BZ51" s="210">
        <f ca="1">IF(L51="BR",'Impostos e Frete'!$F$6,IF(L51="EU",'Impostos e Frete'!$I$3,IF(L51="CN",'Impostos e Frete'!$I$4,IF(L51="JP",'Impostos e Frete'!$I$5,IF(L51="RU",'Impostos e Frete'!$I$7,"ERRO")))))</f>
        <v>0.1410816</v>
      </c>
      <c r="CA51" s="210">
        <f>VLOOKUP(L51,'Impostos e Frete'!$A$3:$B$7,2,0)*'Preços e Condições'!BY51</f>
        <v>1.5723499999999999</v>
      </c>
      <c r="CB51" s="147">
        <f t="shared" si="2"/>
        <v>0</v>
      </c>
      <c r="CC51" s="147">
        <f>IF(X51="BRL",'Impostos e Frete'!$B$11,'Impostos e Frete'!$B$12)</f>
        <v>9.1999999999999998E-2</v>
      </c>
      <c r="CD51" s="211">
        <f t="shared" ca="1" si="3"/>
        <v>13.900431599999999</v>
      </c>
      <c r="CE51" s="212">
        <f t="shared" ca="1" si="4"/>
        <v>0.97303021199999995</v>
      </c>
      <c r="CF51" s="213">
        <f>VLOOKUP(L51,'Impostos e Frete'!$A$3:$C$7,3,0)</f>
        <v>105</v>
      </c>
      <c r="CG51" s="213">
        <f t="shared" si="5"/>
        <v>90</v>
      </c>
      <c r="CH51" s="213">
        <f t="shared" si="6"/>
        <v>-15</v>
      </c>
      <c r="CI51" s="214">
        <f t="shared" ca="1" si="7"/>
        <v>0.10386519228031688</v>
      </c>
      <c r="CJ51" s="215">
        <f t="shared" ca="1" si="8"/>
        <v>14.004296792280316</v>
      </c>
      <c r="CK51" s="216">
        <f t="shared" ca="1" si="9"/>
        <v>0.98030077545962213</v>
      </c>
    </row>
    <row r="52" spans="1:89">
      <c r="A52" s="176">
        <v>10962</v>
      </c>
      <c r="B52" s="177">
        <v>483</v>
      </c>
      <c r="C52" s="178">
        <v>70</v>
      </c>
      <c r="D52" s="178">
        <v>1870</v>
      </c>
      <c r="E52" s="178" t="s">
        <v>50</v>
      </c>
      <c r="F52" s="179" t="s">
        <v>67</v>
      </c>
      <c r="G52" s="185" t="s">
        <v>374</v>
      </c>
      <c r="H52" s="178" t="s">
        <v>63</v>
      </c>
      <c r="I52" s="178"/>
      <c r="J52" s="178"/>
      <c r="K52" s="178"/>
      <c r="L52" s="178" t="s">
        <v>59</v>
      </c>
      <c r="M52" s="178">
        <v>90</v>
      </c>
      <c r="N52" s="178"/>
      <c r="O52" s="178"/>
      <c r="P52" s="178"/>
      <c r="Q52" s="178"/>
      <c r="R52" s="178" t="s">
        <v>19</v>
      </c>
      <c r="S52" s="181"/>
      <c r="T52" s="181"/>
      <c r="U52" s="182"/>
      <c r="V52" s="182" t="s">
        <v>35</v>
      </c>
      <c r="W52" s="183">
        <v>25</v>
      </c>
      <c r="X52" s="182" t="s">
        <v>51</v>
      </c>
      <c r="Y52" s="184"/>
      <c r="Z52" s="184"/>
      <c r="AA52" s="184"/>
      <c r="AB52" s="184"/>
      <c r="AC52" s="184"/>
      <c r="AD52" s="184"/>
      <c r="AE52" s="184"/>
      <c r="AF52" s="184"/>
      <c r="AG52" s="184"/>
      <c r="AH52" s="184"/>
      <c r="AI52" s="184"/>
      <c r="AJ52" s="184"/>
      <c r="AK52" s="184"/>
      <c r="AL52" s="184"/>
      <c r="AM52" s="184"/>
      <c r="AN52" s="184"/>
      <c r="AO52" s="184"/>
      <c r="AP52" s="184"/>
      <c r="AQ52" s="184"/>
      <c r="AR52" s="184"/>
      <c r="AS52" s="184"/>
      <c r="AT52" s="184"/>
      <c r="AU52" s="184"/>
      <c r="AV52" s="184"/>
      <c r="AW52" s="184"/>
      <c r="AX52" s="184"/>
      <c r="AY52" s="184"/>
      <c r="AZ52" s="184"/>
      <c r="BA52" s="184"/>
      <c r="BB52" s="184"/>
      <c r="BC52" s="184"/>
      <c r="BD52" s="184"/>
      <c r="BE52" s="184"/>
      <c r="BF52" s="184"/>
      <c r="BG52" s="184">
        <v>2350</v>
      </c>
      <c r="BH52" s="184">
        <v>2350</v>
      </c>
      <c r="BI52" s="184">
        <v>2350</v>
      </c>
      <c r="BJ52" s="184"/>
      <c r="BK52" s="184"/>
      <c r="BL52" s="184"/>
      <c r="BM52" s="184"/>
      <c r="BN52" s="184"/>
      <c r="BO52" s="184"/>
      <c r="BP52" s="184"/>
      <c r="BQ52" s="184"/>
      <c r="BR52" s="184"/>
      <c r="BS52" s="184"/>
      <c r="BT52" s="184"/>
      <c r="BU52" s="146" cm="1">
        <f t="array" ref="BU52">LOOKUP(2,1/(Y52:BT52&lt;&gt;""),Y52:BH52)</f>
        <v>2350</v>
      </c>
      <c r="BV52" s="145" cm="1">
        <f t="array" aca="1" ref="BV52" ca="1">_xlfn.LET(
    _xlpm.last_col_idx, LOOKUP(2, 1/(Y52:BT52&lt;&gt;""), COLUMN(Y52:BT52) - COLUMN(Y52) + 1),
    _xlpm.header_val, INDEX($Y$3:$BT$3, 1, _xlpm.last_col_idx),
    _xlpm.header_date, IF(ISNUMBER(_xlpm.header_val), _xlpm.header_val, DATEVALUE(_xlpm.header_val)),
    IF(_xlpm.header_date &gt; TODAY(), TODAY(), _xlpm.header_date)
)</f>
        <v>46023</v>
      </c>
      <c r="BW52" s="209" cm="1">
        <f t="array" ref="BW52">(LOOKUP(2,1/(BH52:BT52&lt;&gt;""),BH52:BT52))/(INDEX(BH52:BT52,MATCH(TRUE,INDEX((BH52:BT52&lt;&gt;0),0),0)))-1</f>
        <v>0</v>
      </c>
      <c r="BX52" s="210">
        <f t="shared" si="0"/>
        <v>2.35</v>
      </c>
      <c r="BY52" s="210">
        <f t="shared" si="1"/>
        <v>13.865000000000002</v>
      </c>
      <c r="BZ52" s="210">
        <f ca="1">IF(L52="BR",'Impostos e Frete'!$F$6,IF(L52="EU",'Impostos e Frete'!$I$3,IF(L52="CN",'Impostos e Frete'!$I$4,IF(L52="JP",'Impostos e Frete'!$I$5,IF(L52="RU",'Impostos e Frete'!$I$7,"ERRO")))))</f>
        <v>0.1410816</v>
      </c>
      <c r="CA52" s="210">
        <f>VLOOKUP(L52,'Impostos e Frete'!$A$3:$B$7,2,0)*'Preços e Condições'!BY52</f>
        <v>1.8024500000000003</v>
      </c>
      <c r="CB52" s="147">
        <f t="shared" si="2"/>
        <v>0</v>
      </c>
      <c r="CC52" s="147">
        <f>IF(X52="BRL",'Impostos e Frete'!$B$11,'Impostos e Frete'!$B$12)</f>
        <v>9.1999999999999998E-2</v>
      </c>
      <c r="CD52" s="211">
        <f t="shared" ca="1" si="3"/>
        <v>15.900531600000003</v>
      </c>
      <c r="CE52" s="212">
        <f t="shared" ca="1" si="4"/>
        <v>1.1130372120000003</v>
      </c>
      <c r="CF52" s="213">
        <f>VLOOKUP(L52,'Impostos e Frete'!$A$3:$C$7,3,0)</f>
        <v>105</v>
      </c>
      <c r="CG52" s="213">
        <f t="shared" si="5"/>
        <v>90</v>
      </c>
      <c r="CH52" s="213">
        <f t="shared" si="6"/>
        <v>-15</v>
      </c>
      <c r="CI52" s="214">
        <f t="shared" ca="1" si="7"/>
        <v>0.11881010744970233</v>
      </c>
      <c r="CJ52" s="215">
        <f t="shared" ca="1" si="8"/>
        <v>16.019341707449705</v>
      </c>
      <c r="CK52" s="216">
        <f t="shared" ca="1" si="9"/>
        <v>1.1213539195214794</v>
      </c>
    </row>
    <row r="53" spans="1:89">
      <c r="A53" s="176">
        <v>10963</v>
      </c>
      <c r="B53" s="177">
        <v>689</v>
      </c>
      <c r="C53" s="178">
        <v>70</v>
      </c>
      <c r="D53" s="178">
        <v>1870</v>
      </c>
      <c r="E53" s="178" t="s">
        <v>50</v>
      </c>
      <c r="F53" s="179" t="s">
        <v>67</v>
      </c>
      <c r="G53" s="185" t="s">
        <v>375</v>
      </c>
      <c r="H53" s="178" t="s">
        <v>371</v>
      </c>
      <c r="I53" s="178"/>
      <c r="J53" s="178"/>
      <c r="K53" s="178"/>
      <c r="L53" s="178" t="s">
        <v>59</v>
      </c>
      <c r="M53" s="178">
        <v>90</v>
      </c>
      <c r="N53" s="178"/>
      <c r="O53" s="178"/>
      <c r="P53" s="178"/>
      <c r="Q53" s="178"/>
      <c r="R53" s="178" t="s">
        <v>19</v>
      </c>
      <c r="S53" s="181"/>
      <c r="T53" s="181"/>
      <c r="U53" s="182"/>
      <c r="V53" s="182" t="s">
        <v>35</v>
      </c>
      <c r="W53" s="183">
        <v>100</v>
      </c>
      <c r="X53" s="182" t="s">
        <v>51</v>
      </c>
      <c r="Y53" s="184"/>
      <c r="Z53" s="184"/>
      <c r="AA53" s="184"/>
      <c r="AB53" s="184"/>
      <c r="AC53" s="184"/>
      <c r="AD53" s="184"/>
      <c r="AE53" s="184"/>
      <c r="AF53" s="184"/>
      <c r="AG53" s="184"/>
      <c r="AH53" s="184"/>
      <c r="AI53" s="184"/>
      <c r="AJ53" s="184"/>
      <c r="AK53" s="184"/>
      <c r="AL53" s="184"/>
      <c r="AM53" s="184"/>
      <c r="AN53" s="184"/>
      <c r="AO53" s="184"/>
      <c r="AP53" s="184"/>
      <c r="AQ53" s="184"/>
      <c r="AR53" s="184"/>
      <c r="AS53" s="184"/>
      <c r="AT53" s="184"/>
      <c r="AU53" s="184"/>
      <c r="AV53" s="184"/>
      <c r="AW53" s="184"/>
      <c r="AX53" s="184"/>
      <c r="AY53" s="184"/>
      <c r="AZ53" s="184"/>
      <c r="BA53" s="184"/>
      <c r="BB53" s="184"/>
      <c r="BC53" s="184"/>
      <c r="BD53" s="184"/>
      <c r="BE53" s="184"/>
      <c r="BF53" s="184"/>
      <c r="BG53" s="184">
        <v>1790</v>
      </c>
      <c r="BH53" s="184">
        <v>1790</v>
      </c>
      <c r="BI53" s="184">
        <v>1790</v>
      </c>
      <c r="BJ53" s="184"/>
      <c r="BK53" s="184"/>
      <c r="BL53" s="184"/>
      <c r="BM53" s="184"/>
      <c r="BN53" s="184"/>
      <c r="BO53" s="184"/>
      <c r="BP53" s="184"/>
      <c r="BQ53" s="184"/>
      <c r="BR53" s="184"/>
      <c r="BS53" s="184"/>
      <c r="BT53" s="184"/>
      <c r="BU53" s="146" cm="1">
        <f t="array" ref="BU53">LOOKUP(2,1/(Y53:BT53&lt;&gt;""),Y53:BH53)</f>
        <v>1790</v>
      </c>
      <c r="BV53" s="145" cm="1">
        <f t="array" aca="1" ref="BV53" ca="1">_xlfn.LET(
    _xlpm.last_col_idx, LOOKUP(2, 1/(Y53:BT53&lt;&gt;""), COLUMN(Y53:BT53) - COLUMN(Y53) + 1),
    _xlpm.header_val, INDEX($Y$3:$BT$3, 1, _xlpm.last_col_idx),
    _xlpm.header_date, IF(ISNUMBER(_xlpm.header_val), _xlpm.header_val, DATEVALUE(_xlpm.header_val)),
    IF(_xlpm.header_date &gt; TODAY(), TODAY(), _xlpm.header_date)
)</f>
        <v>46023</v>
      </c>
      <c r="BW53" s="209" cm="1">
        <f t="array" ref="BW53">(LOOKUP(2,1/(BH53:BT53&lt;&gt;""),BH53:BT53))/(INDEX(BH53:BT53,MATCH(TRUE,INDEX((BH53:BT53&lt;&gt;0),0),0)))-1</f>
        <v>0</v>
      </c>
      <c r="BX53" s="210">
        <f t="shared" si="0"/>
        <v>1.79</v>
      </c>
      <c r="BY53" s="210">
        <f t="shared" si="1"/>
        <v>10.561000000000002</v>
      </c>
      <c r="BZ53" s="210">
        <f ca="1">IF(L53="BR",'Impostos e Frete'!$F$6,IF(L53="EU",'Impostos e Frete'!$I$3,IF(L53="CN",'Impostos e Frete'!$I$4,IF(L53="JP",'Impostos e Frete'!$I$5,IF(L53="RU",'Impostos e Frete'!$I$7,"ERRO")))))</f>
        <v>0.1410816</v>
      </c>
      <c r="CA53" s="210">
        <f>VLOOKUP(L53,'Impostos e Frete'!$A$3:$B$7,2,0)*'Preços e Condições'!BY53</f>
        <v>1.3729300000000002</v>
      </c>
      <c r="CB53" s="147">
        <f t="shared" si="2"/>
        <v>0</v>
      </c>
      <c r="CC53" s="147">
        <f>IF(X53="BRL",'Impostos e Frete'!$B$11,'Impostos e Frete'!$B$12)</f>
        <v>9.1999999999999998E-2</v>
      </c>
      <c r="CD53" s="211">
        <f t="shared" ca="1" si="3"/>
        <v>12.167011600000002</v>
      </c>
      <c r="CE53" s="212">
        <f t="shared" ca="1" si="4"/>
        <v>0.85169081200000019</v>
      </c>
      <c r="CF53" s="213">
        <f>VLOOKUP(L53,'Impostos e Frete'!$A$3:$C$7,3,0)</f>
        <v>105</v>
      </c>
      <c r="CG53" s="213">
        <f t="shared" si="5"/>
        <v>90</v>
      </c>
      <c r="CH53" s="213">
        <f t="shared" si="6"/>
        <v>-15</v>
      </c>
      <c r="CI53" s="214">
        <f t="shared" ca="1" si="7"/>
        <v>9.0912932466848062E-2</v>
      </c>
      <c r="CJ53" s="215">
        <f t="shared" ca="1" si="8"/>
        <v>12.25792453246685</v>
      </c>
      <c r="CK53" s="216">
        <f t="shared" ca="1" si="9"/>
        <v>0.85805471727267946</v>
      </c>
    </row>
    <row r="54" spans="1:89">
      <c r="A54" s="176">
        <v>10963</v>
      </c>
      <c r="B54" s="177">
        <v>689</v>
      </c>
      <c r="C54" s="178">
        <v>70</v>
      </c>
      <c r="D54" s="178">
        <v>1870</v>
      </c>
      <c r="E54" s="178" t="s">
        <v>50</v>
      </c>
      <c r="F54" s="179" t="s">
        <v>67</v>
      </c>
      <c r="G54" s="185" t="s">
        <v>375</v>
      </c>
      <c r="H54" s="178" t="s">
        <v>371</v>
      </c>
      <c r="I54" s="178"/>
      <c r="J54" s="178"/>
      <c r="K54" s="178"/>
      <c r="L54" s="178" t="s">
        <v>59</v>
      </c>
      <c r="M54" s="178">
        <v>90</v>
      </c>
      <c r="N54" s="178"/>
      <c r="O54" s="178"/>
      <c r="P54" s="178"/>
      <c r="Q54" s="178"/>
      <c r="R54" s="178" t="s">
        <v>19</v>
      </c>
      <c r="S54" s="181"/>
      <c r="T54" s="181"/>
      <c r="U54" s="182"/>
      <c r="V54" s="182" t="s">
        <v>35</v>
      </c>
      <c r="W54" s="183">
        <v>50</v>
      </c>
      <c r="X54" s="182" t="s">
        <v>51</v>
      </c>
      <c r="Y54" s="184"/>
      <c r="Z54" s="184"/>
      <c r="AA54" s="184"/>
      <c r="AB54" s="184"/>
      <c r="AC54" s="184"/>
      <c r="AD54" s="184"/>
      <c r="AE54" s="184"/>
      <c r="AF54" s="184"/>
      <c r="AG54" s="184"/>
      <c r="AH54" s="184"/>
      <c r="AI54" s="184"/>
      <c r="AJ54" s="184"/>
      <c r="AK54" s="184"/>
      <c r="AL54" s="184"/>
      <c r="AM54" s="184"/>
      <c r="AN54" s="184"/>
      <c r="AO54" s="184"/>
      <c r="AP54" s="184"/>
      <c r="AQ54" s="184"/>
      <c r="AR54" s="184"/>
      <c r="AS54" s="184"/>
      <c r="AT54" s="184"/>
      <c r="AU54" s="184"/>
      <c r="AV54" s="184"/>
      <c r="AW54" s="184"/>
      <c r="AX54" s="184"/>
      <c r="AY54" s="184"/>
      <c r="AZ54" s="184"/>
      <c r="BA54" s="184"/>
      <c r="BB54" s="184"/>
      <c r="BC54" s="184"/>
      <c r="BD54" s="184"/>
      <c r="BE54" s="184"/>
      <c r="BF54" s="184"/>
      <c r="BG54" s="184">
        <v>1890</v>
      </c>
      <c r="BH54" s="184">
        <v>1890</v>
      </c>
      <c r="BI54" s="184">
        <v>1890</v>
      </c>
      <c r="BJ54" s="184"/>
      <c r="BK54" s="184"/>
      <c r="BL54" s="184"/>
      <c r="BM54" s="184"/>
      <c r="BN54" s="184"/>
      <c r="BO54" s="184"/>
      <c r="BP54" s="184"/>
      <c r="BQ54" s="184"/>
      <c r="BR54" s="184"/>
      <c r="BS54" s="184"/>
      <c r="BT54" s="184"/>
      <c r="BU54" s="146" cm="1">
        <f t="array" ref="BU54">LOOKUP(2,1/(Y54:BT54&lt;&gt;""),Y54:BH54)</f>
        <v>1890</v>
      </c>
      <c r="BV54" s="145" cm="1">
        <f t="array" aca="1" ref="BV54" ca="1">_xlfn.LET(
    _xlpm.last_col_idx, LOOKUP(2, 1/(Y54:BT54&lt;&gt;""), COLUMN(Y54:BT54) - COLUMN(Y54) + 1),
    _xlpm.header_val, INDEX($Y$3:$BT$3, 1, _xlpm.last_col_idx),
    _xlpm.header_date, IF(ISNUMBER(_xlpm.header_val), _xlpm.header_val, DATEVALUE(_xlpm.header_val)),
    IF(_xlpm.header_date &gt; TODAY(), TODAY(), _xlpm.header_date)
)</f>
        <v>46023</v>
      </c>
      <c r="BW54" s="209" cm="1">
        <f t="array" ref="BW54">(LOOKUP(2,1/(BH54:BT54&lt;&gt;""),BH54:BT54))/(INDEX(BH54:BT54,MATCH(TRUE,INDEX((BH54:BT54&lt;&gt;0),0),0)))-1</f>
        <v>0</v>
      </c>
      <c r="BX54" s="210">
        <f t="shared" si="0"/>
        <v>1.89</v>
      </c>
      <c r="BY54" s="210">
        <f t="shared" si="1"/>
        <v>11.151</v>
      </c>
      <c r="BZ54" s="210">
        <f ca="1">IF(L54="BR",'Impostos e Frete'!$F$6,IF(L54="EU",'Impostos e Frete'!$I$3,IF(L54="CN",'Impostos e Frete'!$I$4,IF(L54="JP",'Impostos e Frete'!$I$5,IF(L54="RU",'Impostos e Frete'!$I$7,"ERRO")))))</f>
        <v>0.1410816</v>
      </c>
      <c r="CA54" s="210">
        <f>VLOOKUP(L54,'Impostos e Frete'!$A$3:$B$7,2,0)*'Preços e Condições'!BY54</f>
        <v>1.44963</v>
      </c>
      <c r="CB54" s="147">
        <f t="shared" si="2"/>
        <v>0</v>
      </c>
      <c r="CC54" s="147">
        <f>IF(X54="BRL",'Impostos e Frete'!$B$11,'Impostos e Frete'!$B$12)</f>
        <v>9.1999999999999998E-2</v>
      </c>
      <c r="CD54" s="211">
        <f t="shared" ca="1" si="3"/>
        <v>12.833711599999999</v>
      </c>
      <c r="CE54" s="212">
        <f t="shared" ca="1" si="4"/>
        <v>0.89835981199999992</v>
      </c>
      <c r="CF54" s="213">
        <f>VLOOKUP(L54,'Impostos e Frete'!$A$3:$C$7,3,0)</f>
        <v>105</v>
      </c>
      <c r="CG54" s="213">
        <f t="shared" si="5"/>
        <v>90</v>
      </c>
      <c r="CH54" s="213">
        <f t="shared" si="6"/>
        <v>-15</v>
      </c>
      <c r="CI54" s="214">
        <f t="shared" ca="1" si="7"/>
        <v>9.5894570856643213E-2</v>
      </c>
      <c r="CJ54" s="215">
        <f t="shared" ca="1" si="8"/>
        <v>12.929606170856642</v>
      </c>
      <c r="CK54" s="216">
        <f t="shared" ca="1" si="9"/>
        <v>0.90507243195996501</v>
      </c>
    </row>
    <row r="55" spans="1:89">
      <c r="A55" s="176">
        <v>10963</v>
      </c>
      <c r="B55" s="177">
        <v>689</v>
      </c>
      <c r="C55" s="178">
        <v>70</v>
      </c>
      <c r="D55" s="178">
        <v>1870</v>
      </c>
      <c r="E55" s="178" t="s">
        <v>50</v>
      </c>
      <c r="F55" s="179" t="s">
        <v>67</v>
      </c>
      <c r="G55" s="185" t="s">
        <v>375</v>
      </c>
      <c r="H55" s="178" t="s">
        <v>371</v>
      </c>
      <c r="I55" s="178"/>
      <c r="J55" s="178"/>
      <c r="K55" s="178"/>
      <c r="L55" s="178" t="s">
        <v>59</v>
      </c>
      <c r="M55" s="178">
        <v>90</v>
      </c>
      <c r="N55" s="178"/>
      <c r="O55" s="178"/>
      <c r="P55" s="178"/>
      <c r="Q55" s="178"/>
      <c r="R55" s="178" t="s">
        <v>19</v>
      </c>
      <c r="S55" s="181"/>
      <c r="T55" s="181"/>
      <c r="U55" s="182"/>
      <c r="V55" s="182" t="s">
        <v>35</v>
      </c>
      <c r="W55" s="183">
        <v>25</v>
      </c>
      <c r="X55" s="182" t="s">
        <v>51</v>
      </c>
      <c r="Y55" s="184"/>
      <c r="Z55" s="184"/>
      <c r="AA55" s="184"/>
      <c r="AB55" s="184"/>
      <c r="AC55" s="184"/>
      <c r="AD55" s="184"/>
      <c r="AE55" s="184"/>
      <c r="AF55" s="184"/>
      <c r="AG55" s="184"/>
      <c r="AH55" s="184"/>
      <c r="AI55" s="184"/>
      <c r="AJ55" s="184"/>
      <c r="AK55" s="184"/>
      <c r="AL55" s="184"/>
      <c r="AM55" s="184"/>
      <c r="AN55" s="184"/>
      <c r="AO55" s="184"/>
      <c r="AP55" s="184"/>
      <c r="AQ55" s="184"/>
      <c r="AR55" s="184"/>
      <c r="AS55" s="184"/>
      <c r="AT55" s="184"/>
      <c r="AU55" s="184"/>
      <c r="AV55" s="184"/>
      <c r="AW55" s="184"/>
      <c r="AX55" s="184"/>
      <c r="AY55" s="184"/>
      <c r="AZ55" s="184"/>
      <c r="BA55" s="184"/>
      <c r="BB55" s="184"/>
      <c r="BC55" s="184"/>
      <c r="BD55" s="184"/>
      <c r="BE55" s="184"/>
      <c r="BF55" s="184"/>
      <c r="BG55" s="184">
        <v>2350</v>
      </c>
      <c r="BH55" s="184">
        <v>2350</v>
      </c>
      <c r="BI55" s="184">
        <v>2350</v>
      </c>
      <c r="BJ55" s="184"/>
      <c r="BK55" s="184"/>
      <c r="BL55" s="184"/>
      <c r="BM55" s="184"/>
      <c r="BN55" s="184"/>
      <c r="BO55" s="184"/>
      <c r="BP55" s="184"/>
      <c r="BQ55" s="184"/>
      <c r="BR55" s="184"/>
      <c r="BS55" s="184"/>
      <c r="BT55" s="184"/>
      <c r="BU55" s="146" cm="1">
        <f t="array" ref="BU55">LOOKUP(2,1/(Y55:BT55&lt;&gt;""),Y55:BH55)</f>
        <v>2350</v>
      </c>
      <c r="BV55" s="145" cm="1">
        <f t="array" aca="1" ref="BV55" ca="1">_xlfn.LET(
    _xlpm.last_col_idx, LOOKUP(2, 1/(Y55:BT55&lt;&gt;""), COLUMN(Y55:BT55) - COLUMN(Y55) + 1),
    _xlpm.header_val, INDEX($Y$3:$BT$3, 1, _xlpm.last_col_idx),
    _xlpm.header_date, IF(ISNUMBER(_xlpm.header_val), _xlpm.header_val, DATEVALUE(_xlpm.header_val)),
    IF(_xlpm.header_date &gt; TODAY(), TODAY(), _xlpm.header_date)
)</f>
        <v>46023</v>
      </c>
      <c r="BW55" s="209" cm="1">
        <f t="array" ref="BW55">(LOOKUP(2,1/(BH55:BT55&lt;&gt;""),BH55:BT55))/(INDEX(BH55:BT55,MATCH(TRUE,INDEX((BH55:BT55&lt;&gt;0),0),0)))-1</f>
        <v>0</v>
      </c>
      <c r="BX55" s="210">
        <f t="shared" si="0"/>
        <v>2.35</v>
      </c>
      <c r="BY55" s="210">
        <f t="shared" si="1"/>
        <v>13.865000000000002</v>
      </c>
      <c r="BZ55" s="210">
        <f ca="1">IF(L55="BR",'Impostos e Frete'!$F$6,IF(L55="EU",'Impostos e Frete'!$I$3,IF(L55="CN",'Impostos e Frete'!$I$4,IF(L55="JP",'Impostos e Frete'!$I$5,IF(L55="RU",'Impostos e Frete'!$I$7,"ERRO")))))</f>
        <v>0.1410816</v>
      </c>
      <c r="CA55" s="210">
        <f>VLOOKUP(L55,'Impostos e Frete'!$A$3:$B$7,2,0)*'Preços e Condições'!BY55</f>
        <v>1.8024500000000003</v>
      </c>
      <c r="CB55" s="147">
        <f t="shared" si="2"/>
        <v>0</v>
      </c>
      <c r="CC55" s="147">
        <f>IF(X55="BRL",'Impostos e Frete'!$B$11,'Impostos e Frete'!$B$12)</f>
        <v>9.1999999999999998E-2</v>
      </c>
      <c r="CD55" s="211">
        <f t="shared" ca="1" si="3"/>
        <v>15.900531600000003</v>
      </c>
      <c r="CE55" s="212">
        <f t="shared" ca="1" si="4"/>
        <v>1.1130372120000003</v>
      </c>
      <c r="CF55" s="213">
        <f>VLOOKUP(L55,'Impostos e Frete'!$A$3:$C$7,3,0)</f>
        <v>105</v>
      </c>
      <c r="CG55" s="213">
        <f t="shared" si="5"/>
        <v>90</v>
      </c>
      <c r="CH55" s="213">
        <f t="shared" si="6"/>
        <v>-15</v>
      </c>
      <c r="CI55" s="214">
        <f t="shared" ca="1" si="7"/>
        <v>0.11881010744970233</v>
      </c>
      <c r="CJ55" s="215">
        <f t="shared" ca="1" si="8"/>
        <v>16.019341707449705</v>
      </c>
      <c r="CK55" s="216">
        <f t="shared" ca="1" si="9"/>
        <v>1.1213539195214794</v>
      </c>
    </row>
    <row r="56" spans="1:89">
      <c r="A56" s="176">
        <v>11205</v>
      </c>
      <c r="B56" s="177">
        <v>80</v>
      </c>
      <c r="C56" s="178">
        <v>80</v>
      </c>
      <c r="D56" s="178">
        <v>1830</v>
      </c>
      <c r="E56" s="178" t="s">
        <v>49</v>
      </c>
      <c r="F56" s="179" t="s">
        <v>47</v>
      </c>
      <c r="G56" s="185" t="s">
        <v>143</v>
      </c>
      <c r="H56" s="178" t="s">
        <v>66</v>
      </c>
      <c r="I56" s="178">
        <v>3222</v>
      </c>
      <c r="J56" s="178"/>
      <c r="K56" s="178"/>
      <c r="L56" s="178" t="s">
        <v>59</v>
      </c>
      <c r="M56" s="178">
        <v>120</v>
      </c>
      <c r="N56" s="178">
        <v>300</v>
      </c>
      <c r="O56" s="178"/>
      <c r="P56" s="178"/>
      <c r="Q56" s="178"/>
      <c r="R56" s="178" t="s">
        <v>19</v>
      </c>
      <c r="S56" s="181"/>
      <c r="T56" s="181"/>
      <c r="U56" s="182"/>
      <c r="V56" s="182" t="s">
        <v>35</v>
      </c>
      <c r="W56" s="183"/>
      <c r="X56" s="182" t="s">
        <v>51</v>
      </c>
      <c r="Y56" s="184"/>
      <c r="Z56" s="184"/>
      <c r="AA56" s="184"/>
      <c r="AB56" s="184">
        <v>2680</v>
      </c>
      <c r="AC56" s="184">
        <v>2680</v>
      </c>
      <c r="AD56" s="184">
        <v>2680</v>
      </c>
      <c r="AE56" s="184"/>
      <c r="AF56" s="184"/>
      <c r="AG56" s="184"/>
      <c r="AH56" s="184">
        <v>2110</v>
      </c>
      <c r="AI56" s="184">
        <v>2110</v>
      </c>
      <c r="AJ56" s="184">
        <v>2110</v>
      </c>
      <c r="AK56" s="184"/>
      <c r="AL56" s="184"/>
      <c r="AM56" s="184"/>
      <c r="AN56" s="184"/>
      <c r="AO56" s="184"/>
      <c r="AP56" s="184">
        <v>2330</v>
      </c>
      <c r="AQ56" s="184"/>
      <c r="AR56" s="184"/>
      <c r="AS56" s="184"/>
      <c r="AT56" s="184">
        <v>2540</v>
      </c>
      <c r="AU56" s="184">
        <v>2540</v>
      </c>
      <c r="AV56" s="184">
        <v>2540</v>
      </c>
      <c r="AW56" s="184">
        <v>2540</v>
      </c>
      <c r="AX56" s="184">
        <v>2540</v>
      </c>
      <c r="AY56" s="184">
        <v>2540</v>
      </c>
      <c r="AZ56" s="184">
        <v>2320</v>
      </c>
      <c r="BA56" s="184">
        <v>2320</v>
      </c>
      <c r="BB56" s="184">
        <v>2320</v>
      </c>
      <c r="BC56" s="184"/>
      <c r="BD56" s="184"/>
      <c r="BE56" s="184"/>
      <c r="BF56" s="184"/>
      <c r="BG56" s="184"/>
      <c r="BH56" s="184"/>
      <c r="BI56" s="184"/>
      <c r="BJ56" s="184"/>
      <c r="BK56" s="184"/>
      <c r="BL56" s="184"/>
      <c r="BM56" s="184"/>
      <c r="BN56" s="184"/>
      <c r="BO56" s="184"/>
      <c r="BP56" s="184"/>
      <c r="BQ56" s="184"/>
      <c r="BR56" s="184"/>
      <c r="BS56" s="184"/>
      <c r="BT56" s="184"/>
      <c r="BU56" s="146" cm="1">
        <f t="array" ref="BU56">LOOKUP(2,1/(Y56:BT56&lt;&gt;""),Y56:BH56)</f>
        <v>2320</v>
      </c>
      <c r="BV56" s="145" cm="1">
        <f t="array" aca="1" ref="BV56" ca="1">_xlfn.LET(
    _xlpm.last_col_idx, LOOKUP(2, 1/(Y56:BT56&lt;&gt;""), COLUMN(Y56:BT56) - COLUMN(Y56) + 1),
    _xlpm.header_val, INDEX($Y$3:$BT$3, 1, _xlpm.last_col_idx),
    _xlpm.header_date, IF(ISNUMBER(_xlpm.header_val), _xlpm.header_val, DATEVALUE(_xlpm.header_val)),
    IF(_xlpm.header_date &gt; TODAY(), TODAY(), _xlpm.header_date)
)</f>
        <v>45809</v>
      </c>
      <c r="BW56" s="209" t="e" cm="1">
        <f t="array" ref="BW56">(LOOKUP(2,1/(BH56:BT56&lt;&gt;""),BH56:BT56))/(INDEX(BH56:BT56,MATCH(TRUE,INDEX((BH56:BT56&lt;&gt;0),0),0)))-1</f>
        <v>#N/A</v>
      </c>
      <c r="BX56" s="210">
        <f t="shared" si="0"/>
        <v>2.3199999999999998</v>
      </c>
      <c r="BY56" s="210">
        <f t="shared" si="1"/>
        <v>13.688000000000001</v>
      </c>
      <c r="BZ56" s="210">
        <f ca="1">IF(L56="BR",'Impostos e Frete'!$F$6,IF(L56="EU",'Impostos e Frete'!$I$3,IF(L56="CN",'Impostos e Frete'!$I$4,IF(L56="JP",'Impostos e Frete'!$I$5,IF(L56="RU",'Impostos e Frete'!$I$7,"ERRO")))))</f>
        <v>0.1410816</v>
      </c>
      <c r="CA56" s="210">
        <f>VLOOKUP(L56,'Impostos e Frete'!$A$3:$B$7,2,0)*'Preços e Condições'!BY56</f>
        <v>1.7794400000000001</v>
      </c>
      <c r="CB56" s="147">
        <f t="shared" si="2"/>
        <v>0</v>
      </c>
      <c r="CC56" s="147">
        <f>IF(X56="BRL",'Impostos e Frete'!$B$11,'Impostos e Frete'!$B$12)</f>
        <v>9.1999999999999998E-2</v>
      </c>
      <c r="CD56" s="211">
        <f t="shared" ca="1" si="3"/>
        <v>15.7005216</v>
      </c>
      <c r="CE56" s="212">
        <f t="shared" ca="1" si="4"/>
        <v>1.256041728</v>
      </c>
      <c r="CF56" s="213">
        <f>VLOOKUP(L56,'Impostos e Frete'!$A$3:$C$7,3,0)</f>
        <v>105</v>
      </c>
      <c r="CG56" s="213">
        <f t="shared" si="5"/>
        <v>120</v>
      </c>
      <c r="CH56" s="213">
        <f t="shared" si="6"/>
        <v>15</v>
      </c>
      <c r="CI56" s="214">
        <f t="shared" ca="1" si="7"/>
        <v>-0.11644552518939655</v>
      </c>
      <c r="CJ56" s="215">
        <f t="shared" ca="1" si="8"/>
        <v>15.584076074810604</v>
      </c>
      <c r="CK56" s="216">
        <f t="shared" ca="1" si="9"/>
        <v>1.2467260859848481</v>
      </c>
    </row>
    <row r="57" spans="1:89">
      <c r="A57" s="176">
        <v>11207</v>
      </c>
      <c r="B57" s="177">
        <v>80</v>
      </c>
      <c r="C57" s="178">
        <v>70</v>
      </c>
      <c r="D57" s="178">
        <v>1840</v>
      </c>
      <c r="E57" s="178" t="s">
        <v>49</v>
      </c>
      <c r="F57" s="179" t="s">
        <v>47</v>
      </c>
      <c r="G57" s="185" t="s">
        <v>143</v>
      </c>
      <c r="H57" s="178" t="s">
        <v>66</v>
      </c>
      <c r="I57" s="178">
        <v>3222</v>
      </c>
      <c r="J57" s="178"/>
      <c r="K57" s="178"/>
      <c r="L57" s="178" t="s">
        <v>59</v>
      </c>
      <c r="M57" s="178">
        <v>120</v>
      </c>
      <c r="N57" s="178">
        <v>300</v>
      </c>
      <c r="O57" s="178"/>
      <c r="P57" s="178"/>
      <c r="Q57" s="178"/>
      <c r="R57" s="178" t="s">
        <v>19</v>
      </c>
      <c r="S57" s="181"/>
      <c r="T57" s="181"/>
      <c r="U57" s="182"/>
      <c r="V57" s="182" t="s">
        <v>35</v>
      </c>
      <c r="W57" s="183"/>
      <c r="X57" s="182" t="s">
        <v>51</v>
      </c>
      <c r="Y57" s="184"/>
      <c r="Z57" s="184"/>
      <c r="AA57" s="184"/>
      <c r="AB57" s="184"/>
      <c r="AC57" s="184"/>
      <c r="AD57" s="184"/>
      <c r="AE57" s="184"/>
      <c r="AF57" s="184"/>
      <c r="AG57" s="184"/>
      <c r="AH57" s="184">
        <v>2210</v>
      </c>
      <c r="AI57" s="184">
        <v>2210</v>
      </c>
      <c r="AJ57" s="184">
        <v>2210</v>
      </c>
      <c r="AK57" s="184"/>
      <c r="AL57" s="184"/>
      <c r="AM57" s="184"/>
      <c r="AN57" s="184"/>
      <c r="AO57" s="184"/>
      <c r="AP57" s="184"/>
      <c r="AQ57" s="184"/>
      <c r="AR57" s="184"/>
      <c r="AS57" s="184"/>
      <c r="AT57" s="184"/>
      <c r="AU57" s="184"/>
      <c r="AV57" s="184"/>
      <c r="AW57" s="184"/>
      <c r="AX57" s="184"/>
      <c r="AY57" s="184"/>
      <c r="AZ57" s="184"/>
      <c r="BA57" s="184"/>
      <c r="BB57" s="184"/>
      <c r="BC57" s="184"/>
      <c r="BD57" s="184"/>
      <c r="BE57" s="184"/>
      <c r="BF57" s="184"/>
      <c r="BG57" s="184"/>
      <c r="BH57" s="184"/>
      <c r="BI57" s="184"/>
      <c r="BJ57" s="184"/>
      <c r="BK57" s="184"/>
      <c r="BL57" s="184"/>
      <c r="BM57" s="184"/>
      <c r="BN57" s="184"/>
      <c r="BO57" s="184"/>
      <c r="BP57" s="184"/>
      <c r="BQ57" s="184"/>
      <c r="BR57" s="184"/>
      <c r="BS57" s="184"/>
      <c r="BT57" s="184"/>
      <c r="BU57" s="146" cm="1">
        <f t="array" ref="BU57">LOOKUP(2,1/(Y57:BT57&lt;&gt;""),Y57:BH57)</f>
        <v>2210</v>
      </c>
      <c r="BV57" s="145" cm="1">
        <f t="array" aca="1" ref="BV57" ca="1">_xlfn.LET(
    _xlpm.last_col_idx, LOOKUP(2, 1/(Y57:BT57&lt;&gt;""), COLUMN(Y57:BT57) - COLUMN(Y57) + 1),
    _xlpm.header_val, INDEX($Y$3:$BT$3, 1, _xlpm.last_col_idx),
    _xlpm.header_date, IF(ISNUMBER(_xlpm.header_val), _xlpm.header_val, DATEVALUE(_xlpm.header_val)),
    IF(_xlpm.header_date &gt; TODAY(), TODAY(), _xlpm.header_date)
)</f>
        <v>45261</v>
      </c>
      <c r="BW57" s="209" t="e" cm="1">
        <f t="array" ref="BW57">(LOOKUP(2,1/(BH57:BT57&lt;&gt;""),BH57:BT57))/(INDEX(BH57:BT57,MATCH(TRUE,INDEX((BH57:BT57&lt;&gt;0),0),0)))-1</f>
        <v>#N/A</v>
      </c>
      <c r="BX57" s="210">
        <f t="shared" si="0"/>
        <v>2.21</v>
      </c>
      <c r="BY57" s="210">
        <f t="shared" si="1"/>
        <v>13.039</v>
      </c>
      <c r="BZ57" s="210">
        <f ca="1">IF(L57="BR",'Impostos e Frete'!$F$6,IF(L57="EU",'Impostos e Frete'!$I$3,IF(L57="CN",'Impostos e Frete'!$I$4,IF(L57="JP",'Impostos e Frete'!$I$5,IF(L57="RU",'Impostos e Frete'!$I$7,"ERRO")))))</f>
        <v>0.1410816</v>
      </c>
      <c r="CA57" s="210">
        <f>VLOOKUP(L57,'Impostos e Frete'!$A$3:$B$7,2,0)*'Preços e Condições'!BY57</f>
        <v>1.6950700000000001</v>
      </c>
      <c r="CB57" s="147">
        <f t="shared" si="2"/>
        <v>0</v>
      </c>
      <c r="CC57" s="147">
        <f>IF(X57="BRL",'Impostos e Frete'!$B$11,'Impostos e Frete'!$B$12)</f>
        <v>9.1999999999999998E-2</v>
      </c>
      <c r="CD57" s="211">
        <f t="shared" ca="1" si="3"/>
        <v>14.967151599999999</v>
      </c>
      <c r="CE57" s="212">
        <f t="shared" ca="1" si="4"/>
        <v>1.0477006119999999</v>
      </c>
      <c r="CF57" s="213">
        <f>VLOOKUP(L57,'Impostos e Frete'!$A$3:$C$7,3,0)</f>
        <v>105</v>
      </c>
      <c r="CG57" s="213">
        <f t="shared" si="5"/>
        <v>120</v>
      </c>
      <c r="CH57" s="213">
        <f t="shared" si="6"/>
        <v>15</v>
      </c>
      <c r="CI57" s="214">
        <f t="shared" ca="1" si="7"/>
        <v>-0.11100636482365722</v>
      </c>
      <c r="CJ57" s="215">
        <f t="shared" ca="1" si="8"/>
        <v>14.856145235176342</v>
      </c>
      <c r="CK57" s="216">
        <f t="shared" ca="1" si="9"/>
        <v>1.0399301664623439</v>
      </c>
    </row>
    <row r="58" spans="1:89">
      <c r="A58" s="176">
        <v>11214</v>
      </c>
      <c r="B58" s="177">
        <v>5481</v>
      </c>
      <c r="C58" s="178">
        <v>80</v>
      </c>
      <c r="D58" s="178">
        <v>1830</v>
      </c>
      <c r="E58" s="178"/>
      <c r="F58" s="179" t="s">
        <v>47</v>
      </c>
      <c r="G58" s="185" t="s">
        <v>219</v>
      </c>
      <c r="H58" s="178" t="s">
        <v>43</v>
      </c>
      <c r="I58" s="178">
        <v>5481</v>
      </c>
      <c r="J58" s="178"/>
      <c r="K58" s="178"/>
      <c r="L58" s="178" t="s">
        <v>59</v>
      </c>
      <c r="M58" s="178">
        <v>120</v>
      </c>
      <c r="N58" s="178">
        <v>300</v>
      </c>
      <c r="O58" s="178"/>
      <c r="P58" s="178"/>
      <c r="Q58" s="178"/>
      <c r="R58" s="178" t="s">
        <v>19</v>
      </c>
      <c r="S58" s="181"/>
      <c r="T58" s="181"/>
      <c r="U58" s="182"/>
      <c r="V58" s="182" t="s">
        <v>35</v>
      </c>
      <c r="W58" s="183"/>
      <c r="X58" s="182" t="s">
        <v>51</v>
      </c>
      <c r="Y58" s="184"/>
      <c r="Z58" s="184"/>
      <c r="AA58" s="184"/>
      <c r="AB58" s="184">
        <v>3010</v>
      </c>
      <c r="AC58" s="184">
        <v>3010</v>
      </c>
      <c r="AD58" s="184">
        <v>3010</v>
      </c>
      <c r="AE58" s="184"/>
      <c r="AF58" s="184"/>
      <c r="AG58" s="184"/>
      <c r="AH58" s="184"/>
      <c r="AI58" s="184"/>
      <c r="AJ58" s="184"/>
      <c r="AK58" s="184"/>
      <c r="AL58" s="184"/>
      <c r="AM58" s="184"/>
      <c r="AN58" s="184"/>
      <c r="AO58" s="184"/>
      <c r="AP58" s="184"/>
      <c r="AQ58" s="184"/>
      <c r="AR58" s="184"/>
      <c r="AS58" s="184"/>
      <c r="AT58" s="184"/>
      <c r="AU58" s="184"/>
      <c r="AV58" s="184"/>
      <c r="AW58" s="184"/>
      <c r="AX58" s="184"/>
      <c r="AY58" s="184"/>
      <c r="AZ58" s="184"/>
      <c r="BA58" s="184"/>
      <c r="BB58" s="184"/>
      <c r="BC58" s="184"/>
      <c r="BD58" s="184"/>
      <c r="BE58" s="184"/>
      <c r="BF58" s="184"/>
      <c r="BG58" s="184"/>
      <c r="BH58" s="184"/>
      <c r="BI58" s="184"/>
      <c r="BJ58" s="184"/>
      <c r="BK58" s="184"/>
      <c r="BL58" s="184"/>
      <c r="BM58" s="184"/>
      <c r="BN58" s="184"/>
      <c r="BO58" s="184"/>
      <c r="BP58" s="184"/>
      <c r="BQ58" s="184"/>
      <c r="BR58" s="184"/>
      <c r="BS58" s="184"/>
      <c r="BT58" s="184"/>
      <c r="BU58" s="146" cm="1">
        <f t="array" ref="BU58">LOOKUP(2,1/(Y58:BT58&lt;&gt;""),Y58:BH58)</f>
        <v>3010</v>
      </c>
      <c r="BV58" s="145" cm="1">
        <f t="array" aca="1" ref="BV58" ca="1">_xlfn.LET(
    _xlpm.last_col_idx, LOOKUP(2, 1/(Y58:BT58&lt;&gt;""), COLUMN(Y58:BT58) - COLUMN(Y58) + 1),
    _xlpm.header_val, INDEX($Y$3:$BT$3, 1, _xlpm.last_col_idx),
    _xlpm.header_date, IF(ISNUMBER(_xlpm.header_val), _xlpm.header_val, DATEVALUE(_xlpm.header_val)),
    IF(_xlpm.header_date &gt; TODAY(), TODAY(), _xlpm.header_date)
)</f>
        <v>45078</v>
      </c>
      <c r="BW58" s="209" t="e" cm="1">
        <f t="array" ref="BW58">(LOOKUP(2,1/(BH58:BT58&lt;&gt;""),BH58:BT58))/(INDEX(BH58:BT58,MATCH(TRUE,INDEX((BH58:BT58&lt;&gt;0),0),0)))-1</f>
        <v>#N/A</v>
      </c>
      <c r="BX58" s="210">
        <f t="shared" si="0"/>
        <v>3.01</v>
      </c>
      <c r="BY58" s="210">
        <f t="shared" si="1"/>
        <v>17.759</v>
      </c>
      <c r="BZ58" s="210">
        <f ca="1">IF(L58="BR",'Impostos e Frete'!$F$6,IF(L58="EU",'Impostos e Frete'!$I$3,IF(L58="CN",'Impostos e Frete'!$I$4,IF(L58="JP",'Impostos e Frete'!$I$5,IF(L58="RU",'Impostos e Frete'!$I$7,"ERRO")))))</f>
        <v>0.1410816</v>
      </c>
      <c r="CA58" s="210">
        <f>VLOOKUP(L58,'Impostos e Frete'!$A$3:$B$7,2,0)*'Preços e Condições'!BY58</f>
        <v>2.3086700000000002</v>
      </c>
      <c r="CB58" s="147">
        <f t="shared" si="2"/>
        <v>0</v>
      </c>
      <c r="CC58" s="147">
        <f>IF(X58="BRL",'Impostos e Frete'!$B$11,'Impostos e Frete'!$B$12)</f>
        <v>9.1999999999999998E-2</v>
      </c>
      <c r="CD58" s="211">
        <f t="shared" ca="1" si="3"/>
        <v>20.300751599999998</v>
      </c>
      <c r="CE58" s="212">
        <f t="shared" ca="1" si="4"/>
        <v>1.6240601279999998</v>
      </c>
      <c r="CF58" s="213">
        <f>VLOOKUP(L58,'Impostos e Frete'!$A$3:$C$7,3,0)</f>
        <v>105</v>
      </c>
      <c r="CG58" s="213">
        <f t="shared" si="5"/>
        <v>120</v>
      </c>
      <c r="CH58" s="213">
        <f t="shared" si="6"/>
        <v>15</v>
      </c>
      <c r="CI58" s="214">
        <f t="shared" ca="1" si="7"/>
        <v>-0.15056389475630283</v>
      </c>
      <c r="CJ58" s="215">
        <f t="shared" ca="1" si="8"/>
        <v>20.150187705243695</v>
      </c>
      <c r="CK58" s="216">
        <f t="shared" ca="1" si="9"/>
        <v>1.6120150164194957</v>
      </c>
    </row>
    <row r="59" spans="1:89">
      <c r="A59" s="176">
        <v>11301</v>
      </c>
      <c r="B59" s="177">
        <v>380</v>
      </c>
      <c r="C59" s="178">
        <v>68</v>
      </c>
      <c r="D59" s="178">
        <v>1870</v>
      </c>
      <c r="E59" s="178" t="s">
        <v>50</v>
      </c>
      <c r="F59" s="179" t="s">
        <v>47</v>
      </c>
      <c r="G59" s="185" t="s">
        <v>217</v>
      </c>
      <c r="H59" s="178" t="s">
        <v>63</v>
      </c>
      <c r="I59" s="178">
        <v>4478</v>
      </c>
      <c r="J59" s="178"/>
      <c r="K59" s="178"/>
      <c r="L59" s="178" t="s">
        <v>59</v>
      </c>
      <c r="M59" s="178">
        <v>120</v>
      </c>
      <c r="N59" s="178">
        <v>300</v>
      </c>
      <c r="O59" s="178"/>
      <c r="P59" s="178"/>
      <c r="Q59" s="178"/>
      <c r="R59" s="178" t="s">
        <v>19</v>
      </c>
      <c r="S59" s="181"/>
      <c r="T59" s="181"/>
      <c r="U59" s="182"/>
      <c r="V59" s="182" t="s">
        <v>35</v>
      </c>
      <c r="W59" s="183">
        <v>50</v>
      </c>
      <c r="X59" s="182" t="s">
        <v>51</v>
      </c>
      <c r="Y59" s="184"/>
      <c r="Z59" s="184"/>
      <c r="AA59" s="184"/>
      <c r="AB59" s="184"/>
      <c r="AC59" s="184"/>
      <c r="AD59" s="184"/>
      <c r="AE59" s="184">
        <v>2180</v>
      </c>
      <c r="AF59" s="184">
        <v>2180</v>
      </c>
      <c r="AG59" s="184">
        <v>2180</v>
      </c>
      <c r="AH59" s="184">
        <v>2030</v>
      </c>
      <c r="AI59" s="184">
        <v>2030</v>
      </c>
      <c r="AJ59" s="184">
        <v>2030</v>
      </c>
      <c r="AK59" s="184">
        <v>2090</v>
      </c>
      <c r="AL59" s="184">
        <v>2090</v>
      </c>
      <c r="AM59" s="184">
        <v>2090</v>
      </c>
      <c r="AN59" s="184">
        <v>2220</v>
      </c>
      <c r="AO59" s="184">
        <v>2220</v>
      </c>
      <c r="AP59" s="184">
        <v>2220</v>
      </c>
      <c r="AQ59" s="184">
        <v>2370</v>
      </c>
      <c r="AR59" s="184">
        <v>2370</v>
      </c>
      <c r="AS59" s="184">
        <v>2370</v>
      </c>
      <c r="AT59" s="184">
        <v>2370</v>
      </c>
      <c r="AU59" s="184">
        <v>2370</v>
      </c>
      <c r="AV59" s="184">
        <v>2370</v>
      </c>
      <c r="AW59" s="184">
        <v>2290</v>
      </c>
      <c r="AX59" s="184">
        <v>2290</v>
      </c>
      <c r="AY59" s="184">
        <v>2290</v>
      </c>
      <c r="AZ59" s="184">
        <v>2050</v>
      </c>
      <c r="BA59" s="184">
        <v>2050</v>
      </c>
      <c r="BB59" s="184">
        <v>2350</v>
      </c>
      <c r="BC59" s="184">
        <v>2350</v>
      </c>
      <c r="BD59" s="184">
        <v>2350</v>
      </c>
      <c r="BE59" s="184">
        <v>2350</v>
      </c>
      <c r="BF59" s="184">
        <v>2250</v>
      </c>
      <c r="BG59" s="184">
        <v>2250</v>
      </c>
      <c r="BH59" s="184">
        <v>2250</v>
      </c>
      <c r="BI59" s="184">
        <v>2270</v>
      </c>
      <c r="BJ59" s="184">
        <v>2270</v>
      </c>
      <c r="BK59" s="184">
        <v>2270</v>
      </c>
      <c r="BL59" s="184">
        <v>2370</v>
      </c>
      <c r="BM59" s="184">
        <v>2370</v>
      </c>
      <c r="BN59" s="184">
        <v>2370</v>
      </c>
      <c r="BO59" s="184">
        <v>2450</v>
      </c>
      <c r="BP59" s="184">
        <v>2450</v>
      </c>
      <c r="BQ59" s="184">
        <v>2450</v>
      </c>
      <c r="BR59" s="184"/>
      <c r="BS59" s="184"/>
      <c r="BT59" s="184"/>
      <c r="BU59" s="146" cm="1">
        <f t="array" ref="BU59">LOOKUP(2,1/(Y59:BT59&lt;&gt;""),Y59:BH59)</f>
        <v>2450</v>
      </c>
      <c r="BV59" s="145" cm="1">
        <f t="array" aca="1" ref="BV59" ca="1">_xlfn.LET(
    _xlpm.last_col_idx, LOOKUP(2, 1/(Y59:BT59&lt;&gt;""), COLUMN(Y59:BT59) - COLUMN(Y59) + 1),
    _xlpm.header_val, INDEX($Y$3:$BT$3, 1, _xlpm.last_col_idx),
    _xlpm.header_date, IF(ISNUMBER(_xlpm.header_val), _xlpm.header_val, DATEVALUE(_xlpm.header_val)),
    IF(_xlpm.header_date &gt; TODAY(), TODAY(), _xlpm.header_date)
)</f>
        <v>46212</v>
      </c>
      <c r="BW59" s="209" cm="1">
        <f t="array" ref="BW59">(LOOKUP(2,1/(BH59:BT59&lt;&gt;""),BH59:BT59))/(INDEX(BH59:BT59,MATCH(TRUE,INDEX((BH59:BT59&lt;&gt;0),0),0)))-1</f>
        <v>8.8888888888888795E-2</v>
      </c>
      <c r="BX59" s="210">
        <f t="shared" si="0"/>
        <v>2.4500000000000002</v>
      </c>
      <c r="BY59" s="210">
        <f t="shared" si="1"/>
        <v>14.455000000000002</v>
      </c>
      <c r="BZ59" s="210">
        <f ca="1">IF(L59="BR",'Impostos e Frete'!$F$6,IF(L59="EU",'Impostos e Frete'!$I$3,IF(L59="CN",'Impostos e Frete'!$I$4,IF(L59="JP",'Impostos e Frete'!$I$5,IF(L59="RU",'Impostos e Frete'!$I$7,"ERRO")))))</f>
        <v>0.1410816</v>
      </c>
      <c r="CA59" s="210">
        <f>VLOOKUP(L59,'Impostos e Frete'!$A$3:$B$7,2,0)*'Preços e Condições'!BY59</f>
        <v>1.8791500000000003</v>
      </c>
      <c r="CB59" s="147">
        <f t="shared" si="2"/>
        <v>0</v>
      </c>
      <c r="CC59" s="147">
        <f>IF(X59="BRL",'Impostos e Frete'!$B$11,'Impostos e Frete'!$B$12)</f>
        <v>9.1999999999999998E-2</v>
      </c>
      <c r="CD59" s="211">
        <f t="shared" ca="1" si="3"/>
        <v>16.5672316</v>
      </c>
      <c r="CE59" s="212">
        <f t="shared" ca="1" si="4"/>
        <v>1.1265717488</v>
      </c>
      <c r="CF59" s="213">
        <f>VLOOKUP(L59,'Impostos e Frete'!$A$3:$C$7,3,0)</f>
        <v>105</v>
      </c>
      <c r="CG59" s="213">
        <f t="shared" si="5"/>
        <v>120</v>
      </c>
      <c r="CH59" s="213">
        <f t="shared" si="6"/>
        <v>15</v>
      </c>
      <c r="CI59" s="214">
        <f t="shared" ca="1" si="7"/>
        <v>-0.12287362380345002</v>
      </c>
      <c r="CJ59" s="215">
        <f t="shared" ca="1" si="8"/>
        <v>16.444357976196549</v>
      </c>
      <c r="CK59" s="216">
        <f t="shared" ca="1" si="9"/>
        <v>1.1182163423813654</v>
      </c>
    </row>
    <row r="60" spans="1:89">
      <c r="A60" s="176">
        <v>11301</v>
      </c>
      <c r="B60" s="177">
        <v>380</v>
      </c>
      <c r="C60" s="178">
        <v>68</v>
      </c>
      <c r="D60" s="178">
        <v>1870</v>
      </c>
      <c r="E60" s="178" t="s">
        <v>50</v>
      </c>
      <c r="F60" s="179" t="s">
        <v>47</v>
      </c>
      <c r="G60" s="185" t="s">
        <v>217</v>
      </c>
      <c r="H60" s="178" t="s">
        <v>63</v>
      </c>
      <c r="I60" s="178">
        <v>4478</v>
      </c>
      <c r="J60" s="178"/>
      <c r="K60" s="178"/>
      <c r="L60" s="178" t="s">
        <v>59</v>
      </c>
      <c r="M60" s="178">
        <v>120</v>
      </c>
      <c r="N60" s="178">
        <v>300</v>
      </c>
      <c r="O60" s="178"/>
      <c r="P60" s="178"/>
      <c r="Q60" s="178"/>
      <c r="R60" s="178" t="s">
        <v>19</v>
      </c>
      <c r="S60" s="181"/>
      <c r="T60" s="181"/>
      <c r="U60" s="182"/>
      <c r="V60" s="182" t="s">
        <v>35</v>
      </c>
      <c r="W60" s="183">
        <v>30</v>
      </c>
      <c r="X60" s="182" t="s">
        <v>51</v>
      </c>
      <c r="Y60" s="184"/>
      <c r="Z60" s="184"/>
      <c r="AA60" s="184"/>
      <c r="AB60" s="184"/>
      <c r="AC60" s="184"/>
      <c r="AD60" s="184"/>
      <c r="AE60" s="184">
        <v>2230</v>
      </c>
      <c r="AF60" s="184">
        <v>2230</v>
      </c>
      <c r="AG60" s="184">
        <v>2230</v>
      </c>
      <c r="AH60" s="184">
        <v>2080</v>
      </c>
      <c r="AI60" s="184">
        <v>2080</v>
      </c>
      <c r="AJ60" s="184">
        <v>2080</v>
      </c>
      <c r="AK60" s="184">
        <v>2140</v>
      </c>
      <c r="AL60" s="184">
        <v>2140</v>
      </c>
      <c r="AM60" s="184">
        <v>2140</v>
      </c>
      <c r="AN60" s="184">
        <v>2270</v>
      </c>
      <c r="AO60" s="184">
        <v>2270</v>
      </c>
      <c r="AP60" s="184">
        <v>2270</v>
      </c>
      <c r="AQ60" s="184">
        <v>2420</v>
      </c>
      <c r="AR60" s="184">
        <v>2420</v>
      </c>
      <c r="AS60" s="184">
        <v>2420</v>
      </c>
      <c r="AT60" s="184">
        <v>2420</v>
      </c>
      <c r="AU60" s="184">
        <v>2420</v>
      </c>
      <c r="AV60" s="184">
        <v>2420</v>
      </c>
      <c r="AW60" s="184">
        <v>2340</v>
      </c>
      <c r="AX60" s="184">
        <v>2340</v>
      </c>
      <c r="AY60" s="184">
        <v>2340</v>
      </c>
      <c r="AZ60" s="184">
        <v>2100</v>
      </c>
      <c r="BA60" s="184">
        <v>2100</v>
      </c>
      <c r="BB60" s="184">
        <v>2400</v>
      </c>
      <c r="BC60" s="184">
        <v>2400</v>
      </c>
      <c r="BD60" s="184">
        <v>2400</v>
      </c>
      <c r="BE60" s="184">
        <v>2400</v>
      </c>
      <c r="BF60" s="184">
        <v>2300</v>
      </c>
      <c r="BG60" s="184">
        <v>2300</v>
      </c>
      <c r="BH60" s="184">
        <v>2300</v>
      </c>
      <c r="BI60" s="184">
        <v>2320</v>
      </c>
      <c r="BJ60" s="184">
        <v>2320</v>
      </c>
      <c r="BK60" s="184">
        <v>2320</v>
      </c>
      <c r="BL60" s="184">
        <v>2420</v>
      </c>
      <c r="BM60" s="184">
        <v>2420</v>
      </c>
      <c r="BN60" s="184">
        <v>2420</v>
      </c>
      <c r="BO60" s="184">
        <v>2500</v>
      </c>
      <c r="BP60" s="184">
        <v>2500</v>
      </c>
      <c r="BQ60" s="184">
        <v>2500</v>
      </c>
      <c r="BR60" s="184"/>
      <c r="BS60" s="184"/>
      <c r="BT60" s="184"/>
      <c r="BU60" s="146" cm="1">
        <f t="array" ref="BU60">LOOKUP(2,1/(Y60:BT60&lt;&gt;""),Y60:BH60)</f>
        <v>2500</v>
      </c>
      <c r="BV60" s="145" cm="1">
        <f t="array" aca="1" ref="BV60" ca="1">_xlfn.LET(
    _xlpm.last_col_idx, LOOKUP(2, 1/(Y60:BT60&lt;&gt;""), COLUMN(Y60:BT60) - COLUMN(Y60) + 1),
    _xlpm.header_val, INDEX($Y$3:$BT$3, 1, _xlpm.last_col_idx),
    _xlpm.header_date, IF(ISNUMBER(_xlpm.header_val), _xlpm.header_val, DATEVALUE(_xlpm.header_val)),
    IF(_xlpm.header_date &gt; TODAY(), TODAY(), _xlpm.header_date)
)</f>
        <v>46212</v>
      </c>
      <c r="BW60" s="209" cm="1">
        <f t="array" ref="BW60">(LOOKUP(2,1/(BH60:BT60&lt;&gt;""),BH60:BT60))/(INDEX(BH60:BT60,MATCH(TRUE,INDEX((BH60:BT60&lt;&gt;0),0),0)))-1</f>
        <v>8.6956521739130377E-2</v>
      </c>
      <c r="BX60" s="210">
        <f t="shared" si="0"/>
        <v>2.5</v>
      </c>
      <c r="BY60" s="210">
        <f t="shared" si="1"/>
        <v>14.75</v>
      </c>
      <c r="BZ60" s="210">
        <f ca="1">IF(L60="BR",'Impostos e Frete'!$F$6,IF(L60="EU",'Impostos e Frete'!$I$3,IF(L60="CN",'Impostos e Frete'!$I$4,IF(L60="JP",'Impostos e Frete'!$I$5,IF(L60="RU",'Impostos e Frete'!$I$7,"ERRO")))))</f>
        <v>0.1410816</v>
      </c>
      <c r="CA60" s="210">
        <f>VLOOKUP(L60,'Impostos e Frete'!$A$3:$B$7,2,0)*'Preços e Condições'!BY60</f>
        <v>1.9175</v>
      </c>
      <c r="CB60" s="147">
        <f t="shared" si="2"/>
        <v>0</v>
      </c>
      <c r="CC60" s="147">
        <f>IF(X60="BRL",'Impostos e Frete'!$B$11,'Impostos e Frete'!$B$12)</f>
        <v>9.1999999999999998E-2</v>
      </c>
      <c r="CD60" s="211">
        <f t="shared" ca="1" si="3"/>
        <v>16.900581599999999</v>
      </c>
      <c r="CE60" s="212">
        <f t="shared" ca="1" si="4"/>
        <v>1.1492395488</v>
      </c>
      <c r="CF60" s="213">
        <f>VLOOKUP(L60,'Impostos e Frete'!$A$3:$C$7,3,0)</f>
        <v>105</v>
      </c>
      <c r="CG60" s="213">
        <f t="shared" si="5"/>
        <v>120</v>
      </c>
      <c r="CH60" s="213">
        <f t="shared" si="6"/>
        <v>15</v>
      </c>
      <c r="CI60" s="214">
        <f t="shared" ca="1" si="7"/>
        <v>-0.12534596942424159</v>
      </c>
      <c r="CJ60" s="215">
        <f t="shared" ca="1" si="8"/>
        <v>16.775235630575757</v>
      </c>
      <c r="CK60" s="216">
        <f t="shared" ca="1" si="9"/>
        <v>1.1407160228791515</v>
      </c>
    </row>
    <row r="61" spans="1:89">
      <c r="A61" s="176">
        <v>11301</v>
      </c>
      <c r="B61" s="177">
        <v>380</v>
      </c>
      <c r="C61" s="178">
        <v>68</v>
      </c>
      <c r="D61" s="178">
        <v>1870</v>
      </c>
      <c r="E61" s="178" t="s">
        <v>50</v>
      </c>
      <c r="F61" s="179" t="s">
        <v>47</v>
      </c>
      <c r="G61" s="185" t="s">
        <v>217</v>
      </c>
      <c r="H61" s="178" t="s">
        <v>63</v>
      </c>
      <c r="I61" s="178">
        <v>4478</v>
      </c>
      <c r="J61" s="178"/>
      <c r="K61" s="178"/>
      <c r="L61" s="178" t="s">
        <v>59</v>
      </c>
      <c r="M61" s="178">
        <v>120</v>
      </c>
      <c r="N61" s="178">
        <v>300</v>
      </c>
      <c r="O61" s="178"/>
      <c r="P61" s="178"/>
      <c r="Q61" s="178"/>
      <c r="R61" s="178" t="s">
        <v>19</v>
      </c>
      <c r="S61" s="181"/>
      <c r="T61" s="181"/>
      <c r="U61" s="182"/>
      <c r="V61" s="182" t="s">
        <v>35</v>
      </c>
      <c r="W61" s="183">
        <v>20</v>
      </c>
      <c r="X61" s="182" t="s">
        <v>51</v>
      </c>
      <c r="Y61" s="184"/>
      <c r="Z61" s="184"/>
      <c r="AA61" s="184"/>
      <c r="AB61" s="184"/>
      <c r="AC61" s="184"/>
      <c r="AD61" s="184"/>
      <c r="AE61" s="184">
        <v>2280</v>
      </c>
      <c r="AF61" s="184">
        <v>2280</v>
      </c>
      <c r="AG61" s="184">
        <v>2280</v>
      </c>
      <c r="AH61" s="184">
        <v>2130</v>
      </c>
      <c r="AI61" s="184">
        <v>2130</v>
      </c>
      <c r="AJ61" s="184">
        <v>2130</v>
      </c>
      <c r="AK61" s="184">
        <v>2190</v>
      </c>
      <c r="AL61" s="184">
        <v>2190</v>
      </c>
      <c r="AM61" s="184">
        <v>2190</v>
      </c>
      <c r="AN61" s="184">
        <v>2320</v>
      </c>
      <c r="AO61" s="184">
        <v>2320</v>
      </c>
      <c r="AP61" s="184">
        <v>2320</v>
      </c>
      <c r="AQ61" s="184">
        <v>2470</v>
      </c>
      <c r="AR61" s="184">
        <v>2470</v>
      </c>
      <c r="AS61" s="184">
        <v>2470</v>
      </c>
      <c r="AT61" s="184">
        <v>2470</v>
      </c>
      <c r="AU61" s="184">
        <v>2470</v>
      </c>
      <c r="AV61" s="184">
        <v>2470</v>
      </c>
      <c r="AW61" s="184">
        <v>2390</v>
      </c>
      <c r="AX61" s="184">
        <v>2390</v>
      </c>
      <c r="AY61" s="184">
        <v>2390</v>
      </c>
      <c r="AZ61" s="184">
        <v>2150</v>
      </c>
      <c r="BA61" s="184">
        <v>2150</v>
      </c>
      <c r="BB61" s="184">
        <v>2450</v>
      </c>
      <c r="BC61" s="184">
        <v>2450</v>
      </c>
      <c r="BD61" s="184">
        <v>2450</v>
      </c>
      <c r="BE61" s="184">
        <v>2450</v>
      </c>
      <c r="BF61" s="184">
        <v>2350</v>
      </c>
      <c r="BG61" s="184">
        <v>2350</v>
      </c>
      <c r="BH61" s="184">
        <v>2350</v>
      </c>
      <c r="BI61" s="184">
        <v>2370</v>
      </c>
      <c r="BJ61" s="184">
        <v>2370</v>
      </c>
      <c r="BK61" s="184">
        <v>2370</v>
      </c>
      <c r="BL61" s="184">
        <v>2470</v>
      </c>
      <c r="BM61" s="184">
        <v>2470</v>
      </c>
      <c r="BN61" s="184">
        <v>2470</v>
      </c>
      <c r="BO61" s="184">
        <v>2550</v>
      </c>
      <c r="BP61" s="184">
        <v>2550</v>
      </c>
      <c r="BQ61" s="184">
        <v>2550</v>
      </c>
      <c r="BR61" s="184"/>
      <c r="BS61" s="184"/>
      <c r="BT61" s="184"/>
      <c r="BU61" s="146" cm="1">
        <f t="array" ref="BU61">LOOKUP(2,1/(Y61:BT61&lt;&gt;""),Y61:BH61)</f>
        <v>2550</v>
      </c>
      <c r="BV61" s="145" cm="1">
        <f t="array" aca="1" ref="BV61" ca="1">_xlfn.LET(
    _xlpm.last_col_idx, LOOKUP(2, 1/(Y61:BT61&lt;&gt;""), COLUMN(Y61:BT61) - COLUMN(Y61) + 1),
    _xlpm.header_val, INDEX($Y$3:$BT$3, 1, _xlpm.last_col_idx),
    _xlpm.header_date, IF(ISNUMBER(_xlpm.header_val), _xlpm.header_val, DATEVALUE(_xlpm.header_val)),
    IF(_xlpm.header_date &gt; TODAY(), TODAY(), _xlpm.header_date)
)</f>
        <v>46212</v>
      </c>
      <c r="BW61" s="209" cm="1">
        <f t="array" ref="BW61">(LOOKUP(2,1/(BH61:BT61&lt;&gt;""),BH61:BT61))/(INDEX(BH61:BT61,MATCH(TRUE,INDEX((BH61:BT61&lt;&gt;0),0),0)))-1</f>
        <v>8.5106382978723305E-2</v>
      </c>
      <c r="BX61" s="210">
        <f t="shared" si="0"/>
        <v>2.5499999999999998</v>
      </c>
      <c r="BY61" s="210">
        <f t="shared" si="1"/>
        <v>15.045</v>
      </c>
      <c r="BZ61" s="210">
        <f ca="1">IF(L61="BR",'Impostos e Frete'!$F$6,IF(L61="EU",'Impostos e Frete'!$I$3,IF(L61="CN",'Impostos e Frete'!$I$4,IF(L61="JP",'Impostos e Frete'!$I$5,IF(L61="RU",'Impostos e Frete'!$I$7,"ERRO")))))</f>
        <v>0.1410816</v>
      </c>
      <c r="CA61" s="210">
        <f>VLOOKUP(L61,'Impostos e Frete'!$A$3:$B$7,2,0)*'Preços e Condições'!BY61</f>
        <v>1.9558500000000001</v>
      </c>
      <c r="CB61" s="147">
        <f t="shared" si="2"/>
        <v>0</v>
      </c>
      <c r="CC61" s="147">
        <f>IF(X61="BRL",'Impostos e Frete'!$B$11,'Impostos e Frete'!$B$12)</f>
        <v>9.1999999999999998E-2</v>
      </c>
      <c r="CD61" s="211">
        <f t="shared" ca="1" si="3"/>
        <v>17.233931599999998</v>
      </c>
      <c r="CE61" s="212">
        <f t="shared" ca="1" si="4"/>
        <v>1.1719073487999998</v>
      </c>
      <c r="CF61" s="213">
        <f>VLOOKUP(L61,'Impostos e Frete'!$A$3:$C$7,3,0)</f>
        <v>105</v>
      </c>
      <c r="CG61" s="213">
        <f t="shared" si="5"/>
        <v>120</v>
      </c>
      <c r="CH61" s="213">
        <f t="shared" si="6"/>
        <v>15</v>
      </c>
      <c r="CI61" s="214">
        <f t="shared" ca="1" si="7"/>
        <v>-0.12781831504503316</v>
      </c>
      <c r="CJ61" s="215">
        <f t="shared" ca="1" si="8"/>
        <v>17.106113284954965</v>
      </c>
      <c r="CK61" s="216">
        <f t="shared" ca="1" si="9"/>
        <v>1.1632157033769377</v>
      </c>
    </row>
    <row r="62" spans="1:89">
      <c r="A62" s="176">
        <v>11301</v>
      </c>
      <c r="B62" s="177">
        <v>380</v>
      </c>
      <c r="C62" s="178">
        <v>68</v>
      </c>
      <c r="D62" s="178">
        <v>1870</v>
      </c>
      <c r="E62" s="178" t="s">
        <v>50</v>
      </c>
      <c r="F62" s="179" t="s">
        <v>47</v>
      </c>
      <c r="G62" s="185" t="s">
        <v>217</v>
      </c>
      <c r="H62" s="178" t="s">
        <v>63</v>
      </c>
      <c r="I62" s="178">
        <v>4478</v>
      </c>
      <c r="J62" s="178"/>
      <c r="K62" s="178"/>
      <c r="L62" s="178" t="s">
        <v>59</v>
      </c>
      <c r="M62" s="178">
        <v>120</v>
      </c>
      <c r="N62" s="178">
        <v>300</v>
      </c>
      <c r="O62" s="178"/>
      <c r="P62" s="178"/>
      <c r="Q62" s="178"/>
      <c r="R62" s="178" t="s">
        <v>19</v>
      </c>
      <c r="S62" s="181"/>
      <c r="T62" s="181"/>
      <c r="U62" s="182"/>
      <c r="V62" s="182" t="s">
        <v>35</v>
      </c>
      <c r="W62" s="183">
        <v>10</v>
      </c>
      <c r="X62" s="182" t="s">
        <v>51</v>
      </c>
      <c r="Y62" s="184"/>
      <c r="Z62" s="184"/>
      <c r="AA62" s="184"/>
      <c r="AB62" s="184"/>
      <c r="AC62" s="184"/>
      <c r="AD62" s="184"/>
      <c r="AE62" s="184">
        <v>2360</v>
      </c>
      <c r="AF62" s="184">
        <v>2360</v>
      </c>
      <c r="AG62" s="184">
        <v>2360</v>
      </c>
      <c r="AH62" s="184">
        <v>2210</v>
      </c>
      <c r="AI62" s="184">
        <v>2210</v>
      </c>
      <c r="AJ62" s="184">
        <v>2210</v>
      </c>
      <c r="AK62" s="184">
        <v>2270</v>
      </c>
      <c r="AL62" s="184">
        <v>2270</v>
      </c>
      <c r="AM62" s="184">
        <v>2270</v>
      </c>
      <c r="AN62" s="184">
        <v>2400</v>
      </c>
      <c r="AO62" s="184">
        <v>2400</v>
      </c>
      <c r="AP62" s="184">
        <v>2400</v>
      </c>
      <c r="AQ62" s="184">
        <v>2550</v>
      </c>
      <c r="AR62" s="184">
        <v>2550</v>
      </c>
      <c r="AS62" s="184">
        <v>2550</v>
      </c>
      <c r="AT62" s="184">
        <v>2550</v>
      </c>
      <c r="AU62" s="184">
        <v>2550</v>
      </c>
      <c r="AV62" s="184">
        <v>2550</v>
      </c>
      <c r="AW62" s="184">
        <v>2470</v>
      </c>
      <c r="AX62" s="184">
        <v>2470</v>
      </c>
      <c r="AY62" s="184">
        <v>2470</v>
      </c>
      <c r="AZ62" s="184">
        <v>2230</v>
      </c>
      <c r="BA62" s="184">
        <v>2230</v>
      </c>
      <c r="BB62" s="184">
        <v>2530</v>
      </c>
      <c r="BC62" s="184">
        <v>2530</v>
      </c>
      <c r="BD62" s="184">
        <v>2530</v>
      </c>
      <c r="BE62" s="184">
        <v>2530</v>
      </c>
      <c r="BF62" s="184">
        <v>2430</v>
      </c>
      <c r="BG62" s="184">
        <v>2430</v>
      </c>
      <c r="BH62" s="184">
        <v>2430</v>
      </c>
      <c r="BI62" s="184">
        <v>2450</v>
      </c>
      <c r="BJ62" s="184">
        <v>2450</v>
      </c>
      <c r="BK62" s="184">
        <v>2450</v>
      </c>
      <c r="BL62" s="184">
        <v>2550</v>
      </c>
      <c r="BM62" s="184">
        <v>2550</v>
      </c>
      <c r="BN62" s="184">
        <v>2550</v>
      </c>
      <c r="BO62" s="184">
        <v>2630</v>
      </c>
      <c r="BP62" s="184">
        <v>2630</v>
      </c>
      <c r="BQ62" s="184">
        <v>2630</v>
      </c>
      <c r="BR62" s="184"/>
      <c r="BS62" s="184"/>
      <c r="BT62" s="184"/>
      <c r="BU62" s="146" cm="1">
        <f t="array" ref="BU62">LOOKUP(2,1/(Y62:BT62&lt;&gt;""),Y62:BH62)</f>
        <v>2630</v>
      </c>
      <c r="BV62" s="145" cm="1">
        <f t="array" aca="1" ref="BV62" ca="1">_xlfn.LET(
    _xlpm.last_col_idx, LOOKUP(2, 1/(Y62:BT62&lt;&gt;""), COLUMN(Y62:BT62) - COLUMN(Y62) + 1),
    _xlpm.header_val, INDEX($Y$3:$BT$3, 1, _xlpm.last_col_idx),
    _xlpm.header_date, IF(ISNUMBER(_xlpm.header_val), _xlpm.header_val, DATEVALUE(_xlpm.header_val)),
    IF(_xlpm.header_date &gt; TODAY(), TODAY(), _xlpm.header_date)
)</f>
        <v>46212</v>
      </c>
      <c r="BW62" s="209" cm="1">
        <f t="array" ref="BW62">(LOOKUP(2,1/(BH62:BT62&lt;&gt;""),BH62:BT62))/(INDEX(BH62:BT62,MATCH(TRUE,INDEX((BH62:BT62&lt;&gt;0),0),0)))-1</f>
        <v>8.2304526748971263E-2</v>
      </c>
      <c r="BX62" s="210">
        <f t="shared" si="0"/>
        <v>2.63</v>
      </c>
      <c r="BY62" s="210">
        <f t="shared" si="1"/>
        <v>15.516999999999999</v>
      </c>
      <c r="BZ62" s="210">
        <f ca="1">IF(L62="BR",'Impostos e Frete'!$F$6,IF(L62="EU",'Impostos e Frete'!$I$3,IF(L62="CN",'Impostos e Frete'!$I$4,IF(L62="JP",'Impostos e Frete'!$I$5,IF(L62="RU",'Impostos e Frete'!$I$7,"ERRO")))))</f>
        <v>0.1410816</v>
      </c>
      <c r="CA62" s="210">
        <f>VLOOKUP(L62,'Impostos e Frete'!$A$3:$B$7,2,0)*'Preços e Condições'!BY62</f>
        <v>2.0172099999999999</v>
      </c>
      <c r="CB62" s="147">
        <f t="shared" si="2"/>
        <v>0</v>
      </c>
      <c r="CC62" s="147">
        <f>IF(X62="BRL",'Impostos e Frete'!$B$11,'Impostos e Frete'!$B$12)</f>
        <v>9.1999999999999998E-2</v>
      </c>
      <c r="CD62" s="211">
        <f t="shared" ca="1" si="3"/>
        <v>17.767291599999997</v>
      </c>
      <c r="CE62" s="212">
        <f t="shared" ca="1" si="4"/>
        <v>1.2081758287999997</v>
      </c>
      <c r="CF62" s="213">
        <f>VLOOKUP(L62,'Impostos e Frete'!$A$3:$C$7,3,0)</f>
        <v>105</v>
      </c>
      <c r="CG62" s="213">
        <f t="shared" si="5"/>
        <v>120</v>
      </c>
      <c r="CH62" s="213">
        <f t="shared" si="6"/>
        <v>15</v>
      </c>
      <c r="CI62" s="214">
        <f t="shared" ca="1" si="7"/>
        <v>-0.13177406803829683</v>
      </c>
      <c r="CJ62" s="215">
        <f t="shared" ca="1" si="8"/>
        <v>17.6355175319617</v>
      </c>
      <c r="CK62" s="216">
        <f t="shared" ca="1" si="9"/>
        <v>1.1992151921733956</v>
      </c>
    </row>
    <row r="63" spans="1:89">
      <c r="A63" s="176">
        <v>11304</v>
      </c>
      <c r="B63" s="177" t="s">
        <v>123</v>
      </c>
      <c r="C63" s="178">
        <v>60</v>
      </c>
      <c r="D63" s="178">
        <v>2080</v>
      </c>
      <c r="E63" s="178" t="s">
        <v>49</v>
      </c>
      <c r="F63" s="179" t="s">
        <v>47</v>
      </c>
      <c r="G63" s="185" t="s">
        <v>226</v>
      </c>
      <c r="H63" s="178" t="s">
        <v>61</v>
      </c>
      <c r="I63" s="178"/>
      <c r="J63" s="178"/>
      <c r="K63" s="178"/>
      <c r="L63" s="178" t="s">
        <v>59</v>
      </c>
      <c r="M63" s="178">
        <v>120</v>
      </c>
      <c r="N63" s="178">
        <v>300</v>
      </c>
      <c r="O63" s="178"/>
      <c r="P63" s="183"/>
      <c r="Q63" s="183"/>
      <c r="R63" s="178" t="s">
        <v>19</v>
      </c>
      <c r="S63" s="181"/>
      <c r="T63" s="181"/>
      <c r="U63" s="182"/>
      <c r="V63" s="182" t="s">
        <v>35</v>
      </c>
      <c r="W63" s="183"/>
      <c r="X63" s="182" t="s">
        <v>51</v>
      </c>
      <c r="Y63" s="184"/>
      <c r="Z63" s="184"/>
      <c r="AA63" s="184"/>
      <c r="AB63" s="184"/>
      <c r="AC63" s="184"/>
      <c r="AD63" s="184"/>
      <c r="AE63" s="184"/>
      <c r="AF63" s="184"/>
      <c r="AG63" s="184"/>
      <c r="AH63" s="184"/>
      <c r="AI63" s="184"/>
      <c r="AJ63" s="184"/>
      <c r="AK63" s="184"/>
      <c r="AL63" s="184"/>
      <c r="AM63" s="184"/>
      <c r="AN63" s="184"/>
      <c r="AO63" s="184"/>
      <c r="AP63" s="184"/>
      <c r="AQ63" s="184"/>
      <c r="AR63" s="184"/>
      <c r="AS63" s="184"/>
      <c r="AT63" s="184"/>
      <c r="AU63" s="184"/>
      <c r="AV63" s="184">
        <v>1350</v>
      </c>
      <c r="AW63" s="184"/>
      <c r="AX63" s="184"/>
      <c r="AY63" s="184"/>
      <c r="AZ63" s="184"/>
      <c r="BA63" s="184"/>
      <c r="BB63" s="184"/>
      <c r="BC63" s="184"/>
      <c r="BD63" s="184"/>
      <c r="BE63" s="184"/>
      <c r="BF63" s="184"/>
      <c r="BG63" s="184"/>
      <c r="BH63" s="184"/>
      <c r="BI63" s="184"/>
      <c r="BJ63" s="184"/>
      <c r="BK63" s="184"/>
      <c r="BL63" s="184"/>
      <c r="BM63" s="184"/>
      <c r="BN63" s="184"/>
      <c r="BO63" s="184"/>
      <c r="BP63" s="184"/>
      <c r="BQ63" s="184"/>
      <c r="BR63" s="184"/>
      <c r="BS63" s="184"/>
      <c r="BT63" s="184"/>
      <c r="BU63" s="146" cm="1">
        <f t="array" ref="BU63">LOOKUP(2,1/(Y63:BT63&lt;&gt;""),Y63:BH63)</f>
        <v>1350</v>
      </c>
      <c r="BV63" s="145" cm="1">
        <f t="array" aca="1" ref="BV63" ca="1">_xlfn.LET(
    _xlpm.last_col_idx, LOOKUP(2, 1/(Y63:BT63&lt;&gt;""), COLUMN(Y63:BT63) - COLUMN(Y63) + 1),
    _xlpm.header_val, INDEX($Y$3:$BT$3, 1, _xlpm.last_col_idx),
    _xlpm.header_date, IF(ISNUMBER(_xlpm.header_val), _xlpm.header_val, DATEVALUE(_xlpm.header_val)),
    IF(_xlpm.header_date &gt; TODAY(), TODAY(), _xlpm.header_date)
)</f>
        <v>45627</v>
      </c>
      <c r="BW63" s="209" t="e" cm="1">
        <f t="array" ref="BW63">(LOOKUP(2,1/(BH63:BT63&lt;&gt;""),BH63:BT63))/(INDEX(BH63:BT63,MATCH(TRUE,INDEX((BH63:BT63&lt;&gt;0),0),0)))-1</f>
        <v>#N/A</v>
      </c>
      <c r="BX63" s="210">
        <f t="shared" si="0"/>
        <v>1.35</v>
      </c>
      <c r="BY63" s="210">
        <f t="shared" si="1"/>
        <v>7.9650000000000007</v>
      </c>
      <c r="BZ63" s="210">
        <f ca="1">IF(L63="BR",'Impostos e Frete'!$F$6,IF(L63="EU",'Impostos e Frete'!$I$3,IF(L63="CN",'Impostos e Frete'!$I$4,IF(L63="JP",'Impostos e Frete'!$I$5,IF(L63="RU",'Impostos e Frete'!$I$7,"ERRO")))))</f>
        <v>0.1410816</v>
      </c>
      <c r="CA63" s="210">
        <f>VLOOKUP(L63,'Impostos e Frete'!$A$3:$B$7,2,0)*'Preços e Condições'!BY63</f>
        <v>1.0354500000000002</v>
      </c>
      <c r="CB63" s="147">
        <f t="shared" si="2"/>
        <v>0</v>
      </c>
      <c r="CC63" s="147">
        <f>IF(X63="BRL",'Impostos e Frete'!$B$11,'Impostos e Frete'!$B$12)</f>
        <v>9.1999999999999998E-2</v>
      </c>
      <c r="CD63" s="211">
        <f t="shared" ca="1" si="3"/>
        <v>9.2335316000000027</v>
      </c>
      <c r="CE63" s="212">
        <f t="shared" ca="1" si="4"/>
        <v>0.55401189600000011</v>
      </c>
      <c r="CF63" s="213">
        <f>VLOOKUP(L63,'Impostos e Frete'!$A$3:$C$7,3,0)</f>
        <v>105</v>
      </c>
      <c r="CG63" s="213">
        <f t="shared" si="5"/>
        <v>120</v>
      </c>
      <c r="CH63" s="213">
        <f t="shared" si="6"/>
        <v>15</v>
      </c>
      <c r="CI63" s="214">
        <f t="shared" ca="1" si="7"/>
        <v>-6.8482020146062084E-2</v>
      </c>
      <c r="CJ63" s="215">
        <f t="shared" ca="1" si="8"/>
        <v>9.1650495798539406</v>
      </c>
      <c r="CK63" s="216">
        <f t="shared" ca="1" si="9"/>
        <v>0.5499029747912364</v>
      </c>
    </row>
    <row r="64" spans="1:89">
      <c r="A64" s="176">
        <v>11305</v>
      </c>
      <c r="B64" s="177">
        <v>80</v>
      </c>
      <c r="C64" s="178">
        <v>80</v>
      </c>
      <c r="D64" s="178">
        <v>1840</v>
      </c>
      <c r="E64" s="178"/>
      <c r="F64" s="179" t="s">
        <v>47</v>
      </c>
      <c r="G64" s="185" t="s">
        <v>234</v>
      </c>
      <c r="H64" s="178" t="s">
        <v>66</v>
      </c>
      <c r="I64" s="178">
        <v>8222</v>
      </c>
      <c r="J64" s="178"/>
      <c r="K64" s="178"/>
      <c r="L64" s="178" t="s">
        <v>59</v>
      </c>
      <c r="M64" s="178">
        <v>120</v>
      </c>
      <c r="N64" s="178">
        <v>300</v>
      </c>
      <c r="O64" s="178"/>
      <c r="P64" s="178"/>
      <c r="Q64" s="178"/>
      <c r="R64" s="178" t="s">
        <v>19</v>
      </c>
      <c r="S64" s="181"/>
      <c r="T64" s="181"/>
      <c r="U64" s="182"/>
      <c r="V64" s="182" t="s">
        <v>35</v>
      </c>
      <c r="W64" s="183">
        <v>100</v>
      </c>
      <c r="X64" s="182" t="s">
        <v>51</v>
      </c>
      <c r="Y64" s="184"/>
      <c r="Z64" s="184"/>
      <c r="AA64" s="184"/>
      <c r="AB64" s="184"/>
      <c r="AC64" s="184"/>
      <c r="AD64" s="184"/>
      <c r="AE64" s="184"/>
      <c r="AF64" s="184"/>
      <c r="AG64" s="184"/>
      <c r="AH64" s="184"/>
      <c r="AI64" s="184"/>
      <c r="AJ64" s="184"/>
      <c r="AK64" s="184"/>
      <c r="AL64" s="184"/>
      <c r="AM64" s="184"/>
      <c r="AN64" s="184"/>
      <c r="AO64" s="184"/>
      <c r="AP64" s="184"/>
      <c r="AQ64" s="184"/>
      <c r="AR64" s="184"/>
      <c r="AS64" s="184"/>
      <c r="AT64" s="184"/>
      <c r="AU64" s="184"/>
      <c r="AV64" s="184"/>
      <c r="AW64" s="184"/>
      <c r="AX64" s="184"/>
      <c r="AY64" s="184"/>
      <c r="AZ64" s="184">
        <v>2470</v>
      </c>
      <c r="BA64" s="184">
        <v>2470</v>
      </c>
      <c r="BB64" s="184">
        <v>2470</v>
      </c>
      <c r="BC64" s="184"/>
      <c r="BD64" s="184"/>
      <c r="BE64" s="184"/>
      <c r="BF64" s="184"/>
      <c r="BG64" s="184"/>
      <c r="BH64" s="184"/>
      <c r="BI64" s="184"/>
      <c r="BJ64" s="184"/>
      <c r="BK64" s="184"/>
      <c r="BL64" s="184"/>
      <c r="BM64" s="184"/>
      <c r="BN64" s="184"/>
      <c r="BO64" s="184"/>
      <c r="BP64" s="184"/>
      <c r="BQ64" s="184"/>
      <c r="BR64" s="184"/>
      <c r="BS64" s="184"/>
      <c r="BT64" s="184"/>
      <c r="BU64" s="146" cm="1">
        <f t="array" ref="BU64">LOOKUP(2,1/(Y64:BT64&lt;&gt;""),Y64:BH64)</f>
        <v>2470</v>
      </c>
      <c r="BV64" s="145" cm="1">
        <f t="array" aca="1" ref="BV64" ca="1">_xlfn.LET(
    _xlpm.last_col_idx, LOOKUP(2, 1/(Y64:BT64&lt;&gt;""), COLUMN(Y64:BT64) - COLUMN(Y64) + 1),
    _xlpm.header_val, INDEX($Y$3:$BT$3, 1, _xlpm.last_col_idx),
    _xlpm.header_date, IF(ISNUMBER(_xlpm.header_val), _xlpm.header_val, DATEVALUE(_xlpm.header_val)),
    IF(_xlpm.header_date &gt; TODAY(), TODAY(), _xlpm.header_date)
)</f>
        <v>45809</v>
      </c>
      <c r="BW64" s="209" t="e" cm="1">
        <f t="array" ref="BW64">(LOOKUP(2,1/(BH64:BT64&lt;&gt;""),BH64:BT64))/(INDEX(BH64:BT64,MATCH(TRUE,INDEX((BH64:BT64&lt;&gt;0),0),0)))-1</f>
        <v>#N/A</v>
      </c>
      <c r="BX64" s="210">
        <f t="shared" si="0"/>
        <v>2.4700000000000002</v>
      </c>
      <c r="BY64" s="210">
        <f t="shared" si="1"/>
        <v>14.573000000000002</v>
      </c>
      <c r="BZ64" s="210">
        <f ca="1">IF(L64="BR",'Impostos e Frete'!$F$6,IF(L64="EU",'Impostos e Frete'!$I$3,IF(L64="CN",'Impostos e Frete'!$I$4,IF(L64="JP",'Impostos e Frete'!$I$5,IF(L64="RU",'Impostos e Frete'!$I$7,"ERRO")))))</f>
        <v>0.1410816</v>
      </c>
      <c r="CA64" s="210">
        <f>VLOOKUP(L64,'Impostos e Frete'!$A$3:$B$7,2,0)*'Preços e Condições'!BY64</f>
        <v>1.8944900000000005</v>
      </c>
      <c r="CB64" s="147">
        <f t="shared" si="2"/>
        <v>0</v>
      </c>
      <c r="CC64" s="147">
        <f>IF(X64="BRL",'Impostos e Frete'!$B$11,'Impostos e Frete'!$B$12)</f>
        <v>9.1999999999999998E-2</v>
      </c>
      <c r="CD64" s="211">
        <f t="shared" ca="1" si="3"/>
        <v>16.7005716</v>
      </c>
      <c r="CE64" s="212">
        <f t="shared" ca="1" si="4"/>
        <v>1.3360457279999998</v>
      </c>
      <c r="CF64" s="213">
        <f>VLOOKUP(L64,'Impostos e Frete'!$A$3:$C$7,3,0)</f>
        <v>105</v>
      </c>
      <c r="CG64" s="213">
        <f t="shared" si="5"/>
        <v>120</v>
      </c>
      <c r="CH64" s="213">
        <f t="shared" si="6"/>
        <v>15</v>
      </c>
      <c r="CI64" s="214">
        <f t="shared" ca="1" si="7"/>
        <v>-0.12386256205176593</v>
      </c>
      <c r="CJ64" s="215">
        <f t="shared" ca="1" si="8"/>
        <v>16.576709037948234</v>
      </c>
      <c r="CK64" s="216">
        <f t="shared" ca="1" si="9"/>
        <v>1.3261367230358587</v>
      </c>
    </row>
    <row r="65" spans="1:89">
      <c r="A65" s="176">
        <v>13844</v>
      </c>
      <c r="B65" s="177">
        <v>8269</v>
      </c>
      <c r="C65" s="190">
        <v>68</v>
      </c>
      <c r="D65" s="190">
        <v>623</v>
      </c>
      <c r="E65" s="178" t="s">
        <v>50</v>
      </c>
      <c r="F65" s="191" t="s">
        <v>1</v>
      </c>
      <c r="G65" s="192" t="s">
        <v>14</v>
      </c>
      <c r="H65" s="190" t="s">
        <v>42</v>
      </c>
      <c r="I65" s="178">
        <v>756</v>
      </c>
      <c r="J65" s="183"/>
      <c r="K65" s="190" t="s">
        <v>28</v>
      </c>
      <c r="L65" s="183" t="s">
        <v>58</v>
      </c>
      <c r="M65" s="183">
        <v>0</v>
      </c>
      <c r="N65" s="183"/>
      <c r="O65" s="183"/>
      <c r="P65" s="183">
        <v>3</v>
      </c>
      <c r="Q65" s="183" t="s">
        <v>27</v>
      </c>
      <c r="R65" s="183" t="s">
        <v>19</v>
      </c>
      <c r="S65" s="181">
        <v>0.12</v>
      </c>
      <c r="T65" s="181" t="s">
        <v>210</v>
      </c>
      <c r="U65" s="182">
        <v>9.2499999999999999E-2</v>
      </c>
      <c r="V65" s="182" t="s">
        <v>35</v>
      </c>
      <c r="W65" s="183">
        <v>50</v>
      </c>
      <c r="X65" s="182" t="s">
        <v>46</v>
      </c>
      <c r="Y65" s="146">
        <f>13500</f>
        <v>13500</v>
      </c>
      <c r="Z65" s="146">
        <f>13500</f>
        <v>13500</v>
      </c>
      <c r="AA65" s="146">
        <f>13500</f>
        <v>13500</v>
      </c>
      <c r="AB65" s="146">
        <f>13500</f>
        <v>13500</v>
      </c>
      <c r="AC65" s="146">
        <f>13500</f>
        <v>13500</v>
      </c>
      <c r="AD65" s="146">
        <f>13500</f>
        <v>13500</v>
      </c>
      <c r="AE65" s="146">
        <f>13000</f>
        <v>13000</v>
      </c>
      <c r="AF65" s="146">
        <f>13000</f>
        <v>13000</v>
      </c>
      <c r="AG65" s="146">
        <f>13000</f>
        <v>13000</v>
      </c>
      <c r="AH65" s="146">
        <f>12500</f>
        <v>12500</v>
      </c>
      <c r="AI65" s="146">
        <f>12500</f>
        <v>12500</v>
      </c>
      <c r="AJ65" s="146">
        <f>12500</f>
        <v>12500</v>
      </c>
      <c r="AK65" s="146">
        <f>15930</f>
        <v>15930</v>
      </c>
      <c r="AL65" s="146">
        <f>15930</f>
        <v>15930</v>
      </c>
      <c r="AM65" s="146">
        <f>15930</f>
        <v>15930</v>
      </c>
      <c r="AN65" s="146">
        <f>15930</f>
        <v>15930</v>
      </c>
      <c r="AO65" s="146">
        <f>15930</f>
        <v>15930</v>
      </c>
      <c r="AP65" s="146">
        <f>15930</f>
        <v>15930</v>
      </c>
      <c r="AQ65" s="146">
        <f>17268</f>
        <v>17268</v>
      </c>
      <c r="AR65" s="146">
        <f>17268</f>
        <v>17268</v>
      </c>
      <c r="AS65" s="146">
        <f>17268</f>
        <v>17268</v>
      </c>
      <c r="AT65" s="184">
        <v>17786</v>
      </c>
      <c r="AU65" s="184">
        <v>18131</v>
      </c>
      <c r="AV65" s="184">
        <v>18131</v>
      </c>
      <c r="AW65" s="184">
        <v>18131</v>
      </c>
      <c r="AX65" s="184">
        <v>18131</v>
      </c>
      <c r="AY65" s="184">
        <v>18131</v>
      </c>
      <c r="AZ65" s="184">
        <v>18131</v>
      </c>
      <c r="BA65" s="184">
        <v>18131</v>
      </c>
      <c r="BB65" s="184">
        <v>18131</v>
      </c>
      <c r="BC65" s="184">
        <v>18131</v>
      </c>
      <c r="BD65" s="184">
        <v>18131</v>
      </c>
      <c r="BE65" s="184">
        <v>18131</v>
      </c>
      <c r="BF65" s="184">
        <v>18131</v>
      </c>
      <c r="BG65" s="184">
        <v>18131</v>
      </c>
      <c r="BH65" s="184">
        <v>18131</v>
      </c>
      <c r="BI65" s="184">
        <v>18131</v>
      </c>
      <c r="BJ65" s="184">
        <v>18131</v>
      </c>
      <c r="BK65" s="184">
        <v>18131</v>
      </c>
      <c r="BL65" s="184">
        <v>19183</v>
      </c>
      <c r="BM65" s="184">
        <v>19183</v>
      </c>
      <c r="BN65" s="184">
        <v>19183</v>
      </c>
      <c r="BO65" s="184">
        <v>20008</v>
      </c>
      <c r="BP65" s="184">
        <v>20008</v>
      </c>
      <c r="BQ65" s="184">
        <v>20008</v>
      </c>
      <c r="BR65" s="184"/>
      <c r="BS65" s="184"/>
      <c r="BT65" s="184"/>
      <c r="BU65" s="146" cm="1">
        <f t="array" ref="BU65">LOOKUP(2,1/(Y65:BT65&lt;&gt;""),Y65:BH65)</f>
        <v>20008</v>
      </c>
      <c r="BV65" s="145" cm="1">
        <f t="array" aca="1" ref="BV65" ca="1">_xlfn.LET(
    _xlpm.last_col_idx, LOOKUP(2, 1/(Y65:BT65&lt;&gt;""), COLUMN(Y65:BT65) - COLUMN(Y65) + 1),
    _xlpm.header_val, INDEX($Y$3:$BT$3, 1, _xlpm.last_col_idx),
    _xlpm.header_date, IF(ISNUMBER(_xlpm.header_val), _xlpm.header_val, DATEVALUE(_xlpm.header_val)),
    IF(_xlpm.header_date &gt; TODAY(), TODAY(), _xlpm.header_date)
)</f>
        <v>46212</v>
      </c>
      <c r="BW65" s="209" cm="1">
        <f t="array" ref="BW65">(LOOKUP(2,1/(BH65:BT65&lt;&gt;""),BH65:BT65))/(INDEX(BH65:BT65,MATCH(TRUE,INDEX((BH65:BT65&lt;&gt;0),0),0)))-1</f>
        <v>0.10352435055981468</v>
      </c>
      <c r="BX65" s="210">
        <f t="shared" si="0"/>
        <v>20.007999999999999</v>
      </c>
      <c r="BY65" s="210">
        <f t="shared" si="1"/>
        <v>20.007999999999999</v>
      </c>
      <c r="BZ65" s="210">
        <f>IF(L65="BR",'Impostos e Frete'!$F$6,IF(L65="EU",'Impostos e Frete'!$I$3,IF(L65="CN",'Impostos e Frete'!$I$4,IF(L65="JP",'Impostos e Frete'!$I$5,IF(L65="RU",'Impostos e Frete'!$I$7,"ERRO")))))</f>
        <v>0</v>
      </c>
      <c r="CA65" s="210">
        <f>VLOOKUP(L65,'Impostos e Frete'!$A$3:$B$7,2,0)*'Preços e Condições'!BY65</f>
        <v>0</v>
      </c>
      <c r="CB65" s="147">
        <f t="shared" si="2"/>
        <v>0</v>
      </c>
      <c r="CC65" s="147">
        <f>IF(X65="BRL",'Impostos e Frete'!$B$11,'Impostos e Frete'!$B$12)</f>
        <v>0.2</v>
      </c>
      <c r="CD65" s="211">
        <f t="shared" si="3"/>
        <v>20.207999999999998</v>
      </c>
      <c r="CE65" s="212">
        <f t="shared" si="4"/>
        <v>1.3741439999999998</v>
      </c>
      <c r="CF65" s="213">
        <f>VLOOKUP(L65,'Impostos e Frete'!$A$3:$C$7,3,0)</f>
        <v>45</v>
      </c>
      <c r="CG65" s="213">
        <f t="shared" si="5"/>
        <v>0</v>
      </c>
      <c r="CH65" s="213">
        <f t="shared" si="6"/>
        <v>-45</v>
      </c>
      <c r="CI65" s="214">
        <f t="shared" si="7"/>
        <v>0.45638081117398954</v>
      </c>
      <c r="CJ65" s="215">
        <f t="shared" si="8"/>
        <v>20.664380811173988</v>
      </c>
      <c r="CK65" s="216">
        <f t="shared" si="9"/>
        <v>1.4051778951598313</v>
      </c>
    </row>
    <row r="66" spans="1:89">
      <c r="A66" s="176">
        <v>14106</v>
      </c>
      <c r="B66" s="177">
        <v>104</v>
      </c>
      <c r="C66" s="178">
        <v>68</v>
      </c>
      <c r="D66" s="178">
        <v>1270</v>
      </c>
      <c r="E66" s="178" t="s">
        <v>50</v>
      </c>
      <c r="F66" s="179" t="s">
        <v>2</v>
      </c>
      <c r="G66" s="189" t="s">
        <v>146</v>
      </c>
      <c r="H66" s="178" t="s">
        <v>43</v>
      </c>
      <c r="I66" s="178">
        <v>32113</v>
      </c>
      <c r="J66" s="178"/>
      <c r="K66" s="178"/>
      <c r="L66" s="178" t="s">
        <v>59</v>
      </c>
      <c r="M66" s="178">
        <v>120</v>
      </c>
      <c r="N66" s="178"/>
      <c r="O66" s="178"/>
      <c r="P66" s="178"/>
      <c r="Q66" s="178"/>
      <c r="R66" s="178" t="s">
        <v>126</v>
      </c>
      <c r="S66" s="181"/>
      <c r="T66" s="181"/>
      <c r="U66" s="182"/>
      <c r="V66" s="182" t="s">
        <v>35</v>
      </c>
      <c r="W66" s="183">
        <v>100</v>
      </c>
      <c r="X66" s="182" t="s">
        <v>51</v>
      </c>
      <c r="Y66" s="184">
        <v>2570</v>
      </c>
      <c r="Z66" s="184">
        <v>2570</v>
      </c>
      <c r="AA66" s="184">
        <v>2570</v>
      </c>
      <c r="AB66" s="184">
        <v>2470</v>
      </c>
      <c r="AC66" s="184">
        <v>2470</v>
      </c>
      <c r="AD66" s="184">
        <v>2470</v>
      </c>
      <c r="AE66" s="184">
        <v>2250</v>
      </c>
      <c r="AF66" s="184">
        <v>2250</v>
      </c>
      <c r="AG66" s="184">
        <v>2250</v>
      </c>
      <c r="AH66" s="184">
        <v>2130</v>
      </c>
      <c r="AI66" s="184">
        <v>2130</v>
      </c>
      <c r="AJ66" s="184">
        <v>2130</v>
      </c>
      <c r="AK66" s="184">
        <v>2130</v>
      </c>
      <c r="AL66" s="184">
        <v>2160</v>
      </c>
      <c r="AM66" s="184">
        <v>2160</v>
      </c>
      <c r="AN66" s="184">
        <v>2160</v>
      </c>
      <c r="AO66" s="184">
        <v>2280</v>
      </c>
      <c r="AP66" s="184">
        <v>2280</v>
      </c>
      <c r="AQ66" s="184">
        <v>2280</v>
      </c>
      <c r="AR66" s="184">
        <v>2280</v>
      </c>
      <c r="AS66" s="184">
        <v>2280</v>
      </c>
      <c r="AT66" s="184">
        <v>2280</v>
      </c>
      <c r="AU66" s="184">
        <v>2220</v>
      </c>
      <c r="AV66" s="184">
        <v>2220</v>
      </c>
      <c r="AW66" s="184">
        <v>2180</v>
      </c>
      <c r="AX66" s="184">
        <v>2180</v>
      </c>
      <c r="AY66" s="184">
        <v>2180</v>
      </c>
      <c r="AZ66" s="184">
        <v>2260</v>
      </c>
      <c r="BA66" s="184">
        <v>2260</v>
      </c>
      <c r="BB66" s="184">
        <v>2260</v>
      </c>
      <c r="BC66" s="184">
        <v>2260</v>
      </c>
      <c r="BD66" s="184">
        <v>2260</v>
      </c>
      <c r="BE66" s="184">
        <v>2260</v>
      </c>
      <c r="BF66" s="184">
        <v>2160</v>
      </c>
      <c r="BG66" s="184">
        <v>2160</v>
      </c>
      <c r="BH66" s="184">
        <v>2160</v>
      </c>
      <c r="BI66" s="184">
        <v>2160</v>
      </c>
      <c r="BJ66" s="184">
        <v>2160</v>
      </c>
      <c r="BK66" s="184">
        <v>2160</v>
      </c>
      <c r="BL66" s="184">
        <v>2250</v>
      </c>
      <c r="BM66" s="184">
        <v>2250</v>
      </c>
      <c r="BN66" s="184">
        <v>2250</v>
      </c>
      <c r="BO66" s="184">
        <v>2330</v>
      </c>
      <c r="BP66" s="184">
        <v>2330</v>
      </c>
      <c r="BQ66" s="184">
        <v>2330</v>
      </c>
      <c r="BR66" s="184"/>
      <c r="BS66" s="184"/>
      <c r="BT66" s="184"/>
      <c r="BU66" s="146" cm="1">
        <f t="array" ref="BU66">LOOKUP(2,1/(Y66:BT66&lt;&gt;""),Y66:BH66)</f>
        <v>2330</v>
      </c>
      <c r="BV66" s="145" cm="1">
        <f t="array" aca="1" ref="BV66" ca="1">_xlfn.LET(
    _xlpm.last_col_idx, LOOKUP(2, 1/(Y66:BT66&lt;&gt;""), COLUMN(Y66:BT66) - COLUMN(Y66) + 1),
    _xlpm.header_val, INDEX($Y$3:$BT$3, 1, _xlpm.last_col_idx),
    _xlpm.header_date, IF(ISNUMBER(_xlpm.header_val), _xlpm.header_val, DATEVALUE(_xlpm.header_val)),
    IF(_xlpm.header_date &gt; TODAY(), TODAY(), _xlpm.header_date)
)</f>
        <v>46212</v>
      </c>
      <c r="BW66" s="209" cm="1">
        <f t="array" ref="BW66">(LOOKUP(2,1/(BH66:BT66&lt;&gt;""),BH66:BT66))/(INDEX(BH66:BT66,MATCH(TRUE,INDEX((BH66:BT66&lt;&gt;0),0),0)))-1</f>
        <v>7.870370370370372E-2</v>
      </c>
      <c r="BX66" s="210">
        <f t="shared" si="0"/>
        <v>2.33</v>
      </c>
      <c r="BY66" s="210">
        <f t="shared" si="1"/>
        <v>13.747000000000002</v>
      </c>
      <c r="BZ66" s="210">
        <f ca="1">IF(L66="BR",'Impostos e Frete'!$F$6,IF(L66="EU",'Impostos e Frete'!$I$3,IF(L66="CN",'Impostos e Frete'!$I$4,IF(L66="JP",'Impostos e Frete'!$I$5,IF(L66="RU",'Impostos e Frete'!$I$7,"ERRO")))))</f>
        <v>0.1410816</v>
      </c>
      <c r="CA66" s="210">
        <f>VLOOKUP(L66,'Impostos e Frete'!$A$3:$B$7,2,0)*'Preços e Condições'!BY66</f>
        <v>1.7871100000000002</v>
      </c>
      <c r="CB66" s="147">
        <f t="shared" si="2"/>
        <v>-0.17699999999999999</v>
      </c>
      <c r="CC66" s="147">
        <f>IF(X66="BRL",'Impostos e Frete'!$B$11,'Impostos e Frete'!$B$12)</f>
        <v>9.1999999999999998E-2</v>
      </c>
      <c r="CD66" s="211">
        <f t="shared" ca="1" si="3"/>
        <v>15.590191600000002</v>
      </c>
      <c r="CE66" s="212">
        <f t="shared" ca="1" si="4"/>
        <v>1.0601330288000002</v>
      </c>
      <c r="CF66" s="213">
        <f>VLOOKUP(L66,'Impostos e Frete'!$A$3:$C$7,3,0)</f>
        <v>105</v>
      </c>
      <c r="CG66" s="213">
        <f t="shared" si="5"/>
        <v>120</v>
      </c>
      <c r="CH66" s="213">
        <f t="shared" si="6"/>
        <v>15</v>
      </c>
      <c r="CI66" s="214">
        <f t="shared" ca="1" si="7"/>
        <v>-0.11562724442640793</v>
      </c>
      <c r="CJ66" s="215">
        <f t="shared" ca="1" si="8"/>
        <v>15.474564355573595</v>
      </c>
      <c r="CK66" s="216">
        <f t="shared" ca="1" si="9"/>
        <v>1.0522703761790044</v>
      </c>
    </row>
    <row r="67" spans="1:89">
      <c r="A67" s="176">
        <v>14106</v>
      </c>
      <c r="B67" s="177">
        <v>104</v>
      </c>
      <c r="C67" s="178">
        <v>68</v>
      </c>
      <c r="D67" s="178">
        <v>1270</v>
      </c>
      <c r="E67" s="178" t="s">
        <v>50</v>
      </c>
      <c r="F67" s="179" t="s">
        <v>2</v>
      </c>
      <c r="G67" s="189" t="s">
        <v>146</v>
      </c>
      <c r="H67" s="178" t="s">
        <v>43</v>
      </c>
      <c r="I67" s="178">
        <v>32113</v>
      </c>
      <c r="J67" s="178"/>
      <c r="K67" s="178"/>
      <c r="L67" s="178" t="s">
        <v>59</v>
      </c>
      <c r="M67" s="178">
        <v>120</v>
      </c>
      <c r="N67" s="178"/>
      <c r="O67" s="178"/>
      <c r="P67" s="178"/>
      <c r="Q67" s="178"/>
      <c r="R67" s="178" t="s">
        <v>126</v>
      </c>
      <c r="S67" s="181"/>
      <c r="T67" s="181"/>
      <c r="U67" s="182"/>
      <c r="V67" s="182" t="s">
        <v>35</v>
      </c>
      <c r="W67" s="183">
        <v>600</v>
      </c>
      <c r="X67" s="182" t="s">
        <v>51</v>
      </c>
      <c r="Y67" s="184">
        <v>2510</v>
      </c>
      <c r="Z67" s="184">
        <v>2510</v>
      </c>
      <c r="AA67" s="184">
        <v>2510</v>
      </c>
      <c r="AB67" s="184">
        <v>2410</v>
      </c>
      <c r="AC67" s="184">
        <v>2410</v>
      </c>
      <c r="AD67" s="184">
        <v>2410</v>
      </c>
      <c r="AE67" s="184">
        <v>2190</v>
      </c>
      <c r="AF67" s="184">
        <v>2190</v>
      </c>
      <c r="AG67" s="184">
        <v>2190</v>
      </c>
      <c r="AH67" s="184">
        <v>2070</v>
      </c>
      <c r="AI67" s="184">
        <v>2070</v>
      </c>
      <c r="AJ67" s="184">
        <v>2070</v>
      </c>
      <c r="AK67" s="184">
        <v>2070</v>
      </c>
      <c r="AL67" s="146">
        <f>40+(AL66-60)</f>
        <v>2140</v>
      </c>
      <c r="AM67" s="146">
        <f>40+(AM66-60)</f>
        <v>2140</v>
      </c>
      <c r="AN67" s="146">
        <f>40+(AN66-60)</f>
        <v>2140</v>
      </c>
      <c r="AO67" s="184">
        <v>2220</v>
      </c>
      <c r="AP67" s="184">
        <v>2220</v>
      </c>
      <c r="AQ67" s="184">
        <v>2220</v>
      </c>
      <c r="AR67" s="184">
        <v>2220</v>
      </c>
      <c r="AS67" s="184">
        <v>2220</v>
      </c>
      <c r="AT67" s="184">
        <v>2220</v>
      </c>
      <c r="AU67" s="184">
        <v>2160</v>
      </c>
      <c r="AV67" s="184">
        <v>2160</v>
      </c>
      <c r="AW67" s="146">
        <f>AW66-60</f>
        <v>2120</v>
      </c>
      <c r="AX67" s="146">
        <f>AX66-60</f>
        <v>2120</v>
      </c>
      <c r="AY67" s="146">
        <f>AY66-60</f>
        <v>2120</v>
      </c>
      <c r="AZ67" s="184">
        <v>2200</v>
      </c>
      <c r="BA67" s="184">
        <v>2200</v>
      </c>
      <c r="BB67" s="184">
        <v>2200</v>
      </c>
      <c r="BC67" s="184">
        <v>2200</v>
      </c>
      <c r="BD67" s="184">
        <v>2200</v>
      </c>
      <c r="BE67" s="184">
        <v>2200</v>
      </c>
      <c r="BF67" s="184">
        <v>2100</v>
      </c>
      <c r="BG67" s="184">
        <v>2100</v>
      </c>
      <c r="BH67" s="184">
        <v>2100</v>
      </c>
      <c r="BI67" s="184">
        <v>2100</v>
      </c>
      <c r="BJ67" s="184">
        <v>2100</v>
      </c>
      <c r="BK67" s="184">
        <v>2100</v>
      </c>
      <c r="BL67" s="184">
        <v>2190</v>
      </c>
      <c r="BM67" s="184">
        <v>2190</v>
      </c>
      <c r="BN67" s="184">
        <v>2190</v>
      </c>
      <c r="BO67" s="184">
        <v>2270</v>
      </c>
      <c r="BP67" s="184">
        <v>2270</v>
      </c>
      <c r="BQ67" s="184">
        <v>2270</v>
      </c>
      <c r="BR67" s="184"/>
      <c r="BS67" s="184"/>
      <c r="BT67" s="184"/>
      <c r="BU67" s="146" cm="1">
        <f t="array" ref="BU67">LOOKUP(2,1/(Y67:BT67&lt;&gt;""),Y67:BH67)</f>
        <v>2270</v>
      </c>
      <c r="BV67" s="145" cm="1">
        <f t="array" aca="1" ref="BV67" ca="1">_xlfn.LET(
    _xlpm.last_col_idx, LOOKUP(2, 1/(Y67:BT67&lt;&gt;""), COLUMN(Y67:BT67) - COLUMN(Y67) + 1),
    _xlpm.header_val, INDEX($Y$3:$BT$3, 1, _xlpm.last_col_idx),
    _xlpm.header_date, IF(ISNUMBER(_xlpm.header_val), _xlpm.header_val, DATEVALUE(_xlpm.header_val)),
    IF(_xlpm.header_date &gt; TODAY(), TODAY(), _xlpm.header_date)
)</f>
        <v>46212</v>
      </c>
      <c r="BW67" s="209" cm="1">
        <f t="array" ref="BW67">(LOOKUP(2,1/(BH67:BT67&lt;&gt;""),BH67:BT67))/(INDEX(BH67:BT67,MATCH(TRUE,INDEX((BH67:BT67&lt;&gt;0),0),0)))-1</f>
        <v>8.0952380952380887E-2</v>
      </c>
      <c r="BX67" s="210">
        <f t="shared" si="0"/>
        <v>2.27</v>
      </c>
      <c r="BY67" s="210">
        <f t="shared" si="1"/>
        <v>13.393000000000001</v>
      </c>
      <c r="BZ67" s="210">
        <f ca="1">IF(L67="BR",'Impostos e Frete'!$F$6,IF(L67="EU",'Impostos e Frete'!$I$3,IF(L67="CN",'Impostos e Frete'!$I$4,IF(L67="JP",'Impostos e Frete'!$I$5,IF(L67="RU",'Impostos e Frete'!$I$7,"ERRO")))))</f>
        <v>0.1410816</v>
      </c>
      <c r="CA67" s="210">
        <f>VLOOKUP(L67,'Impostos e Frete'!$A$3:$B$7,2,0)*'Preços e Condições'!BY67</f>
        <v>1.7410900000000002</v>
      </c>
      <c r="CB67" s="147">
        <f t="shared" si="2"/>
        <v>-0.17699999999999999</v>
      </c>
      <c r="CC67" s="147">
        <f>IF(X67="BRL",'Impostos e Frete'!$B$11,'Impostos e Frete'!$B$12)</f>
        <v>9.1999999999999998E-2</v>
      </c>
      <c r="CD67" s="211">
        <f t="shared" ca="1" si="3"/>
        <v>15.190171600000001</v>
      </c>
      <c r="CE67" s="212">
        <f t="shared" ca="1" si="4"/>
        <v>1.0329316688000001</v>
      </c>
      <c r="CF67" s="213">
        <f>VLOOKUP(L67,'Impostos e Frete'!$A$3:$C$7,3,0)</f>
        <v>105</v>
      </c>
      <c r="CG67" s="213">
        <f t="shared" si="5"/>
        <v>120</v>
      </c>
      <c r="CH67" s="213">
        <f t="shared" si="6"/>
        <v>15</v>
      </c>
      <c r="CI67" s="214">
        <f t="shared" ca="1" si="7"/>
        <v>-0.11266042968146017</v>
      </c>
      <c r="CJ67" s="215">
        <f t="shared" ca="1" si="8"/>
        <v>15.077511170318541</v>
      </c>
      <c r="CK67" s="216">
        <f t="shared" ca="1" si="9"/>
        <v>1.0252707595816608</v>
      </c>
    </row>
    <row r="68" spans="1:89">
      <c r="A68" s="176">
        <v>14106</v>
      </c>
      <c r="B68" s="177">
        <v>104</v>
      </c>
      <c r="C68" s="178">
        <v>68</v>
      </c>
      <c r="D68" s="178">
        <v>1270</v>
      </c>
      <c r="E68" s="178" t="s">
        <v>50</v>
      </c>
      <c r="F68" s="179" t="s">
        <v>2</v>
      </c>
      <c r="G68" s="189" t="s">
        <v>146</v>
      </c>
      <c r="H68" s="178" t="s">
        <v>43</v>
      </c>
      <c r="I68" s="178">
        <v>32113</v>
      </c>
      <c r="J68" s="178"/>
      <c r="K68" s="178"/>
      <c r="L68" s="178" t="s">
        <v>59</v>
      </c>
      <c r="M68" s="178">
        <v>120</v>
      </c>
      <c r="N68" s="178"/>
      <c r="O68" s="178"/>
      <c r="P68" s="178"/>
      <c r="Q68" s="178"/>
      <c r="R68" s="178" t="s">
        <v>126</v>
      </c>
      <c r="S68" s="181"/>
      <c r="T68" s="181"/>
      <c r="U68" s="182"/>
      <c r="V68" s="182" t="s">
        <v>35</v>
      </c>
      <c r="W68" s="183">
        <v>500</v>
      </c>
      <c r="X68" s="182" t="s">
        <v>51</v>
      </c>
      <c r="Y68" s="184">
        <v>2520</v>
      </c>
      <c r="Z68" s="184">
        <v>2520</v>
      </c>
      <c r="AA68" s="184">
        <v>2520</v>
      </c>
      <c r="AB68" s="184">
        <v>2420</v>
      </c>
      <c r="AC68" s="184">
        <v>2420</v>
      </c>
      <c r="AD68" s="184">
        <v>2420</v>
      </c>
      <c r="AE68" s="184">
        <v>2200</v>
      </c>
      <c r="AF68" s="184">
        <v>2200</v>
      </c>
      <c r="AG68" s="184">
        <v>2200</v>
      </c>
      <c r="AH68" s="184">
        <v>2080</v>
      </c>
      <c r="AI68" s="184">
        <v>2080</v>
      </c>
      <c r="AJ68" s="184">
        <v>2080</v>
      </c>
      <c r="AK68" s="184">
        <v>2080</v>
      </c>
      <c r="AL68" s="146">
        <f>40+(AL66-50)</f>
        <v>2150</v>
      </c>
      <c r="AM68" s="146">
        <f>40+(AM66-50)</f>
        <v>2150</v>
      </c>
      <c r="AN68" s="146">
        <f>40+(AN66-50)</f>
        <v>2150</v>
      </c>
      <c r="AO68" s="184">
        <v>2230</v>
      </c>
      <c r="AP68" s="184">
        <v>2230</v>
      </c>
      <c r="AQ68" s="184">
        <v>2230</v>
      </c>
      <c r="AR68" s="184">
        <v>2230</v>
      </c>
      <c r="AS68" s="184">
        <v>2230</v>
      </c>
      <c r="AT68" s="184">
        <v>2230</v>
      </c>
      <c r="AU68" s="184">
        <v>2170</v>
      </c>
      <c r="AV68" s="184">
        <v>2170</v>
      </c>
      <c r="AW68" s="146">
        <f>AW66-50</f>
        <v>2130</v>
      </c>
      <c r="AX68" s="146">
        <f>AX66-50</f>
        <v>2130</v>
      </c>
      <c r="AY68" s="146">
        <f>AY66-50</f>
        <v>2130</v>
      </c>
      <c r="AZ68" s="184">
        <v>2210</v>
      </c>
      <c r="BA68" s="184">
        <v>2210</v>
      </c>
      <c r="BB68" s="184">
        <v>2210</v>
      </c>
      <c r="BC68" s="184">
        <v>2210</v>
      </c>
      <c r="BD68" s="184">
        <v>2210</v>
      </c>
      <c r="BE68" s="184">
        <v>2210</v>
      </c>
      <c r="BF68" s="184">
        <v>2110</v>
      </c>
      <c r="BG68" s="184">
        <v>2110</v>
      </c>
      <c r="BH68" s="184">
        <v>2110</v>
      </c>
      <c r="BI68" s="184">
        <v>2110</v>
      </c>
      <c r="BJ68" s="184">
        <v>2110</v>
      </c>
      <c r="BK68" s="184">
        <v>2110</v>
      </c>
      <c r="BL68" s="184">
        <v>2200</v>
      </c>
      <c r="BM68" s="184">
        <v>2200</v>
      </c>
      <c r="BN68" s="184">
        <v>2200</v>
      </c>
      <c r="BO68" s="184">
        <v>2280</v>
      </c>
      <c r="BP68" s="184">
        <v>2280</v>
      </c>
      <c r="BQ68" s="184">
        <v>2280</v>
      </c>
      <c r="BR68" s="184"/>
      <c r="BS68" s="184"/>
      <c r="BT68" s="184"/>
      <c r="BU68" s="146" cm="1">
        <f t="array" ref="BU68">LOOKUP(2,1/(Y68:BT68&lt;&gt;""),Y68:BH68)</f>
        <v>2280</v>
      </c>
      <c r="BV68" s="145" cm="1">
        <f t="array" aca="1" ref="BV68" ca="1">_xlfn.LET(
    _xlpm.last_col_idx, LOOKUP(2, 1/(Y68:BT68&lt;&gt;""), COLUMN(Y68:BT68) - COLUMN(Y68) + 1),
    _xlpm.header_val, INDEX($Y$3:$BT$3, 1, _xlpm.last_col_idx),
    _xlpm.header_date, IF(ISNUMBER(_xlpm.header_val), _xlpm.header_val, DATEVALUE(_xlpm.header_val)),
    IF(_xlpm.header_date &gt; TODAY(), TODAY(), _xlpm.header_date)
)</f>
        <v>46212</v>
      </c>
      <c r="BW68" s="209" cm="1">
        <f t="array" ref="BW68">(LOOKUP(2,1/(BH68:BT68&lt;&gt;""),BH68:BT68))/(INDEX(BH68:BT68,MATCH(TRUE,INDEX((BH68:BT68&lt;&gt;0),0),0)))-1</f>
        <v>8.0568720379146974E-2</v>
      </c>
      <c r="BX68" s="210">
        <f t="shared" ref="BX68:BX131" si="19">BU68/1000</f>
        <v>2.2799999999999998</v>
      </c>
      <c r="BY68" s="210">
        <f t="shared" ref="BY68:BY131" si="20">IF(X68="BRL",BX68,IF(X68="EUR",BX68*$CK$2,IF(X68="USD",BX68*$CK$1,IF(X68="CNY",BX68*$CM$1,IF(X68="RUB",BX68*$CM$2,"CRRY#")))))</f>
        <v>13.452</v>
      </c>
      <c r="BZ68" s="210">
        <f ca="1">IF(L68="BR",'Impostos e Frete'!$F$6,IF(L68="EU",'Impostos e Frete'!$I$3,IF(L68="CN",'Impostos e Frete'!$I$4,IF(L68="JP",'Impostos e Frete'!$I$5,IF(L68="RU",'Impostos e Frete'!$I$7,"ERRO")))))</f>
        <v>0.1410816</v>
      </c>
      <c r="CA68" s="210">
        <f>VLOOKUP(L68,'Impostos e Frete'!$A$3:$B$7,2,0)*'Preços e Condições'!BY68</f>
        <v>1.7487600000000001</v>
      </c>
      <c r="CB68" s="147">
        <f t="shared" ref="CB68:CB131" si="21">IF(R68="CFR",$CB$2,IF(R68="FOB",0,IF(R68="EXW",$CB$1,"ERRO")))</f>
        <v>-0.17699999999999999</v>
      </c>
      <c r="CC68" s="147">
        <f>IF(X68="BRL",'Impostos e Frete'!$B$11,'Impostos e Frete'!$B$12)</f>
        <v>9.1999999999999998E-2</v>
      </c>
      <c r="CD68" s="211">
        <f t="shared" ref="CD68:CD131" ca="1" si="22">SUM(BY68:CC68)</f>
        <v>15.256841600000001</v>
      </c>
      <c r="CE68" s="212">
        <f t="shared" ref="CE68:CE131" ca="1" si="23">IF(C68="","erro",(CD68/1000)*C68)</f>
        <v>1.0374652288000001</v>
      </c>
      <c r="CF68" s="213">
        <f>VLOOKUP(L68,'Impostos e Frete'!$A$3:$C$7,3,0)</f>
        <v>105</v>
      </c>
      <c r="CG68" s="213">
        <f t="shared" ref="CG68:CG131" si="24">M68</f>
        <v>120</v>
      </c>
      <c r="CH68" s="213">
        <f t="shared" ref="CH68:CH131" si="25">CG68-CF68</f>
        <v>15</v>
      </c>
      <c r="CI68" s="214">
        <f t="shared" ref="CI68:CI131" ca="1" si="26">CD68*(1+VALUE($CI$2))^((CH68*-1)/30)-CD68</f>
        <v>-0.11315489880561813</v>
      </c>
      <c r="CJ68" s="215">
        <f t="shared" ref="CJ68:CJ131" ca="1" si="27">CD68+CI68</f>
        <v>15.143686701194383</v>
      </c>
      <c r="CK68" s="216">
        <f t="shared" ref="CK68:CK131" ca="1" si="28">IF(C68="","erro",(CJ68/1000)*C68)</f>
        <v>1.029770695681218</v>
      </c>
    </row>
    <row r="69" spans="1:89">
      <c r="A69" s="176">
        <v>14106</v>
      </c>
      <c r="B69" s="177">
        <v>104</v>
      </c>
      <c r="C69" s="178">
        <v>68</v>
      </c>
      <c r="D69" s="178">
        <v>1270</v>
      </c>
      <c r="E69" s="178" t="s">
        <v>50</v>
      </c>
      <c r="F69" s="179" t="s">
        <v>2</v>
      </c>
      <c r="G69" s="189" t="s">
        <v>146</v>
      </c>
      <c r="H69" s="178" t="s">
        <v>43</v>
      </c>
      <c r="I69" s="178">
        <v>32113</v>
      </c>
      <c r="J69" s="178"/>
      <c r="K69" s="178"/>
      <c r="L69" s="178" t="s">
        <v>59</v>
      </c>
      <c r="M69" s="178">
        <v>120</v>
      </c>
      <c r="N69" s="178"/>
      <c r="O69" s="178"/>
      <c r="P69" s="178"/>
      <c r="Q69" s="178"/>
      <c r="R69" s="178" t="s">
        <v>126</v>
      </c>
      <c r="S69" s="181"/>
      <c r="T69" s="181"/>
      <c r="U69" s="182"/>
      <c r="V69" s="182" t="s">
        <v>35</v>
      </c>
      <c r="W69" s="183">
        <v>200</v>
      </c>
      <c r="X69" s="182" t="s">
        <v>51</v>
      </c>
      <c r="Y69" s="184">
        <v>2530</v>
      </c>
      <c r="Z69" s="184">
        <v>2530</v>
      </c>
      <c r="AA69" s="184">
        <v>2530</v>
      </c>
      <c r="AB69" s="184">
        <v>2430</v>
      </c>
      <c r="AC69" s="184">
        <v>2430</v>
      </c>
      <c r="AD69" s="184">
        <v>2430</v>
      </c>
      <c r="AE69" s="184">
        <v>2210</v>
      </c>
      <c r="AF69" s="184">
        <v>2210</v>
      </c>
      <c r="AG69" s="184">
        <v>2210</v>
      </c>
      <c r="AH69" s="184">
        <v>2090</v>
      </c>
      <c r="AI69" s="184">
        <v>2090</v>
      </c>
      <c r="AJ69" s="184">
        <v>2090</v>
      </c>
      <c r="AK69" s="184">
        <v>2090</v>
      </c>
      <c r="AL69" s="146">
        <f>40+(AL66-40)</f>
        <v>2160</v>
      </c>
      <c r="AM69" s="146">
        <f>40+(AM66-40)</f>
        <v>2160</v>
      </c>
      <c r="AN69" s="146">
        <f>40+(AN66-40)</f>
        <v>2160</v>
      </c>
      <c r="AO69" s="184">
        <v>2260</v>
      </c>
      <c r="AP69" s="184">
        <v>2260</v>
      </c>
      <c r="AQ69" s="184">
        <v>2260</v>
      </c>
      <c r="AR69" s="184">
        <v>2260</v>
      </c>
      <c r="AS69" s="184">
        <v>2260</v>
      </c>
      <c r="AT69" s="184">
        <v>2260</v>
      </c>
      <c r="AU69" s="184">
        <v>2180</v>
      </c>
      <c r="AV69" s="184">
        <v>2180</v>
      </c>
      <c r="AW69" s="146">
        <f>AW66-40</f>
        <v>2140</v>
      </c>
      <c r="AX69" s="146">
        <f>AX66-40</f>
        <v>2140</v>
      </c>
      <c r="AY69" s="146">
        <f>AY66-40</f>
        <v>2140</v>
      </c>
      <c r="AZ69" s="184">
        <v>2220</v>
      </c>
      <c r="BA69" s="184">
        <v>2220</v>
      </c>
      <c r="BB69" s="184">
        <v>2220</v>
      </c>
      <c r="BC69" s="184">
        <v>2220</v>
      </c>
      <c r="BD69" s="184">
        <v>2220</v>
      </c>
      <c r="BE69" s="184">
        <v>2220</v>
      </c>
      <c r="BF69" s="184">
        <v>2120</v>
      </c>
      <c r="BG69" s="184">
        <v>2120</v>
      </c>
      <c r="BH69" s="184">
        <v>2120</v>
      </c>
      <c r="BI69" s="184">
        <v>2120</v>
      </c>
      <c r="BJ69" s="184">
        <v>2120</v>
      </c>
      <c r="BK69" s="184">
        <v>2120</v>
      </c>
      <c r="BL69" s="184">
        <v>2210</v>
      </c>
      <c r="BM69" s="184">
        <v>2210</v>
      </c>
      <c r="BN69" s="184">
        <v>2210</v>
      </c>
      <c r="BO69" s="184">
        <v>2290</v>
      </c>
      <c r="BP69" s="184">
        <v>2290</v>
      </c>
      <c r="BQ69" s="184">
        <v>2290</v>
      </c>
      <c r="BR69" s="184"/>
      <c r="BS69" s="184"/>
      <c r="BT69" s="184"/>
      <c r="BU69" s="146" cm="1">
        <f t="array" ref="BU69">LOOKUP(2,1/(Y69:BT69&lt;&gt;""),Y69:BH69)</f>
        <v>2290</v>
      </c>
      <c r="BV69" s="145" cm="1">
        <f t="array" aca="1" ref="BV69" ca="1">_xlfn.LET(
    _xlpm.last_col_idx, LOOKUP(2, 1/(Y69:BT69&lt;&gt;""), COLUMN(Y69:BT69) - COLUMN(Y69) + 1),
    _xlpm.header_val, INDEX($Y$3:$BT$3, 1, _xlpm.last_col_idx),
    _xlpm.header_date, IF(ISNUMBER(_xlpm.header_val), _xlpm.header_val, DATEVALUE(_xlpm.header_val)),
    IF(_xlpm.header_date &gt; TODAY(), TODAY(), _xlpm.header_date)
)</f>
        <v>46212</v>
      </c>
      <c r="BW69" s="209" cm="1">
        <f t="array" ref="BW69">(LOOKUP(2,1/(BH69:BT69&lt;&gt;""),BH69:BT69))/(INDEX(BH69:BT69,MATCH(TRUE,INDEX((BH69:BT69&lt;&gt;0),0),0)))-1</f>
        <v>8.0188679245283057E-2</v>
      </c>
      <c r="BX69" s="210">
        <f t="shared" si="19"/>
        <v>2.29</v>
      </c>
      <c r="BY69" s="210">
        <f t="shared" si="20"/>
        <v>13.511000000000001</v>
      </c>
      <c r="BZ69" s="210">
        <f ca="1">IF(L69="BR",'Impostos e Frete'!$F$6,IF(L69="EU",'Impostos e Frete'!$I$3,IF(L69="CN",'Impostos e Frete'!$I$4,IF(L69="JP",'Impostos e Frete'!$I$5,IF(L69="RU",'Impostos e Frete'!$I$7,"ERRO")))))</f>
        <v>0.1410816</v>
      </c>
      <c r="CA69" s="210">
        <f>VLOOKUP(L69,'Impostos e Frete'!$A$3:$B$7,2,0)*'Preços e Condições'!BY69</f>
        <v>1.7564300000000002</v>
      </c>
      <c r="CB69" s="147">
        <f t="shared" si="21"/>
        <v>-0.17699999999999999</v>
      </c>
      <c r="CC69" s="147">
        <f>IF(X69="BRL",'Impostos e Frete'!$B$11,'Impostos e Frete'!$B$12)</f>
        <v>9.1999999999999998E-2</v>
      </c>
      <c r="CD69" s="211">
        <f t="shared" ca="1" si="22"/>
        <v>15.323511600000002</v>
      </c>
      <c r="CE69" s="212">
        <f t="shared" ca="1" si="23"/>
        <v>1.0419987888</v>
      </c>
      <c r="CF69" s="213">
        <f>VLOOKUP(L69,'Impostos e Frete'!$A$3:$C$7,3,0)</f>
        <v>105</v>
      </c>
      <c r="CG69" s="213">
        <f t="shared" si="24"/>
        <v>120</v>
      </c>
      <c r="CH69" s="213">
        <f t="shared" si="25"/>
        <v>15</v>
      </c>
      <c r="CI69" s="214">
        <f t="shared" ca="1" si="26"/>
        <v>-0.11364936792977609</v>
      </c>
      <c r="CJ69" s="215">
        <f t="shared" ca="1" si="27"/>
        <v>15.209862232070225</v>
      </c>
      <c r="CK69" s="216">
        <f t="shared" ca="1" si="28"/>
        <v>1.0342706317807753</v>
      </c>
    </row>
    <row r="70" spans="1:89">
      <c r="A70" s="176">
        <v>14106</v>
      </c>
      <c r="B70" s="177">
        <v>104</v>
      </c>
      <c r="C70" s="178">
        <v>68</v>
      </c>
      <c r="D70" s="178">
        <v>1270</v>
      </c>
      <c r="E70" s="178" t="s">
        <v>50</v>
      </c>
      <c r="F70" s="179" t="s">
        <v>2</v>
      </c>
      <c r="G70" s="189" t="s">
        <v>146</v>
      </c>
      <c r="H70" s="178" t="s">
        <v>43</v>
      </c>
      <c r="I70" s="178">
        <v>32113</v>
      </c>
      <c r="J70" s="178"/>
      <c r="K70" s="178"/>
      <c r="L70" s="178" t="s">
        <v>59</v>
      </c>
      <c r="M70" s="178">
        <v>120</v>
      </c>
      <c r="N70" s="178"/>
      <c r="O70" s="178"/>
      <c r="P70" s="178"/>
      <c r="Q70" s="178"/>
      <c r="R70" s="178" t="s">
        <v>126</v>
      </c>
      <c r="S70" s="181"/>
      <c r="T70" s="181"/>
      <c r="U70" s="182"/>
      <c r="V70" s="182" t="s">
        <v>35</v>
      </c>
      <c r="W70" s="183">
        <v>150</v>
      </c>
      <c r="X70" s="182" t="s">
        <v>51</v>
      </c>
      <c r="Y70" s="184">
        <v>2550</v>
      </c>
      <c r="Z70" s="184">
        <v>2550</v>
      </c>
      <c r="AA70" s="184">
        <v>2550</v>
      </c>
      <c r="AB70" s="184">
        <v>2450</v>
      </c>
      <c r="AC70" s="184">
        <v>2450</v>
      </c>
      <c r="AD70" s="184">
        <v>2450</v>
      </c>
      <c r="AE70" s="184">
        <v>2230</v>
      </c>
      <c r="AF70" s="184">
        <v>2230</v>
      </c>
      <c r="AG70" s="184">
        <v>2230</v>
      </c>
      <c r="AH70" s="184">
        <v>2110</v>
      </c>
      <c r="AI70" s="184">
        <v>2110</v>
      </c>
      <c r="AJ70" s="184">
        <v>2110</v>
      </c>
      <c r="AK70" s="184">
        <v>2110</v>
      </c>
      <c r="AL70" s="146">
        <f>40+(AL66-20)</f>
        <v>2180</v>
      </c>
      <c r="AM70" s="146">
        <f>40+(AM66-20)</f>
        <v>2180</v>
      </c>
      <c r="AN70" s="146">
        <f>40+(AN66-20)</f>
        <v>2180</v>
      </c>
      <c r="AO70" s="184">
        <v>2260</v>
      </c>
      <c r="AP70" s="184">
        <v>2260</v>
      </c>
      <c r="AQ70" s="184">
        <v>2260</v>
      </c>
      <c r="AR70" s="184">
        <v>2260</v>
      </c>
      <c r="AS70" s="184">
        <v>2260</v>
      </c>
      <c r="AT70" s="184">
        <v>2260</v>
      </c>
      <c r="AU70" s="184">
        <v>2200</v>
      </c>
      <c r="AV70" s="184">
        <v>2200</v>
      </c>
      <c r="AW70" s="146">
        <f>AW66-20</f>
        <v>2160</v>
      </c>
      <c r="AX70" s="146">
        <f>AX66-20</f>
        <v>2160</v>
      </c>
      <c r="AY70" s="146">
        <f>AY66-20</f>
        <v>2160</v>
      </c>
      <c r="AZ70" s="184">
        <v>2240</v>
      </c>
      <c r="BA70" s="184">
        <v>2240</v>
      </c>
      <c r="BB70" s="184">
        <v>2240</v>
      </c>
      <c r="BC70" s="184">
        <v>2240</v>
      </c>
      <c r="BD70" s="184">
        <v>2240</v>
      </c>
      <c r="BE70" s="184">
        <v>2240</v>
      </c>
      <c r="BF70" s="184">
        <v>2140</v>
      </c>
      <c r="BG70" s="184">
        <v>2140</v>
      </c>
      <c r="BH70" s="184">
        <v>2140</v>
      </c>
      <c r="BI70" s="184">
        <v>2140</v>
      </c>
      <c r="BJ70" s="184">
        <v>2140</v>
      </c>
      <c r="BK70" s="184">
        <v>2140</v>
      </c>
      <c r="BL70" s="184">
        <v>2230</v>
      </c>
      <c r="BM70" s="184">
        <v>2230</v>
      </c>
      <c r="BN70" s="184">
        <v>2230</v>
      </c>
      <c r="BO70" s="184">
        <v>2310</v>
      </c>
      <c r="BP70" s="184">
        <v>2310</v>
      </c>
      <c r="BQ70" s="184">
        <v>2310</v>
      </c>
      <c r="BR70" s="184"/>
      <c r="BS70" s="184"/>
      <c r="BT70" s="184"/>
      <c r="BU70" s="146" cm="1">
        <f t="array" ref="BU70">LOOKUP(2,1/(Y70:BT70&lt;&gt;""),Y70:BH70)</f>
        <v>2310</v>
      </c>
      <c r="BV70" s="145" cm="1">
        <f t="array" aca="1" ref="BV70" ca="1">_xlfn.LET(
    _xlpm.last_col_idx, LOOKUP(2, 1/(Y70:BT70&lt;&gt;""), COLUMN(Y70:BT70) - COLUMN(Y70) + 1),
    _xlpm.header_val, INDEX($Y$3:$BT$3, 1, _xlpm.last_col_idx),
    _xlpm.header_date, IF(ISNUMBER(_xlpm.header_val), _xlpm.header_val, DATEVALUE(_xlpm.header_val)),
    IF(_xlpm.header_date &gt; TODAY(), TODAY(), _xlpm.header_date)
)</f>
        <v>46212</v>
      </c>
      <c r="BW70" s="209" cm="1">
        <f t="array" ref="BW70">(LOOKUP(2,1/(BH70:BT70&lt;&gt;""),BH70:BT70))/(INDEX(BH70:BT70,MATCH(TRUE,INDEX((BH70:BT70&lt;&gt;0),0),0)))-1</f>
        <v>7.9439252336448662E-2</v>
      </c>
      <c r="BX70" s="210">
        <f t="shared" si="19"/>
        <v>2.31</v>
      </c>
      <c r="BY70" s="210">
        <f t="shared" si="20"/>
        <v>13.629000000000001</v>
      </c>
      <c r="BZ70" s="210">
        <f ca="1">IF(L70="BR",'Impostos e Frete'!$F$6,IF(L70="EU",'Impostos e Frete'!$I$3,IF(L70="CN",'Impostos e Frete'!$I$4,IF(L70="JP",'Impostos e Frete'!$I$5,IF(L70="RU",'Impostos e Frete'!$I$7,"ERRO")))))</f>
        <v>0.1410816</v>
      </c>
      <c r="CA70" s="210">
        <f>VLOOKUP(L70,'Impostos e Frete'!$A$3:$B$7,2,0)*'Preços e Condições'!BY70</f>
        <v>1.7717700000000003</v>
      </c>
      <c r="CB70" s="147">
        <f t="shared" si="21"/>
        <v>-0.17699999999999999</v>
      </c>
      <c r="CC70" s="147">
        <f>IF(X70="BRL",'Impostos e Frete'!$B$11,'Impostos e Frete'!$B$12)</f>
        <v>9.1999999999999998E-2</v>
      </c>
      <c r="CD70" s="211">
        <f t="shared" ca="1" si="22"/>
        <v>15.456851600000002</v>
      </c>
      <c r="CE70" s="212">
        <f t="shared" ca="1" si="23"/>
        <v>1.0510659088000001</v>
      </c>
      <c r="CF70" s="213">
        <f>VLOOKUP(L70,'Impostos e Frete'!$A$3:$C$7,3,0)</f>
        <v>105</v>
      </c>
      <c r="CG70" s="213">
        <f t="shared" si="24"/>
        <v>120</v>
      </c>
      <c r="CH70" s="213">
        <f t="shared" si="25"/>
        <v>15</v>
      </c>
      <c r="CI70" s="214">
        <f t="shared" ca="1" si="26"/>
        <v>-0.11463830617809201</v>
      </c>
      <c r="CJ70" s="215">
        <f t="shared" ca="1" si="27"/>
        <v>15.34221329382191</v>
      </c>
      <c r="CK70" s="216">
        <f t="shared" ca="1" si="28"/>
        <v>1.04327050397989</v>
      </c>
    </row>
    <row r="71" spans="1:89">
      <c r="A71" s="176">
        <v>14106</v>
      </c>
      <c r="B71" s="177">
        <v>104</v>
      </c>
      <c r="C71" s="178">
        <v>68</v>
      </c>
      <c r="D71" s="178">
        <v>1270</v>
      </c>
      <c r="E71" s="178" t="s">
        <v>50</v>
      </c>
      <c r="F71" s="179" t="s">
        <v>2</v>
      </c>
      <c r="G71" s="189" t="s">
        <v>146</v>
      </c>
      <c r="H71" s="178" t="s">
        <v>43</v>
      </c>
      <c r="I71" s="178">
        <v>32113</v>
      </c>
      <c r="J71" s="178"/>
      <c r="K71" s="178"/>
      <c r="L71" s="178" t="s">
        <v>59</v>
      </c>
      <c r="M71" s="178">
        <v>120</v>
      </c>
      <c r="N71" s="178"/>
      <c r="O71" s="178"/>
      <c r="P71" s="178"/>
      <c r="Q71" s="178"/>
      <c r="R71" s="178" t="s">
        <v>126</v>
      </c>
      <c r="S71" s="181"/>
      <c r="T71" s="181"/>
      <c r="U71" s="182"/>
      <c r="V71" s="182" t="s">
        <v>35</v>
      </c>
      <c r="W71" s="183">
        <v>70</v>
      </c>
      <c r="X71" s="182" t="s">
        <v>51</v>
      </c>
      <c r="Y71" s="184">
        <v>2590</v>
      </c>
      <c r="Z71" s="184">
        <v>2590</v>
      </c>
      <c r="AA71" s="184">
        <v>2590</v>
      </c>
      <c r="AB71" s="184">
        <v>2490</v>
      </c>
      <c r="AC71" s="184">
        <v>2490</v>
      </c>
      <c r="AD71" s="184">
        <v>2490</v>
      </c>
      <c r="AE71" s="184">
        <v>2270</v>
      </c>
      <c r="AF71" s="184">
        <v>2270</v>
      </c>
      <c r="AG71" s="184">
        <v>2270</v>
      </c>
      <c r="AH71" s="184">
        <v>2150</v>
      </c>
      <c r="AI71" s="184">
        <v>2150</v>
      </c>
      <c r="AJ71" s="184">
        <v>2150</v>
      </c>
      <c r="AK71" s="184">
        <v>2150</v>
      </c>
      <c r="AL71" s="146">
        <f>40+(AL66+20)</f>
        <v>2220</v>
      </c>
      <c r="AM71" s="146">
        <f>40+(AM66+20)</f>
        <v>2220</v>
      </c>
      <c r="AN71" s="146">
        <f>40+(AN66+20)</f>
        <v>2220</v>
      </c>
      <c r="AO71" s="184">
        <v>2300</v>
      </c>
      <c r="AP71" s="184">
        <v>2300</v>
      </c>
      <c r="AQ71" s="184">
        <v>2300</v>
      </c>
      <c r="AR71" s="184">
        <v>2300</v>
      </c>
      <c r="AS71" s="184">
        <v>2300</v>
      </c>
      <c r="AT71" s="184">
        <v>2300</v>
      </c>
      <c r="AU71" s="184">
        <v>2240</v>
      </c>
      <c r="AV71" s="184">
        <v>2240</v>
      </c>
      <c r="AW71" s="146">
        <f>AW66+20</f>
        <v>2200</v>
      </c>
      <c r="AX71" s="146">
        <f>AX66+20</f>
        <v>2200</v>
      </c>
      <c r="AY71" s="146">
        <f>AY66+20</f>
        <v>2200</v>
      </c>
      <c r="AZ71" s="184">
        <v>2280</v>
      </c>
      <c r="BA71" s="184">
        <v>2280</v>
      </c>
      <c r="BB71" s="184">
        <v>2280</v>
      </c>
      <c r="BC71" s="184">
        <v>2280</v>
      </c>
      <c r="BD71" s="184">
        <v>2280</v>
      </c>
      <c r="BE71" s="184">
        <v>2280</v>
      </c>
      <c r="BF71" s="184">
        <v>2180</v>
      </c>
      <c r="BG71" s="184">
        <v>2180</v>
      </c>
      <c r="BH71" s="184">
        <v>2180</v>
      </c>
      <c r="BI71" s="184">
        <v>2180</v>
      </c>
      <c r="BJ71" s="184">
        <v>2180</v>
      </c>
      <c r="BK71" s="184">
        <v>2180</v>
      </c>
      <c r="BL71" s="184">
        <v>2270</v>
      </c>
      <c r="BM71" s="184">
        <v>2270</v>
      </c>
      <c r="BN71" s="184">
        <v>2270</v>
      </c>
      <c r="BO71" s="184">
        <v>2350</v>
      </c>
      <c r="BP71" s="184">
        <v>2350</v>
      </c>
      <c r="BQ71" s="184">
        <v>2350</v>
      </c>
      <c r="BR71" s="184"/>
      <c r="BS71" s="184"/>
      <c r="BT71" s="184"/>
      <c r="BU71" s="146" cm="1">
        <f t="array" ref="BU71">LOOKUP(2,1/(Y71:BT71&lt;&gt;""),Y71:BH71)</f>
        <v>2350</v>
      </c>
      <c r="BV71" s="145" cm="1">
        <f t="array" aca="1" ref="BV71" ca="1">_xlfn.LET(
    _xlpm.last_col_idx, LOOKUP(2, 1/(Y71:BT71&lt;&gt;""), COLUMN(Y71:BT71) - COLUMN(Y71) + 1),
    _xlpm.header_val, INDEX($Y$3:$BT$3, 1, _xlpm.last_col_idx),
    _xlpm.header_date, IF(ISNUMBER(_xlpm.header_val), _xlpm.header_val, DATEVALUE(_xlpm.header_val)),
    IF(_xlpm.header_date &gt; TODAY(), TODAY(), _xlpm.header_date)
)</f>
        <v>46212</v>
      </c>
      <c r="BW71" s="209" cm="1">
        <f t="array" ref="BW71">(LOOKUP(2,1/(BH71:BT71&lt;&gt;""),BH71:BT71))/(INDEX(BH71:BT71,MATCH(TRUE,INDEX((BH71:BT71&lt;&gt;0),0),0)))-1</f>
        <v>7.7981651376146877E-2</v>
      </c>
      <c r="BX71" s="210">
        <f t="shared" si="19"/>
        <v>2.35</v>
      </c>
      <c r="BY71" s="210">
        <f t="shared" si="20"/>
        <v>13.865000000000002</v>
      </c>
      <c r="BZ71" s="210">
        <f ca="1">IF(L71="BR",'Impostos e Frete'!$F$6,IF(L71="EU",'Impostos e Frete'!$I$3,IF(L71="CN",'Impostos e Frete'!$I$4,IF(L71="JP",'Impostos e Frete'!$I$5,IF(L71="RU",'Impostos e Frete'!$I$7,"ERRO")))))</f>
        <v>0.1410816</v>
      </c>
      <c r="CA71" s="210">
        <f>VLOOKUP(L71,'Impostos e Frete'!$A$3:$B$7,2,0)*'Preços e Condições'!BY71</f>
        <v>1.8024500000000003</v>
      </c>
      <c r="CB71" s="147">
        <f t="shared" si="21"/>
        <v>-0.17699999999999999</v>
      </c>
      <c r="CC71" s="147">
        <f>IF(X71="BRL",'Impostos e Frete'!$B$11,'Impostos e Frete'!$B$12)</f>
        <v>9.1999999999999998E-2</v>
      </c>
      <c r="CD71" s="211">
        <f t="shared" ca="1" si="22"/>
        <v>15.723531600000003</v>
      </c>
      <c r="CE71" s="212">
        <f t="shared" ca="1" si="23"/>
        <v>1.0692001488000002</v>
      </c>
      <c r="CF71" s="213">
        <f>VLOOKUP(L71,'Impostos e Frete'!$A$3:$C$7,3,0)</f>
        <v>105</v>
      </c>
      <c r="CG71" s="213">
        <f t="shared" si="24"/>
        <v>120</v>
      </c>
      <c r="CH71" s="213">
        <f t="shared" si="25"/>
        <v>15</v>
      </c>
      <c r="CI71" s="214">
        <f t="shared" ca="1" si="26"/>
        <v>-0.11661618267472562</v>
      </c>
      <c r="CJ71" s="215">
        <f t="shared" ca="1" si="27"/>
        <v>15.606915417325277</v>
      </c>
      <c r="CK71" s="216">
        <f t="shared" ca="1" si="28"/>
        <v>1.0612702483781189</v>
      </c>
    </row>
    <row r="72" spans="1:89">
      <c r="A72" s="176">
        <v>14106</v>
      </c>
      <c r="B72" s="177">
        <v>104</v>
      </c>
      <c r="C72" s="178">
        <v>68</v>
      </c>
      <c r="D72" s="178">
        <v>1270</v>
      </c>
      <c r="E72" s="178" t="s">
        <v>50</v>
      </c>
      <c r="F72" s="179" t="s">
        <v>2</v>
      </c>
      <c r="G72" s="189" t="s">
        <v>146</v>
      </c>
      <c r="H72" s="178" t="s">
        <v>43</v>
      </c>
      <c r="I72" s="178">
        <v>32113</v>
      </c>
      <c r="J72" s="178"/>
      <c r="K72" s="178"/>
      <c r="L72" s="178" t="s">
        <v>59</v>
      </c>
      <c r="M72" s="178">
        <v>120</v>
      </c>
      <c r="N72" s="178"/>
      <c r="O72" s="178"/>
      <c r="P72" s="178"/>
      <c r="Q72" s="178"/>
      <c r="R72" s="178" t="s">
        <v>126</v>
      </c>
      <c r="S72" s="181"/>
      <c r="T72" s="181"/>
      <c r="U72" s="182"/>
      <c r="V72" s="182" t="s">
        <v>35</v>
      </c>
      <c r="W72" s="183">
        <v>50</v>
      </c>
      <c r="X72" s="182" t="s">
        <v>51</v>
      </c>
      <c r="Y72" s="184">
        <v>2620</v>
      </c>
      <c r="Z72" s="184">
        <v>2620</v>
      </c>
      <c r="AA72" s="184">
        <v>2620</v>
      </c>
      <c r="AB72" s="184">
        <v>2520</v>
      </c>
      <c r="AC72" s="184">
        <v>2520</v>
      </c>
      <c r="AD72" s="184">
        <v>2520</v>
      </c>
      <c r="AE72" s="184">
        <v>2300</v>
      </c>
      <c r="AF72" s="184">
        <v>2300</v>
      </c>
      <c r="AG72" s="184">
        <v>2300</v>
      </c>
      <c r="AH72" s="184">
        <v>2180</v>
      </c>
      <c r="AI72" s="184">
        <v>2180</v>
      </c>
      <c r="AJ72" s="184">
        <v>2180</v>
      </c>
      <c r="AK72" s="184">
        <v>2180</v>
      </c>
      <c r="AL72" s="146">
        <f>40+(AL66+50)</f>
        <v>2250</v>
      </c>
      <c r="AM72" s="146">
        <f>40+(AM66+50)</f>
        <v>2250</v>
      </c>
      <c r="AN72" s="146">
        <f>40+(AN66+50)</f>
        <v>2250</v>
      </c>
      <c r="AO72" s="184">
        <v>2330</v>
      </c>
      <c r="AP72" s="184">
        <v>2330</v>
      </c>
      <c r="AQ72" s="184">
        <v>2330</v>
      </c>
      <c r="AR72" s="184">
        <v>2330</v>
      </c>
      <c r="AS72" s="184">
        <v>2330</v>
      </c>
      <c r="AT72" s="184">
        <v>2330</v>
      </c>
      <c r="AU72" s="184">
        <v>2270</v>
      </c>
      <c r="AV72" s="184">
        <v>2270</v>
      </c>
      <c r="AW72" s="146">
        <f>AW66+50</f>
        <v>2230</v>
      </c>
      <c r="AX72" s="146">
        <f>AX66+50</f>
        <v>2230</v>
      </c>
      <c r="AY72" s="146">
        <f>AY66+50</f>
        <v>2230</v>
      </c>
      <c r="AZ72" s="184">
        <v>2310</v>
      </c>
      <c r="BA72" s="184">
        <v>2310</v>
      </c>
      <c r="BB72" s="184">
        <v>2310</v>
      </c>
      <c r="BC72" s="184">
        <v>2310</v>
      </c>
      <c r="BD72" s="184">
        <v>2310</v>
      </c>
      <c r="BE72" s="184">
        <v>2310</v>
      </c>
      <c r="BF72" s="184">
        <v>2210</v>
      </c>
      <c r="BG72" s="184">
        <v>2210</v>
      </c>
      <c r="BH72" s="184">
        <v>2210</v>
      </c>
      <c r="BI72" s="184">
        <v>2210</v>
      </c>
      <c r="BJ72" s="184">
        <v>2210</v>
      </c>
      <c r="BK72" s="184">
        <v>2210</v>
      </c>
      <c r="BL72" s="184">
        <v>2300</v>
      </c>
      <c r="BM72" s="184">
        <v>2300</v>
      </c>
      <c r="BN72" s="184">
        <v>2300</v>
      </c>
      <c r="BO72" s="184">
        <v>2380</v>
      </c>
      <c r="BP72" s="184">
        <v>2380</v>
      </c>
      <c r="BQ72" s="184">
        <v>2380</v>
      </c>
      <c r="BR72" s="184"/>
      <c r="BS72" s="184"/>
      <c r="BT72" s="184"/>
      <c r="BU72" s="146" cm="1">
        <f t="array" ref="BU72">LOOKUP(2,1/(Y72:BT72&lt;&gt;""),Y72:BH72)</f>
        <v>2380</v>
      </c>
      <c r="BV72" s="145" cm="1">
        <f t="array" aca="1" ref="BV72" ca="1">_xlfn.LET(
    _xlpm.last_col_idx, LOOKUP(2, 1/(Y72:BT72&lt;&gt;""), COLUMN(Y72:BT72) - COLUMN(Y72) + 1),
    _xlpm.header_val, INDEX($Y$3:$BT$3, 1, _xlpm.last_col_idx),
    _xlpm.header_date, IF(ISNUMBER(_xlpm.header_val), _xlpm.header_val, DATEVALUE(_xlpm.header_val)),
    IF(_xlpm.header_date &gt; TODAY(), TODAY(), _xlpm.header_date)
)</f>
        <v>46212</v>
      </c>
      <c r="BW72" s="209" cm="1">
        <f t="array" ref="BW72">(LOOKUP(2,1/(BH72:BT72&lt;&gt;""),BH72:BT72))/(INDEX(BH72:BT72,MATCH(TRUE,INDEX((BH72:BT72&lt;&gt;0),0),0)))-1</f>
        <v>7.6923076923076872E-2</v>
      </c>
      <c r="BX72" s="210">
        <f t="shared" si="19"/>
        <v>2.38</v>
      </c>
      <c r="BY72" s="210">
        <f t="shared" si="20"/>
        <v>14.042</v>
      </c>
      <c r="BZ72" s="210">
        <f ca="1">IF(L72="BR",'Impostos e Frete'!$F$6,IF(L72="EU",'Impostos e Frete'!$I$3,IF(L72="CN",'Impostos e Frete'!$I$4,IF(L72="JP",'Impostos e Frete'!$I$5,IF(L72="RU",'Impostos e Frete'!$I$7,"ERRO")))))</f>
        <v>0.1410816</v>
      </c>
      <c r="CA72" s="210">
        <f>VLOOKUP(L72,'Impostos e Frete'!$A$3:$B$7,2,0)*'Preços e Condições'!BY72</f>
        <v>1.8254600000000001</v>
      </c>
      <c r="CB72" s="147">
        <f t="shared" si="21"/>
        <v>-0.17699999999999999</v>
      </c>
      <c r="CC72" s="147">
        <f>IF(X72="BRL",'Impostos e Frete'!$B$11,'Impostos e Frete'!$B$12)</f>
        <v>9.1999999999999998E-2</v>
      </c>
      <c r="CD72" s="211">
        <f t="shared" ca="1" si="22"/>
        <v>15.923541600000002</v>
      </c>
      <c r="CE72" s="212">
        <f t="shared" ca="1" si="23"/>
        <v>1.0828008287999999</v>
      </c>
      <c r="CF72" s="213">
        <f>VLOOKUP(L72,'Impostos e Frete'!$A$3:$C$7,3,0)</f>
        <v>105</v>
      </c>
      <c r="CG72" s="213">
        <f t="shared" si="24"/>
        <v>120</v>
      </c>
      <c r="CH72" s="213">
        <f t="shared" si="25"/>
        <v>15</v>
      </c>
      <c r="CI72" s="214">
        <f t="shared" ca="1" si="26"/>
        <v>-0.1180995900471995</v>
      </c>
      <c r="CJ72" s="215">
        <f t="shared" ca="1" si="27"/>
        <v>15.805442009952802</v>
      </c>
      <c r="CK72" s="216">
        <f t="shared" ca="1" si="28"/>
        <v>1.0747700566767906</v>
      </c>
    </row>
    <row r="73" spans="1:89">
      <c r="A73" s="176">
        <v>14106</v>
      </c>
      <c r="B73" s="177">
        <v>104</v>
      </c>
      <c r="C73" s="178">
        <v>68</v>
      </c>
      <c r="D73" s="178">
        <v>1270</v>
      </c>
      <c r="E73" s="178" t="s">
        <v>50</v>
      </c>
      <c r="F73" s="179" t="s">
        <v>2</v>
      </c>
      <c r="G73" s="189" t="s">
        <v>146</v>
      </c>
      <c r="H73" s="178" t="s">
        <v>43</v>
      </c>
      <c r="I73" s="178">
        <v>32113</v>
      </c>
      <c r="J73" s="178"/>
      <c r="K73" s="178"/>
      <c r="L73" s="178" t="s">
        <v>59</v>
      </c>
      <c r="M73" s="178">
        <v>120</v>
      </c>
      <c r="N73" s="178"/>
      <c r="O73" s="178"/>
      <c r="P73" s="178"/>
      <c r="Q73" s="178"/>
      <c r="R73" s="178" t="s">
        <v>126</v>
      </c>
      <c r="S73" s="181"/>
      <c r="T73" s="181"/>
      <c r="U73" s="182"/>
      <c r="V73" s="182" t="s">
        <v>35</v>
      </c>
      <c r="W73" s="183">
        <v>30</v>
      </c>
      <c r="X73" s="182" t="s">
        <v>51</v>
      </c>
      <c r="Y73" s="184">
        <v>2670</v>
      </c>
      <c r="Z73" s="184">
        <v>2670</v>
      </c>
      <c r="AA73" s="184">
        <v>2670</v>
      </c>
      <c r="AB73" s="184">
        <v>2570</v>
      </c>
      <c r="AC73" s="184">
        <v>2570</v>
      </c>
      <c r="AD73" s="184">
        <v>2570</v>
      </c>
      <c r="AE73" s="184">
        <v>2350</v>
      </c>
      <c r="AF73" s="184">
        <v>2350</v>
      </c>
      <c r="AG73" s="184">
        <v>2350</v>
      </c>
      <c r="AH73" s="184">
        <v>2230</v>
      </c>
      <c r="AI73" s="184">
        <v>2230</v>
      </c>
      <c r="AJ73" s="184">
        <v>2230</v>
      </c>
      <c r="AK73" s="184">
        <v>2230</v>
      </c>
      <c r="AL73" s="146">
        <f>40+(AL66+100)</f>
        <v>2300</v>
      </c>
      <c r="AM73" s="146">
        <f>40+(AM66+100)</f>
        <v>2300</v>
      </c>
      <c r="AN73" s="146">
        <f>40+(AN66+100)</f>
        <v>2300</v>
      </c>
      <c r="AO73" s="184">
        <v>2380</v>
      </c>
      <c r="AP73" s="184">
        <v>2380</v>
      </c>
      <c r="AQ73" s="184">
        <v>2380</v>
      </c>
      <c r="AR73" s="184">
        <v>2380</v>
      </c>
      <c r="AS73" s="184">
        <v>2380</v>
      </c>
      <c r="AT73" s="184">
        <v>2380</v>
      </c>
      <c r="AU73" s="184">
        <v>2320</v>
      </c>
      <c r="AV73" s="184">
        <v>2320</v>
      </c>
      <c r="AW73" s="146">
        <f>AW66+100</f>
        <v>2280</v>
      </c>
      <c r="AX73" s="146">
        <f>AX66+100</f>
        <v>2280</v>
      </c>
      <c r="AY73" s="146">
        <f>AY66+100</f>
        <v>2280</v>
      </c>
      <c r="AZ73" s="184">
        <v>2360</v>
      </c>
      <c r="BA73" s="184">
        <v>2360</v>
      </c>
      <c r="BB73" s="184">
        <v>2360</v>
      </c>
      <c r="BC73" s="184">
        <v>2360</v>
      </c>
      <c r="BD73" s="184">
        <v>2360</v>
      </c>
      <c r="BE73" s="184">
        <v>2360</v>
      </c>
      <c r="BF73" s="184">
        <v>2260</v>
      </c>
      <c r="BG73" s="184">
        <v>2260</v>
      </c>
      <c r="BH73" s="184">
        <v>2260</v>
      </c>
      <c r="BI73" s="184">
        <v>2260</v>
      </c>
      <c r="BJ73" s="184">
        <v>2260</v>
      </c>
      <c r="BK73" s="184">
        <v>2260</v>
      </c>
      <c r="BL73" s="184">
        <v>2350</v>
      </c>
      <c r="BM73" s="184">
        <v>2350</v>
      </c>
      <c r="BN73" s="184">
        <v>2350</v>
      </c>
      <c r="BO73" s="184">
        <v>2430</v>
      </c>
      <c r="BP73" s="184">
        <v>2430</v>
      </c>
      <c r="BQ73" s="184">
        <v>2430</v>
      </c>
      <c r="BR73" s="184"/>
      <c r="BS73" s="184"/>
      <c r="BT73" s="184"/>
      <c r="BU73" s="146" cm="1">
        <f t="array" ref="BU73">LOOKUP(2,1/(Y73:BT73&lt;&gt;""),Y73:BH73)</f>
        <v>2430</v>
      </c>
      <c r="BV73" s="145" cm="1">
        <f t="array" aca="1" ref="BV73" ca="1">_xlfn.LET(
    _xlpm.last_col_idx, LOOKUP(2, 1/(Y73:BT73&lt;&gt;""), COLUMN(Y73:BT73) - COLUMN(Y73) + 1),
    _xlpm.header_val, INDEX($Y$3:$BT$3, 1, _xlpm.last_col_idx),
    _xlpm.header_date, IF(ISNUMBER(_xlpm.header_val), _xlpm.header_val, DATEVALUE(_xlpm.header_val)),
    IF(_xlpm.header_date &gt; TODAY(), TODAY(), _xlpm.header_date)
)</f>
        <v>46212</v>
      </c>
      <c r="BW73" s="209" cm="1">
        <f t="array" ref="BW73">(LOOKUP(2,1/(BH73:BT73&lt;&gt;""),BH73:BT73))/(INDEX(BH73:BT73,MATCH(TRUE,INDEX((BH73:BT73&lt;&gt;0),0),0)))-1</f>
        <v>7.5221238938053103E-2</v>
      </c>
      <c r="BX73" s="210">
        <f t="shared" si="19"/>
        <v>2.4300000000000002</v>
      </c>
      <c r="BY73" s="210">
        <f t="shared" si="20"/>
        <v>14.337000000000002</v>
      </c>
      <c r="BZ73" s="210">
        <f ca="1">IF(L73="BR",'Impostos e Frete'!$F$6,IF(L73="EU",'Impostos e Frete'!$I$3,IF(L73="CN",'Impostos e Frete'!$I$4,IF(L73="JP",'Impostos e Frete'!$I$5,IF(L73="RU",'Impostos e Frete'!$I$7,"ERRO")))))</f>
        <v>0.1410816</v>
      </c>
      <c r="CA73" s="210">
        <f>VLOOKUP(L73,'Impostos e Frete'!$A$3:$B$7,2,0)*'Preços e Condições'!BY73</f>
        <v>1.8638100000000002</v>
      </c>
      <c r="CB73" s="147">
        <f t="shared" si="21"/>
        <v>-0.17699999999999999</v>
      </c>
      <c r="CC73" s="147">
        <f>IF(X73="BRL",'Impostos e Frete'!$B$11,'Impostos e Frete'!$B$12)</f>
        <v>9.1999999999999998E-2</v>
      </c>
      <c r="CD73" s="211">
        <f t="shared" ca="1" si="22"/>
        <v>16.256891599999999</v>
      </c>
      <c r="CE73" s="212">
        <f t="shared" ca="1" si="23"/>
        <v>1.1054686288</v>
      </c>
      <c r="CF73" s="213">
        <f>VLOOKUP(L73,'Impostos e Frete'!$A$3:$C$7,3,0)</f>
        <v>105</v>
      </c>
      <c r="CG73" s="213">
        <f t="shared" si="24"/>
        <v>120</v>
      </c>
      <c r="CH73" s="213">
        <f t="shared" si="25"/>
        <v>15</v>
      </c>
      <c r="CI73" s="214">
        <f t="shared" ca="1" si="26"/>
        <v>-0.12057193566798929</v>
      </c>
      <c r="CJ73" s="215">
        <f t="shared" ca="1" si="27"/>
        <v>16.13631966433201</v>
      </c>
      <c r="CK73" s="216">
        <f t="shared" ca="1" si="28"/>
        <v>1.0972697371745765</v>
      </c>
    </row>
    <row r="74" spans="1:89">
      <c r="A74" s="176">
        <v>14108</v>
      </c>
      <c r="B74" s="177">
        <v>8269</v>
      </c>
      <c r="C74" s="178">
        <v>68</v>
      </c>
      <c r="D74" s="178">
        <v>1870</v>
      </c>
      <c r="E74" s="178" t="s">
        <v>50</v>
      </c>
      <c r="F74" s="179" t="s">
        <v>2</v>
      </c>
      <c r="G74" s="189" t="s">
        <v>85</v>
      </c>
      <c r="H74" s="178" t="s">
        <v>42</v>
      </c>
      <c r="I74" s="178">
        <v>32102</v>
      </c>
      <c r="J74" s="178"/>
      <c r="K74" s="178"/>
      <c r="L74" s="178" t="s">
        <v>59</v>
      </c>
      <c r="M74" s="178">
        <v>120</v>
      </c>
      <c r="N74" s="178"/>
      <c r="O74" s="178"/>
      <c r="P74" s="178"/>
      <c r="Q74" s="178"/>
      <c r="R74" s="178" t="s">
        <v>126</v>
      </c>
      <c r="S74" s="181"/>
      <c r="T74" s="181"/>
      <c r="U74" s="182"/>
      <c r="V74" s="182" t="s">
        <v>35</v>
      </c>
      <c r="W74" s="183">
        <v>100</v>
      </c>
      <c r="X74" s="182" t="s">
        <v>51</v>
      </c>
      <c r="Y74" s="184">
        <v>2470</v>
      </c>
      <c r="Z74" s="184">
        <v>2470</v>
      </c>
      <c r="AA74" s="184">
        <v>2470</v>
      </c>
      <c r="AB74" s="184">
        <v>2380</v>
      </c>
      <c r="AC74" s="184">
        <v>2380</v>
      </c>
      <c r="AD74" s="184">
        <v>2380</v>
      </c>
      <c r="AE74" s="184">
        <v>2170</v>
      </c>
      <c r="AF74" s="184">
        <v>2170</v>
      </c>
      <c r="AG74" s="184">
        <v>2170</v>
      </c>
      <c r="AH74" s="184">
        <v>2060</v>
      </c>
      <c r="AI74" s="184">
        <v>2060</v>
      </c>
      <c r="AJ74" s="184">
        <v>2060</v>
      </c>
      <c r="AK74" s="184">
        <v>2060</v>
      </c>
      <c r="AL74" s="184">
        <v>2090</v>
      </c>
      <c r="AM74" s="184">
        <v>2090</v>
      </c>
      <c r="AN74" s="184">
        <v>2090</v>
      </c>
      <c r="AO74" s="184">
        <v>2150</v>
      </c>
      <c r="AP74" s="184">
        <v>2150</v>
      </c>
      <c r="AQ74" s="184">
        <v>2150</v>
      </c>
      <c r="AR74" s="184">
        <v>2150</v>
      </c>
      <c r="AS74" s="184">
        <v>2150</v>
      </c>
      <c r="AT74" s="184">
        <v>2150</v>
      </c>
      <c r="AU74" s="184">
        <v>2080</v>
      </c>
      <c r="AV74" s="184">
        <v>2080</v>
      </c>
      <c r="AW74" s="184">
        <v>2040</v>
      </c>
      <c r="AX74" s="184">
        <v>2040</v>
      </c>
      <c r="AY74" s="184">
        <v>2040</v>
      </c>
      <c r="AZ74" s="184">
        <v>2120</v>
      </c>
      <c r="BA74" s="184">
        <v>2120</v>
      </c>
      <c r="BB74" s="184">
        <v>2120</v>
      </c>
      <c r="BC74" s="184">
        <v>2120</v>
      </c>
      <c r="BD74" s="184">
        <v>2120</v>
      </c>
      <c r="BE74" s="184">
        <v>2120</v>
      </c>
      <c r="BF74" s="184">
        <v>2020</v>
      </c>
      <c r="BG74" s="184">
        <v>2020</v>
      </c>
      <c r="BH74" s="184">
        <v>2020</v>
      </c>
      <c r="BI74" s="184">
        <v>2020</v>
      </c>
      <c r="BJ74" s="184">
        <v>2020</v>
      </c>
      <c r="BK74" s="184">
        <v>2020</v>
      </c>
      <c r="BL74" s="184">
        <v>2100</v>
      </c>
      <c r="BM74" s="184">
        <v>2100</v>
      </c>
      <c r="BN74" s="184">
        <v>2100</v>
      </c>
      <c r="BO74" s="184">
        <v>2180</v>
      </c>
      <c r="BP74" s="184">
        <v>2180</v>
      </c>
      <c r="BQ74" s="184">
        <v>2180</v>
      </c>
      <c r="BR74" s="184"/>
      <c r="BS74" s="184"/>
      <c r="BT74" s="184"/>
      <c r="BU74" s="146" cm="1">
        <f t="array" ref="BU74">LOOKUP(2,1/(Y74:BT74&lt;&gt;""),Y74:BH74)</f>
        <v>2180</v>
      </c>
      <c r="BV74" s="145" cm="1">
        <f t="array" aca="1" ref="BV74" ca="1">_xlfn.LET(
    _xlpm.last_col_idx, LOOKUP(2, 1/(Y74:BT74&lt;&gt;""), COLUMN(Y74:BT74) - COLUMN(Y74) + 1),
    _xlpm.header_val, INDEX($Y$3:$BT$3, 1, _xlpm.last_col_idx),
    _xlpm.header_date, IF(ISNUMBER(_xlpm.header_val), _xlpm.header_val, DATEVALUE(_xlpm.header_val)),
    IF(_xlpm.header_date &gt; TODAY(), TODAY(), _xlpm.header_date)
)</f>
        <v>46212</v>
      </c>
      <c r="BW74" s="209" cm="1">
        <f t="array" ref="BW74">(LOOKUP(2,1/(BH74:BT74&lt;&gt;""),BH74:BT74))/(INDEX(BH74:BT74,MATCH(TRUE,INDEX((BH74:BT74&lt;&gt;0),0),0)))-1</f>
        <v>7.9207920792079278E-2</v>
      </c>
      <c r="BX74" s="210">
        <f t="shared" si="19"/>
        <v>2.1800000000000002</v>
      </c>
      <c r="BY74" s="210">
        <f t="shared" si="20"/>
        <v>12.862000000000002</v>
      </c>
      <c r="BZ74" s="210">
        <f ca="1">IF(L74="BR",'Impostos e Frete'!$F$6,IF(L74="EU",'Impostos e Frete'!$I$3,IF(L74="CN",'Impostos e Frete'!$I$4,IF(L74="JP",'Impostos e Frete'!$I$5,IF(L74="RU",'Impostos e Frete'!$I$7,"ERRO")))))</f>
        <v>0.1410816</v>
      </c>
      <c r="CA74" s="210">
        <f>VLOOKUP(L74,'Impostos e Frete'!$A$3:$B$7,2,0)*'Preços e Condições'!BY74</f>
        <v>1.6720600000000003</v>
      </c>
      <c r="CB74" s="147">
        <f t="shared" si="21"/>
        <v>-0.17699999999999999</v>
      </c>
      <c r="CC74" s="147">
        <f>IF(X74="BRL",'Impostos e Frete'!$B$11,'Impostos e Frete'!$B$12)</f>
        <v>9.1999999999999998E-2</v>
      </c>
      <c r="CD74" s="211">
        <f t="shared" ca="1" si="22"/>
        <v>14.590141600000003</v>
      </c>
      <c r="CE74" s="212">
        <f t="shared" ca="1" si="23"/>
        <v>0.99212962880000011</v>
      </c>
      <c r="CF74" s="213">
        <f>VLOOKUP(L74,'Impostos e Frete'!$A$3:$C$7,3,0)</f>
        <v>105</v>
      </c>
      <c r="CG74" s="213">
        <f t="shared" si="24"/>
        <v>120</v>
      </c>
      <c r="CH74" s="213">
        <f t="shared" si="25"/>
        <v>15</v>
      </c>
      <c r="CI74" s="214">
        <f t="shared" ca="1" si="26"/>
        <v>-0.10821020756403676</v>
      </c>
      <c r="CJ74" s="215">
        <f t="shared" ca="1" si="27"/>
        <v>14.481931392435966</v>
      </c>
      <c r="CK74" s="216">
        <f t="shared" ca="1" si="28"/>
        <v>0.98477133468564571</v>
      </c>
    </row>
    <row r="75" spans="1:89">
      <c r="A75" s="176">
        <v>14108</v>
      </c>
      <c r="B75" s="177">
        <v>8269</v>
      </c>
      <c r="C75" s="178">
        <v>68</v>
      </c>
      <c r="D75" s="178">
        <v>1870</v>
      </c>
      <c r="E75" s="178" t="s">
        <v>50</v>
      </c>
      <c r="F75" s="179" t="s">
        <v>2</v>
      </c>
      <c r="G75" s="189" t="s">
        <v>85</v>
      </c>
      <c r="H75" s="178" t="s">
        <v>42</v>
      </c>
      <c r="I75" s="178">
        <v>32102</v>
      </c>
      <c r="J75" s="178"/>
      <c r="K75" s="178"/>
      <c r="L75" s="178" t="s">
        <v>59</v>
      </c>
      <c r="M75" s="178">
        <v>120</v>
      </c>
      <c r="N75" s="178"/>
      <c r="O75" s="178"/>
      <c r="P75" s="178"/>
      <c r="Q75" s="178"/>
      <c r="R75" s="178" t="s">
        <v>126</v>
      </c>
      <c r="S75" s="181"/>
      <c r="T75" s="181"/>
      <c r="U75" s="182"/>
      <c r="V75" s="182" t="s">
        <v>35</v>
      </c>
      <c r="W75" s="183">
        <v>70</v>
      </c>
      <c r="X75" s="182" t="s">
        <v>51</v>
      </c>
      <c r="Y75" s="184">
        <v>2490</v>
      </c>
      <c r="Z75" s="184">
        <v>2490</v>
      </c>
      <c r="AA75" s="184">
        <v>2490</v>
      </c>
      <c r="AB75" s="184">
        <v>2400</v>
      </c>
      <c r="AC75" s="184">
        <v>2400</v>
      </c>
      <c r="AD75" s="184">
        <v>2400</v>
      </c>
      <c r="AE75" s="184">
        <v>2190</v>
      </c>
      <c r="AF75" s="184">
        <v>2190</v>
      </c>
      <c r="AG75" s="184">
        <v>2190</v>
      </c>
      <c r="AH75" s="184">
        <v>2080</v>
      </c>
      <c r="AI75" s="184">
        <v>2080</v>
      </c>
      <c r="AJ75" s="184">
        <v>2080</v>
      </c>
      <c r="AK75" s="184">
        <v>2080</v>
      </c>
      <c r="AL75" s="146">
        <f>40+(AL74+20)</f>
        <v>2150</v>
      </c>
      <c r="AM75" s="146">
        <f>40+(AM74+20)</f>
        <v>2150</v>
      </c>
      <c r="AN75" s="146">
        <f>40+(AN74+20)</f>
        <v>2150</v>
      </c>
      <c r="AO75" s="184">
        <v>2170</v>
      </c>
      <c r="AP75" s="184">
        <v>2170</v>
      </c>
      <c r="AQ75" s="184">
        <v>2170</v>
      </c>
      <c r="AR75" s="184">
        <v>2170</v>
      </c>
      <c r="AS75" s="184">
        <v>2170</v>
      </c>
      <c r="AT75" s="184">
        <v>2170</v>
      </c>
      <c r="AU75" s="184">
        <v>2100</v>
      </c>
      <c r="AV75" s="184">
        <v>2100</v>
      </c>
      <c r="AW75" s="146">
        <f>AW74+20</f>
        <v>2060</v>
      </c>
      <c r="AX75" s="146">
        <f>AX74+20</f>
        <v>2060</v>
      </c>
      <c r="AY75" s="146">
        <f>AY74+20</f>
        <v>2060</v>
      </c>
      <c r="AZ75" s="184">
        <v>2140</v>
      </c>
      <c r="BA75" s="184">
        <v>2140</v>
      </c>
      <c r="BB75" s="184">
        <v>2140</v>
      </c>
      <c r="BC75" s="184">
        <v>2140</v>
      </c>
      <c r="BD75" s="184">
        <v>2140</v>
      </c>
      <c r="BE75" s="184">
        <v>2140</v>
      </c>
      <c r="BF75" s="184">
        <v>2040</v>
      </c>
      <c r="BG75" s="184">
        <v>2040</v>
      </c>
      <c r="BH75" s="184">
        <v>2040</v>
      </c>
      <c r="BI75" s="184">
        <v>2040</v>
      </c>
      <c r="BJ75" s="184">
        <v>2040</v>
      </c>
      <c r="BK75" s="184">
        <v>2040</v>
      </c>
      <c r="BL75" s="184">
        <v>2120</v>
      </c>
      <c r="BM75" s="184">
        <v>2120</v>
      </c>
      <c r="BN75" s="184">
        <v>2120</v>
      </c>
      <c r="BO75" s="184">
        <v>2200</v>
      </c>
      <c r="BP75" s="184">
        <v>2200</v>
      </c>
      <c r="BQ75" s="184">
        <v>2200</v>
      </c>
      <c r="BR75" s="184"/>
      <c r="BS75" s="184"/>
      <c r="BT75" s="184"/>
      <c r="BU75" s="146" cm="1">
        <f t="array" ref="BU75">LOOKUP(2,1/(Y75:BT75&lt;&gt;""),Y75:BH75)</f>
        <v>2200</v>
      </c>
      <c r="BV75" s="145" cm="1">
        <f t="array" aca="1" ref="BV75" ca="1">_xlfn.LET(
    _xlpm.last_col_idx, LOOKUP(2, 1/(Y75:BT75&lt;&gt;""), COLUMN(Y75:BT75) - COLUMN(Y75) + 1),
    _xlpm.header_val, INDEX($Y$3:$BT$3, 1, _xlpm.last_col_idx),
    _xlpm.header_date, IF(ISNUMBER(_xlpm.header_val), _xlpm.header_val, DATEVALUE(_xlpm.header_val)),
    IF(_xlpm.header_date &gt; TODAY(), TODAY(), _xlpm.header_date)
)</f>
        <v>46212</v>
      </c>
      <c r="BW75" s="209" cm="1">
        <f t="array" ref="BW75">(LOOKUP(2,1/(BH75:BT75&lt;&gt;""),BH75:BT75))/(INDEX(BH75:BT75,MATCH(TRUE,INDEX((BH75:BT75&lt;&gt;0),0),0)))-1</f>
        <v>7.8431372549019551E-2</v>
      </c>
      <c r="BX75" s="210">
        <f t="shared" si="19"/>
        <v>2.2000000000000002</v>
      </c>
      <c r="BY75" s="210">
        <f t="shared" si="20"/>
        <v>12.980000000000002</v>
      </c>
      <c r="BZ75" s="210">
        <f ca="1">IF(L75="BR",'Impostos e Frete'!$F$6,IF(L75="EU",'Impostos e Frete'!$I$3,IF(L75="CN",'Impostos e Frete'!$I$4,IF(L75="JP",'Impostos e Frete'!$I$5,IF(L75="RU",'Impostos e Frete'!$I$7,"ERRO")))))</f>
        <v>0.1410816</v>
      </c>
      <c r="CA75" s="210">
        <f>VLOOKUP(L75,'Impostos e Frete'!$A$3:$B$7,2,0)*'Preços e Condições'!BY75</f>
        <v>1.6874000000000002</v>
      </c>
      <c r="CB75" s="147">
        <f t="shared" si="21"/>
        <v>-0.17699999999999999</v>
      </c>
      <c r="CC75" s="147">
        <f>IF(X75="BRL",'Impostos e Frete'!$B$11,'Impostos e Frete'!$B$12)</f>
        <v>9.1999999999999998E-2</v>
      </c>
      <c r="CD75" s="211">
        <f t="shared" ca="1" si="22"/>
        <v>14.723481600000003</v>
      </c>
      <c r="CE75" s="212">
        <f t="shared" ca="1" si="23"/>
        <v>1.0011967488000002</v>
      </c>
      <c r="CF75" s="213">
        <f>VLOOKUP(L75,'Impostos e Frete'!$A$3:$C$7,3,0)</f>
        <v>105</v>
      </c>
      <c r="CG75" s="213">
        <f t="shared" si="24"/>
        <v>120</v>
      </c>
      <c r="CH75" s="213">
        <f t="shared" si="25"/>
        <v>15</v>
      </c>
      <c r="CI75" s="214">
        <f t="shared" ca="1" si="26"/>
        <v>-0.10919914581235446</v>
      </c>
      <c r="CJ75" s="215">
        <f t="shared" ca="1" si="27"/>
        <v>14.614282454187649</v>
      </c>
      <c r="CK75" s="216">
        <f t="shared" ca="1" si="28"/>
        <v>0.99377120688476006</v>
      </c>
    </row>
    <row r="76" spans="1:89">
      <c r="A76" s="176">
        <v>14108</v>
      </c>
      <c r="B76" s="177">
        <v>8269</v>
      </c>
      <c r="C76" s="178">
        <v>68</v>
      </c>
      <c r="D76" s="178">
        <v>1870</v>
      </c>
      <c r="E76" s="178" t="s">
        <v>50</v>
      </c>
      <c r="F76" s="179" t="s">
        <v>2</v>
      </c>
      <c r="G76" s="189" t="s">
        <v>85</v>
      </c>
      <c r="H76" s="178" t="s">
        <v>42</v>
      </c>
      <c r="I76" s="178">
        <v>32102</v>
      </c>
      <c r="J76" s="178"/>
      <c r="K76" s="178"/>
      <c r="L76" s="178" t="s">
        <v>59</v>
      </c>
      <c r="M76" s="178">
        <v>120</v>
      </c>
      <c r="N76" s="178"/>
      <c r="O76" s="178"/>
      <c r="P76" s="178"/>
      <c r="Q76" s="178"/>
      <c r="R76" s="178" t="s">
        <v>126</v>
      </c>
      <c r="S76" s="181"/>
      <c r="T76" s="181"/>
      <c r="U76" s="182"/>
      <c r="V76" s="182" t="s">
        <v>35</v>
      </c>
      <c r="W76" s="183">
        <v>50</v>
      </c>
      <c r="X76" s="182" t="s">
        <v>51</v>
      </c>
      <c r="Y76" s="184">
        <v>2520</v>
      </c>
      <c r="Z76" s="184">
        <v>2520</v>
      </c>
      <c r="AA76" s="184">
        <v>2520</v>
      </c>
      <c r="AB76" s="184">
        <v>2430</v>
      </c>
      <c r="AC76" s="184">
        <v>2430</v>
      </c>
      <c r="AD76" s="184">
        <v>2430</v>
      </c>
      <c r="AE76" s="184">
        <v>2220</v>
      </c>
      <c r="AF76" s="184">
        <v>2220</v>
      </c>
      <c r="AG76" s="184">
        <v>2220</v>
      </c>
      <c r="AH76" s="184">
        <v>2110</v>
      </c>
      <c r="AI76" s="184">
        <v>2110</v>
      </c>
      <c r="AJ76" s="184">
        <v>2110</v>
      </c>
      <c r="AK76" s="184">
        <v>2110</v>
      </c>
      <c r="AL76" s="146">
        <f>40+(AL74+50)</f>
        <v>2180</v>
      </c>
      <c r="AM76" s="146">
        <f>40+(AM74+50)</f>
        <v>2180</v>
      </c>
      <c r="AN76" s="146">
        <f>40+(AN74+50)</f>
        <v>2180</v>
      </c>
      <c r="AO76" s="184">
        <v>2200</v>
      </c>
      <c r="AP76" s="184">
        <v>2200</v>
      </c>
      <c r="AQ76" s="184">
        <v>2200</v>
      </c>
      <c r="AR76" s="184">
        <v>2200</v>
      </c>
      <c r="AS76" s="184">
        <v>2200</v>
      </c>
      <c r="AT76" s="184">
        <v>2200</v>
      </c>
      <c r="AU76" s="184">
        <v>2130</v>
      </c>
      <c r="AV76" s="184">
        <v>2130</v>
      </c>
      <c r="AW76" s="146">
        <f>AW74+50</f>
        <v>2090</v>
      </c>
      <c r="AX76" s="146">
        <f>AX74+50</f>
        <v>2090</v>
      </c>
      <c r="AY76" s="146">
        <f>AY74+50</f>
        <v>2090</v>
      </c>
      <c r="AZ76" s="184">
        <v>2170</v>
      </c>
      <c r="BA76" s="184">
        <v>2170</v>
      </c>
      <c r="BB76" s="184">
        <v>2170</v>
      </c>
      <c r="BC76" s="184">
        <v>2170</v>
      </c>
      <c r="BD76" s="184">
        <v>2170</v>
      </c>
      <c r="BE76" s="184">
        <v>2170</v>
      </c>
      <c r="BF76" s="184">
        <v>2070</v>
      </c>
      <c r="BG76" s="184">
        <v>2070</v>
      </c>
      <c r="BH76" s="184">
        <v>2070</v>
      </c>
      <c r="BI76" s="184">
        <v>2070</v>
      </c>
      <c r="BJ76" s="184">
        <v>2070</v>
      </c>
      <c r="BK76" s="184">
        <v>2070</v>
      </c>
      <c r="BL76" s="184">
        <v>2150</v>
      </c>
      <c r="BM76" s="184">
        <v>2150</v>
      </c>
      <c r="BN76" s="184">
        <v>2150</v>
      </c>
      <c r="BO76" s="184">
        <v>2230</v>
      </c>
      <c r="BP76" s="184">
        <v>2230</v>
      </c>
      <c r="BQ76" s="184">
        <v>2230</v>
      </c>
      <c r="BR76" s="184"/>
      <c r="BS76" s="184"/>
      <c r="BT76" s="184"/>
      <c r="BU76" s="146" cm="1">
        <f t="array" ref="BU76">LOOKUP(2,1/(Y76:BT76&lt;&gt;""),Y76:BH76)</f>
        <v>2230</v>
      </c>
      <c r="BV76" s="145" cm="1">
        <f t="array" aca="1" ref="BV76" ca="1">_xlfn.LET(
    _xlpm.last_col_idx, LOOKUP(2, 1/(Y76:BT76&lt;&gt;""), COLUMN(Y76:BT76) - COLUMN(Y76) + 1),
    _xlpm.header_val, INDEX($Y$3:$BT$3, 1, _xlpm.last_col_idx),
    _xlpm.header_date, IF(ISNUMBER(_xlpm.header_val), _xlpm.header_val, DATEVALUE(_xlpm.header_val)),
    IF(_xlpm.header_date &gt; TODAY(), TODAY(), _xlpm.header_date)
)</f>
        <v>46212</v>
      </c>
      <c r="BW76" s="209" cm="1">
        <f t="array" ref="BW76">(LOOKUP(2,1/(BH76:BT76&lt;&gt;""),BH76:BT76))/(INDEX(BH76:BT76,MATCH(TRUE,INDEX((BH76:BT76&lt;&gt;0),0),0)))-1</f>
        <v>7.7294685990338063E-2</v>
      </c>
      <c r="BX76" s="210">
        <f t="shared" si="19"/>
        <v>2.23</v>
      </c>
      <c r="BY76" s="210">
        <f t="shared" si="20"/>
        <v>13.157</v>
      </c>
      <c r="BZ76" s="210">
        <f ca="1">IF(L76="BR",'Impostos e Frete'!$F$6,IF(L76="EU",'Impostos e Frete'!$I$3,IF(L76="CN",'Impostos e Frete'!$I$4,IF(L76="JP",'Impostos e Frete'!$I$5,IF(L76="RU",'Impostos e Frete'!$I$7,"ERRO")))))</f>
        <v>0.1410816</v>
      </c>
      <c r="CA76" s="210">
        <f>VLOOKUP(L76,'Impostos e Frete'!$A$3:$B$7,2,0)*'Preços e Condições'!BY76</f>
        <v>1.71041</v>
      </c>
      <c r="CB76" s="147">
        <f t="shared" si="21"/>
        <v>-0.17699999999999999</v>
      </c>
      <c r="CC76" s="147">
        <f>IF(X76="BRL",'Impostos e Frete'!$B$11,'Impostos e Frete'!$B$12)</f>
        <v>9.1999999999999998E-2</v>
      </c>
      <c r="CD76" s="211">
        <f t="shared" ca="1" si="22"/>
        <v>14.9234916</v>
      </c>
      <c r="CE76" s="212">
        <f t="shared" ca="1" si="23"/>
        <v>1.0147974287999999</v>
      </c>
      <c r="CF76" s="213">
        <f>VLOOKUP(L76,'Impostos e Frete'!$A$3:$C$7,3,0)</f>
        <v>105</v>
      </c>
      <c r="CG76" s="213">
        <f t="shared" si="24"/>
        <v>120</v>
      </c>
      <c r="CH76" s="213">
        <f t="shared" si="25"/>
        <v>15</v>
      </c>
      <c r="CI76" s="214">
        <f t="shared" ca="1" si="26"/>
        <v>-0.11068255318482834</v>
      </c>
      <c r="CJ76" s="215">
        <f t="shared" ca="1" si="27"/>
        <v>14.812809046815172</v>
      </c>
      <c r="CK76" s="216">
        <f t="shared" ca="1" si="28"/>
        <v>1.0072710151834317</v>
      </c>
    </row>
    <row r="77" spans="1:89">
      <c r="A77" s="176">
        <v>14108</v>
      </c>
      <c r="B77" s="177">
        <v>8269</v>
      </c>
      <c r="C77" s="178">
        <v>68</v>
      </c>
      <c r="D77" s="178">
        <v>1870</v>
      </c>
      <c r="E77" s="178" t="s">
        <v>50</v>
      </c>
      <c r="F77" s="179" t="s">
        <v>2</v>
      </c>
      <c r="G77" s="189" t="s">
        <v>85</v>
      </c>
      <c r="H77" s="178" t="s">
        <v>42</v>
      </c>
      <c r="I77" s="178">
        <v>32102</v>
      </c>
      <c r="J77" s="178"/>
      <c r="K77" s="178"/>
      <c r="L77" s="178" t="s">
        <v>59</v>
      </c>
      <c r="M77" s="178">
        <v>120</v>
      </c>
      <c r="N77" s="178"/>
      <c r="O77" s="178"/>
      <c r="P77" s="178"/>
      <c r="Q77" s="178"/>
      <c r="R77" s="178" t="s">
        <v>126</v>
      </c>
      <c r="S77" s="181"/>
      <c r="T77" s="181"/>
      <c r="U77" s="182"/>
      <c r="V77" s="182" t="s">
        <v>35</v>
      </c>
      <c r="W77" s="183">
        <v>30</v>
      </c>
      <c r="X77" s="182" t="s">
        <v>51</v>
      </c>
      <c r="Y77" s="184">
        <v>2570</v>
      </c>
      <c r="Z77" s="184">
        <v>2570</v>
      </c>
      <c r="AA77" s="184">
        <v>2570</v>
      </c>
      <c r="AB77" s="184">
        <v>2480</v>
      </c>
      <c r="AC77" s="184">
        <v>2480</v>
      </c>
      <c r="AD77" s="184">
        <v>2480</v>
      </c>
      <c r="AE77" s="184">
        <v>2270</v>
      </c>
      <c r="AF77" s="184">
        <v>2270</v>
      </c>
      <c r="AG77" s="184">
        <v>2270</v>
      </c>
      <c r="AH77" s="184">
        <v>2160</v>
      </c>
      <c r="AI77" s="184">
        <v>2160</v>
      </c>
      <c r="AJ77" s="184">
        <v>2160</v>
      </c>
      <c r="AK77" s="184">
        <v>2160</v>
      </c>
      <c r="AL77" s="146">
        <f>40+(AL74+100)</f>
        <v>2230</v>
      </c>
      <c r="AM77" s="146">
        <f>40+(AM74+100)</f>
        <v>2230</v>
      </c>
      <c r="AN77" s="146">
        <f>40+(AN74+100)</f>
        <v>2230</v>
      </c>
      <c r="AO77" s="184">
        <v>2250</v>
      </c>
      <c r="AP77" s="184">
        <v>2250</v>
      </c>
      <c r="AQ77" s="184">
        <v>2250</v>
      </c>
      <c r="AR77" s="184">
        <v>2250</v>
      </c>
      <c r="AS77" s="184">
        <v>2250</v>
      </c>
      <c r="AT77" s="184">
        <v>2250</v>
      </c>
      <c r="AU77" s="184">
        <v>2180</v>
      </c>
      <c r="AV77" s="184">
        <v>2180</v>
      </c>
      <c r="AW77" s="146">
        <f>AW74+100</f>
        <v>2140</v>
      </c>
      <c r="AX77" s="146">
        <f>AX74+100</f>
        <v>2140</v>
      </c>
      <c r="AY77" s="146">
        <f>AY74+100</f>
        <v>2140</v>
      </c>
      <c r="AZ77" s="184">
        <v>2220</v>
      </c>
      <c r="BA77" s="184">
        <v>2220</v>
      </c>
      <c r="BB77" s="184">
        <v>2220</v>
      </c>
      <c r="BC77" s="184">
        <v>2220</v>
      </c>
      <c r="BD77" s="184">
        <v>2220</v>
      </c>
      <c r="BE77" s="184">
        <v>2220</v>
      </c>
      <c r="BF77" s="184">
        <v>2120</v>
      </c>
      <c r="BG77" s="184">
        <v>2120</v>
      </c>
      <c r="BH77" s="184">
        <v>2120</v>
      </c>
      <c r="BI77" s="184">
        <v>2120</v>
      </c>
      <c r="BJ77" s="184">
        <v>2120</v>
      </c>
      <c r="BK77" s="184">
        <v>2120</v>
      </c>
      <c r="BL77" s="184">
        <v>2200</v>
      </c>
      <c r="BM77" s="184">
        <v>2200</v>
      </c>
      <c r="BN77" s="184">
        <v>2200</v>
      </c>
      <c r="BO77" s="184">
        <v>2280</v>
      </c>
      <c r="BP77" s="184">
        <v>2280</v>
      </c>
      <c r="BQ77" s="184">
        <v>2280</v>
      </c>
      <c r="BR77" s="184"/>
      <c r="BS77" s="184"/>
      <c r="BT77" s="184"/>
      <c r="BU77" s="146" cm="1">
        <f t="array" ref="BU77">LOOKUP(2,1/(Y77:BT77&lt;&gt;""),Y77:BH77)</f>
        <v>2280</v>
      </c>
      <c r="BV77" s="145" cm="1">
        <f t="array" aca="1" ref="BV77" ca="1">_xlfn.LET(
    _xlpm.last_col_idx, LOOKUP(2, 1/(Y77:BT77&lt;&gt;""), COLUMN(Y77:BT77) - COLUMN(Y77) + 1),
    _xlpm.header_val, INDEX($Y$3:$BT$3, 1, _xlpm.last_col_idx),
    _xlpm.header_date, IF(ISNUMBER(_xlpm.header_val), _xlpm.header_val, DATEVALUE(_xlpm.header_val)),
    IF(_xlpm.header_date &gt; TODAY(), TODAY(), _xlpm.header_date)
)</f>
        <v>46212</v>
      </c>
      <c r="BW77" s="209" cm="1">
        <f t="array" ref="BW77">(LOOKUP(2,1/(BH77:BT77&lt;&gt;""),BH77:BT77))/(INDEX(BH77:BT77,MATCH(TRUE,INDEX((BH77:BT77&lt;&gt;0),0),0)))-1</f>
        <v>7.547169811320753E-2</v>
      </c>
      <c r="BX77" s="210">
        <f t="shared" si="19"/>
        <v>2.2799999999999998</v>
      </c>
      <c r="BY77" s="210">
        <f t="shared" si="20"/>
        <v>13.452</v>
      </c>
      <c r="BZ77" s="210">
        <f ca="1">IF(L77="BR",'Impostos e Frete'!$F$6,IF(L77="EU",'Impostos e Frete'!$I$3,IF(L77="CN",'Impostos e Frete'!$I$4,IF(L77="JP",'Impostos e Frete'!$I$5,IF(L77="RU",'Impostos e Frete'!$I$7,"ERRO")))))</f>
        <v>0.1410816</v>
      </c>
      <c r="CA77" s="210">
        <f>VLOOKUP(L77,'Impostos e Frete'!$A$3:$B$7,2,0)*'Preços e Condições'!BY77</f>
        <v>1.7487600000000001</v>
      </c>
      <c r="CB77" s="147">
        <f t="shared" si="21"/>
        <v>-0.17699999999999999</v>
      </c>
      <c r="CC77" s="147">
        <f>IF(X77="BRL",'Impostos e Frete'!$B$11,'Impostos e Frete'!$B$12)</f>
        <v>9.1999999999999998E-2</v>
      </c>
      <c r="CD77" s="211">
        <f t="shared" ca="1" si="22"/>
        <v>15.256841600000001</v>
      </c>
      <c r="CE77" s="212">
        <f t="shared" ca="1" si="23"/>
        <v>1.0374652288000001</v>
      </c>
      <c r="CF77" s="213">
        <f>VLOOKUP(L77,'Impostos e Frete'!$A$3:$C$7,3,0)</f>
        <v>105</v>
      </c>
      <c r="CG77" s="213">
        <f t="shared" si="24"/>
        <v>120</v>
      </c>
      <c r="CH77" s="213">
        <f t="shared" si="25"/>
        <v>15</v>
      </c>
      <c r="CI77" s="214">
        <f t="shared" ca="1" si="26"/>
        <v>-0.11315489880561813</v>
      </c>
      <c r="CJ77" s="215">
        <f t="shared" ca="1" si="27"/>
        <v>15.143686701194383</v>
      </c>
      <c r="CK77" s="216">
        <f t="shared" ca="1" si="28"/>
        <v>1.029770695681218</v>
      </c>
    </row>
    <row r="78" spans="1:89">
      <c r="A78" s="176">
        <v>14113</v>
      </c>
      <c r="B78" s="177" t="s">
        <v>475</v>
      </c>
      <c r="C78" s="178">
        <v>72</v>
      </c>
      <c r="D78" s="178">
        <v>1870</v>
      </c>
      <c r="E78" s="178" t="s">
        <v>50</v>
      </c>
      <c r="F78" s="179" t="s">
        <v>2</v>
      </c>
      <c r="G78" s="189" t="s">
        <v>228</v>
      </c>
      <c r="H78" s="178" t="s">
        <v>43</v>
      </c>
      <c r="I78" s="178">
        <v>32126</v>
      </c>
      <c r="J78" s="178"/>
      <c r="K78" s="178"/>
      <c r="L78" s="178" t="s">
        <v>59</v>
      </c>
      <c r="M78" s="178">
        <v>120</v>
      </c>
      <c r="N78" s="178"/>
      <c r="O78" s="178"/>
      <c r="P78" s="178"/>
      <c r="Q78" s="178"/>
      <c r="R78" s="178" t="s">
        <v>126</v>
      </c>
      <c r="S78" s="181"/>
      <c r="T78" s="181"/>
      <c r="U78" s="182"/>
      <c r="V78" s="182" t="s">
        <v>35</v>
      </c>
      <c r="W78" s="183">
        <v>100</v>
      </c>
      <c r="X78" s="182" t="s">
        <v>51</v>
      </c>
      <c r="Y78" s="184">
        <v>2260</v>
      </c>
      <c r="Z78" s="184">
        <v>2260</v>
      </c>
      <c r="AA78" s="184">
        <v>2260</v>
      </c>
      <c r="AB78" s="184">
        <v>2140</v>
      </c>
      <c r="AC78" s="184">
        <v>2140</v>
      </c>
      <c r="AD78" s="184">
        <v>2140</v>
      </c>
      <c r="AE78" s="184">
        <v>1920</v>
      </c>
      <c r="AF78" s="184">
        <v>1920</v>
      </c>
      <c r="AG78" s="184">
        <v>1920</v>
      </c>
      <c r="AH78" s="184">
        <v>1800</v>
      </c>
      <c r="AI78" s="184">
        <v>1800</v>
      </c>
      <c r="AJ78" s="184">
        <v>1800</v>
      </c>
      <c r="AK78" s="184">
        <v>1800</v>
      </c>
      <c r="AL78" s="184">
        <v>1850</v>
      </c>
      <c r="AM78" s="184">
        <v>1850</v>
      </c>
      <c r="AN78" s="184">
        <v>1850</v>
      </c>
      <c r="AO78" s="184">
        <v>1970</v>
      </c>
      <c r="AP78" s="184">
        <v>1970</v>
      </c>
      <c r="AQ78" s="184">
        <v>1970</v>
      </c>
      <c r="AR78" s="184">
        <v>1970</v>
      </c>
      <c r="AS78" s="184">
        <v>1970</v>
      </c>
      <c r="AT78" s="184">
        <v>1970</v>
      </c>
      <c r="AU78" s="184">
        <v>1910</v>
      </c>
      <c r="AV78" s="184">
        <v>1910</v>
      </c>
      <c r="AW78" s="184">
        <v>1850</v>
      </c>
      <c r="AX78" s="184">
        <v>1850</v>
      </c>
      <c r="AY78" s="184">
        <v>1850</v>
      </c>
      <c r="AZ78" s="184">
        <v>1930</v>
      </c>
      <c r="BA78" s="184">
        <v>1930</v>
      </c>
      <c r="BB78" s="184">
        <v>1930</v>
      </c>
      <c r="BC78" s="184">
        <v>1930</v>
      </c>
      <c r="BD78" s="184">
        <v>1930</v>
      </c>
      <c r="BE78" s="184">
        <v>1930</v>
      </c>
      <c r="BF78" s="184">
        <v>1830</v>
      </c>
      <c r="BG78" s="184">
        <v>1830</v>
      </c>
      <c r="BH78" s="184">
        <v>1830</v>
      </c>
      <c r="BI78" s="184">
        <v>1830</v>
      </c>
      <c r="BJ78" s="184">
        <v>1830</v>
      </c>
      <c r="BK78" s="184">
        <v>1830</v>
      </c>
      <c r="BL78" s="184">
        <v>1920</v>
      </c>
      <c r="BM78" s="184">
        <v>1920</v>
      </c>
      <c r="BN78" s="184">
        <v>1920</v>
      </c>
      <c r="BO78" s="184">
        <v>2000</v>
      </c>
      <c r="BP78" s="184">
        <v>2000</v>
      </c>
      <c r="BQ78" s="184">
        <v>2000</v>
      </c>
      <c r="BR78" s="184"/>
      <c r="BS78" s="184"/>
      <c r="BT78" s="184"/>
      <c r="BU78" s="146" cm="1">
        <f t="array" ref="BU78">LOOKUP(2,1/(Y78:BT78&lt;&gt;""),Y78:BH78)</f>
        <v>2000</v>
      </c>
      <c r="BV78" s="145" cm="1">
        <f t="array" aca="1" ref="BV78" ca="1">_xlfn.LET(
    _xlpm.last_col_idx, LOOKUP(2, 1/(Y78:BT78&lt;&gt;""), COLUMN(Y78:BT78) - COLUMN(Y78) + 1),
    _xlpm.header_val, INDEX($Y$3:$BT$3, 1, _xlpm.last_col_idx),
    _xlpm.header_date, IF(ISNUMBER(_xlpm.header_val), _xlpm.header_val, DATEVALUE(_xlpm.header_val)),
    IF(_xlpm.header_date &gt; TODAY(), TODAY(), _xlpm.header_date)
)</f>
        <v>46212</v>
      </c>
      <c r="BW78" s="209" cm="1">
        <f t="array" ref="BW78">(LOOKUP(2,1/(BH78:BT78&lt;&gt;""),BH78:BT78))/(INDEX(BH78:BT78,MATCH(TRUE,INDEX((BH78:BT78&lt;&gt;0),0),0)))-1</f>
        <v>9.2896174863388081E-2</v>
      </c>
      <c r="BX78" s="210">
        <f t="shared" si="19"/>
        <v>2</v>
      </c>
      <c r="BY78" s="210">
        <f t="shared" si="20"/>
        <v>11.8</v>
      </c>
      <c r="BZ78" s="210">
        <f ca="1">IF(L78="BR",'Impostos e Frete'!$F$6,IF(L78="EU",'Impostos e Frete'!$I$3,IF(L78="CN",'Impostos e Frete'!$I$4,IF(L78="JP",'Impostos e Frete'!$I$5,IF(L78="RU",'Impostos e Frete'!$I$7,"ERRO")))))</f>
        <v>0.1410816</v>
      </c>
      <c r="CA78" s="210">
        <f>VLOOKUP(L78,'Impostos e Frete'!$A$3:$B$7,2,0)*'Preços e Condições'!BY78</f>
        <v>1.5340000000000003</v>
      </c>
      <c r="CB78" s="147">
        <f t="shared" si="21"/>
        <v>-0.17699999999999999</v>
      </c>
      <c r="CC78" s="147">
        <f>IF(X78="BRL",'Impostos e Frete'!$B$11,'Impostos e Frete'!$B$12)</f>
        <v>9.1999999999999998E-2</v>
      </c>
      <c r="CD78" s="211">
        <f t="shared" ca="1" si="22"/>
        <v>13.390081600000002</v>
      </c>
      <c r="CE78" s="212">
        <f t="shared" ca="1" si="23"/>
        <v>0.96408587520000022</v>
      </c>
      <c r="CF78" s="213">
        <f>VLOOKUP(L78,'Impostos e Frete'!$A$3:$C$7,3,0)</f>
        <v>105</v>
      </c>
      <c r="CG78" s="213">
        <f t="shared" si="24"/>
        <v>120</v>
      </c>
      <c r="CH78" s="213">
        <f t="shared" si="25"/>
        <v>15</v>
      </c>
      <c r="CI78" s="214">
        <f t="shared" ca="1" si="26"/>
        <v>-9.9309763329191725E-2</v>
      </c>
      <c r="CJ78" s="215">
        <f t="shared" ca="1" si="27"/>
        <v>13.29077183667081</v>
      </c>
      <c r="CK78" s="216">
        <f t="shared" ca="1" si="28"/>
        <v>0.95693557224029835</v>
      </c>
    </row>
    <row r="79" spans="1:89">
      <c r="A79" s="176">
        <v>14113</v>
      </c>
      <c r="B79" s="177" t="s">
        <v>475</v>
      </c>
      <c r="C79" s="178">
        <v>72</v>
      </c>
      <c r="D79" s="178">
        <v>1870</v>
      </c>
      <c r="E79" s="178" t="s">
        <v>50</v>
      </c>
      <c r="F79" s="179" t="s">
        <v>2</v>
      </c>
      <c r="G79" s="189" t="s">
        <v>228</v>
      </c>
      <c r="H79" s="178" t="s">
        <v>43</v>
      </c>
      <c r="I79" s="178">
        <v>32126</v>
      </c>
      <c r="J79" s="178"/>
      <c r="K79" s="178"/>
      <c r="L79" s="178" t="s">
        <v>59</v>
      </c>
      <c r="M79" s="178">
        <v>120</v>
      </c>
      <c r="N79" s="178"/>
      <c r="O79" s="178"/>
      <c r="P79" s="178"/>
      <c r="Q79" s="178"/>
      <c r="R79" s="178" t="s">
        <v>126</v>
      </c>
      <c r="S79" s="181"/>
      <c r="T79" s="181"/>
      <c r="U79" s="182"/>
      <c r="V79" s="182" t="s">
        <v>35</v>
      </c>
      <c r="W79" s="183">
        <v>70</v>
      </c>
      <c r="X79" s="182" t="s">
        <v>51</v>
      </c>
      <c r="Y79" s="184">
        <v>2280</v>
      </c>
      <c r="Z79" s="184">
        <v>2280</v>
      </c>
      <c r="AA79" s="184">
        <v>2280</v>
      </c>
      <c r="AB79" s="184">
        <v>2160</v>
      </c>
      <c r="AC79" s="184">
        <v>2160</v>
      </c>
      <c r="AD79" s="184">
        <v>2160</v>
      </c>
      <c r="AE79" s="184">
        <v>1940</v>
      </c>
      <c r="AF79" s="184">
        <v>1940</v>
      </c>
      <c r="AG79" s="184">
        <v>1940</v>
      </c>
      <c r="AH79" s="184">
        <v>1820</v>
      </c>
      <c r="AI79" s="184">
        <v>1820</v>
      </c>
      <c r="AJ79" s="184">
        <v>1820</v>
      </c>
      <c r="AK79" s="184">
        <v>1820</v>
      </c>
      <c r="AL79" s="146">
        <f>40+(AL78+20)</f>
        <v>1910</v>
      </c>
      <c r="AM79" s="146">
        <f>40+(AM78+20)</f>
        <v>1910</v>
      </c>
      <c r="AN79" s="146">
        <f>40+(AN78+20)</f>
        <v>1910</v>
      </c>
      <c r="AO79" s="184">
        <v>1990</v>
      </c>
      <c r="AP79" s="184">
        <v>1990</v>
      </c>
      <c r="AQ79" s="184">
        <v>1990</v>
      </c>
      <c r="AR79" s="184">
        <v>1990</v>
      </c>
      <c r="AS79" s="184">
        <v>1990</v>
      </c>
      <c r="AT79" s="184">
        <v>1990</v>
      </c>
      <c r="AU79" s="184">
        <v>1930</v>
      </c>
      <c r="AV79" s="184">
        <v>1930</v>
      </c>
      <c r="AW79" s="146">
        <f>AW78+20</f>
        <v>1870</v>
      </c>
      <c r="AX79" s="146">
        <f>AX78+20</f>
        <v>1870</v>
      </c>
      <c r="AY79" s="146">
        <f>AY78+20</f>
        <v>1870</v>
      </c>
      <c r="AZ79" s="184">
        <v>1950</v>
      </c>
      <c r="BA79" s="184">
        <v>1950</v>
      </c>
      <c r="BB79" s="184">
        <v>1950</v>
      </c>
      <c r="BC79" s="184">
        <v>1950</v>
      </c>
      <c r="BD79" s="184">
        <v>1950</v>
      </c>
      <c r="BE79" s="184">
        <v>1950</v>
      </c>
      <c r="BF79" s="184">
        <v>1850</v>
      </c>
      <c r="BG79" s="184">
        <v>1850</v>
      </c>
      <c r="BH79" s="184">
        <v>1850</v>
      </c>
      <c r="BI79" s="184">
        <v>1850</v>
      </c>
      <c r="BJ79" s="184">
        <v>1850</v>
      </c>
      <c r="BK79" s="184">
        <v>1850</v>
      </c>
      <c r="BL79" s="184">
        <v>1940</v>
      </c>
      <c r="BM79" s="184">
        <v>1940</v>
      </c>
      <c r="BN79" s="184">
        <v>1940</v>
      </c>
      <c r="BO79" s="184">
        <v>2020</v>
      </c>
      <c r="BP79" s="184">
        <v>2020</v>
      </c>
      <c r="BQ79" s="184">
        <v>2020</v>
      </c>
      <c r="BR79" s="184"/>
      <c r="BS79" s="184"/>
      <c r="BT79" s="184"/>
      <c r="BU79" s="146" cm="1">
        <f t="array" ref="BU79">LOOKUP(2,1/(Y79:BT79&lt;&gt;""),Y79:BH79)</f>
        <v>2020</v>
      </c>
      <c r="BV79" s="145" cm="1">
        <f t="array" aca="1" ref="BV79" ca="1">_xlfn.LET(
    _xlpm.last_col_idx, LOOKUP(2, 1/(Y79:BT79&lt;&gt;""), COLUMN(Y79:BT79) - COLUMN(Y79) + 1),
    _xlpm.header_val, INDEX($Y$3:$BT$3, 1, _xlpm.last_col_idx),
    _xlpm.header_date, IF(ISNUMBER(_xlpm.header_val), _xlpm.header_val, DATEVALUE(_xlpm.header_val)),
    IF(_xlpm.header_date &gt; TODAY(), TODAY(), _xlpm.header_date)
)</f>
        <v>46212</v>
      </c>
      <c r="BW79" s="209" cm="1">
        <f t="array" ref="BW79">(LOOKUP(2,1/(BH79:BT79&lt;&gt;""),BH79:BT79))/(INDEX(BH79:BT79,MATCH(TRUE,INDEX((BH79:BT79&lt;&gt;0),0),0)))-1</f>
        <v>9.1891891891891841E-2</v>
      </c>
      <c r="BX79" s="210">
        <f t="shared" si="19"/>
        <v>2.02</v>
      </c>
      <c r="BY79" s="210">
        <f t="shared" si="20"/>
        <v>11.918000000000001</v>
      </c>
      <c r="BZ79" s="210">
        <f ca="1">IF(L79="BR",'Impostos e Frete'!$F$6,IF(L79="EU",'Impostos e Frete'!$I$3,IF(L79="CN",'Impostos e Frete'!$I$4,IF(L79="JP",'Impostos e Frete'!$I$5,IF(L79="RU",'Impostos e Frete'!$I$7,"ERRO")))))</f>
        <v>0.1410816</v>
      </c>
      <c r="CA79" s="210">
        <f>VLOOKUP(L79,'Impostos e Frete'!$A$3:$B$7,2,0)*'Preços e Condições'!BY79</f>
        <v>1.5493400000000002</v>
      </c>
      <c r="CB79" s="147">
        <f t="shared" si="21"/>
        <v>-0.17699999999999999</v>
      </c>
      <c r="CC79" s="147">
        <f>IF(X79="BRL",'Impostos e Frete'!$B$11,'Impostos e Frete'!$B$12)</f>
        <v>9.1999999999999998E-2</v>
      </c>
      <c r="CD79" s="211">
        <f t="shared" ca="1" si="22"/>
        <v>13.523421600000002</v>
      </c>
      <c r="CE79" s="212">
        <f t="shared" ca="1" si="23"/>
        <v>0.97368635520000013</v>
      </c>
      <c r="CF79" s="213">
        <f>VLOOKUP(L79,'Impostos e Frete'!$A$3:$C$7,3,0)</f>
        <v>105</v>
      </c>
      <c r="CG79" s="213">
        <f t="shared" si="24"/>
        <v>120</v>
      </c>
      <c r="CH79" s="213">
        <f t="shared" si="25"/>
        <v>15</v>
      </c>
      <c r="CI79" s="214">
        <f t="shared" ca="1" si="26"/>
        <v>-0.10029870157750764</v>
      </c>
      <c r="CJ79" s="215">
        <f t="shared" ca="1" si="27"/>
        <v>13.423122898422495</v>
      </c>
      <c r="CK79" s="216">
        <f t="shared" ca="1" si="28"/>
        <v>0.96646484868641969</v>
      </c>
    </row>
    <row r="80" spans="1:89">
      <c r="A80" s="176">
        <v>14113</v>
      </c>
      <c r="B80" s="177" t="s">
        <v>475</v>
      </c>
      <c r="C80" s="178">
        <v>72</v>
      </c>
      <c r="D80" s="178">
        <v>1870</v>
      </c>
      <c r="E80" s="178" t="s">
        <v>50</v>
      </c>
      <c r="F80" s="179" t="s">
        <v>2</v>
      </c>
      <c r="G80" s="189" t="s">
        <v>228</v>
      </c>
      <c r="H80" s="178" t="s">
        <v>43</v>
      </c>
      <c r="I80" s="178">
        <v>32126</v>
      </c>
      <c r="J80" s="178"/>
      <c r="K80" s="178"/>
      <c r="L80" s="178" t="s">
        <v>59</v>
      </c>
      <c r="M80" s="178">
        <v>120</v>
      </c>
      <c r="N80" s="178"/>
      <c r="O80" s="178"/>
      <c r="P80" s="178"/>
      <c r="Q80" s="178"/>
      <c r="R80" s="178" t="s">
        <v>126</v>
      </c>
      <c r="S80" s="181"/>
      <c r="T80" s="181"/>
      <c r="U80" s="182"/>
      <c r="V80" s="182" t="s">
        <v>35</v>
      </c>
      <c r="W80" s="183">
        <v>50</v>
      </c>
      <c r="X80" s="182" t="s">
        <v>51</v>
      </c>
      <c r="Y80" s="184">
        <v>2310</v>
      </c>
      <c r="Z80" s="184">
        <v>2310</v>
      </c>
      <c r="AA80" s="184">
        <v>2310</v>
      </c>
      <c r="AB80" s="184">
        <v>2190</v>
      </c>
      <c r="AC80" s="184">
        <v>2190</v>
      </c>
      <c r="AD80" s="184">
        <v>2190</v>
      </c>
      <c r="AE80" s="184">
        <v>1970</v>
      </c>
      <c r="AF80" s="184">
        <v>1970</v>
      </c>
      <c r="AG80" s="184">
        <v>1970</v>
      </c>
      <c r="AH80" s="184">
        <v>1850</v>
      </c>
      <c r="AI80" s="184">
        <v>1850</v>
      </c>
      <c r="AJ80" s="184">
        <v>1850</v>
      </c>
      <c r="AK80" s="184">
        <v>1850</v>
      </c>
      <c r="AL80" s="146">
        <f>40+(AL78+50)</f>
        <v>1940</v>
      </c>
      <c r="AM80" s="146">
        <f>40+(AM78+50)</f>
        <v>1940</v>
      </c>
      <c r="AN80" s="146">
        <f>40+(AN78+50)</f>
        <v>1940</v>
      </c>
      <c r="AO80" s="184">
        <v>2020</v>
      </c>
      <c r="AP80" s="184">
        <v>2020</v>
      </c>
      <c r="AQ80" s="184">
        <v>2020</v>
      </c>
      <c r="AR80" s="184">
        <v>2020</v>
      </c>
      <c r="AS80" s="184">
        <v>2020</v>
      </c>
      <c r="AT80" s="184">
        <v>2020</v>
      </c>
      <c r="AU80" s="184">
        <v>1960</v>
      </c>
      <c r="AV80" s="184">
        <v>1960</v>
      </c>
      <c r="AW80" s="146">
        <f>AW78+50</f>
        <v>1900</v>
      </c>
      <c r="AX80" s="146">
        <f>AX78+50</f>
        <v>1900</v>
      </c>
      <c r="AY80" s="146">
        <f>AY78+50</f>
        <v>1900</v>
      </c>
      <c r="AZ80" s="184">
        <v>1980</v>
      </c>
      <c r="BA80" s="184">
        <v>1980</v>
      </c>
      <c r="BB80" s="184">
        <v>1980</v>
      </c>
      <c r="BC80" s="184">
        <v>1980</v>
      </c>
      <c r="BD80" s="184">
        <v>1980</v>
      </c>
      <c r="BE80" s="184">
        <v>1980</v>
      </c>
      <c r="BF80" s="184">
        <v>1880</v>
      </c>
      <c r="BG80" s="184">
        <v>1880</v>
      </c>
      <c r="BH80" s="184">
        <v>1880</v>
      </c>
      <c r="BI80" s="184">
        <v>1880</v>
      </c>
      <c r="BJ80" s="184">
        <v>1880</v>
      </c>
      <c r="BK80" s="184">
        <v>1880</v>
      </c>
      <c r="BL80" s="184">
        <v>1970</v>
      </c>
      <c r="BM80" s="184">
        <v>1970</v>
      </c>
      <c r="BN80" s="184">
        <v>1970</v>
      </c>
      <c r="BO80" s="184">
        <v>2050</v>
      </c>
      <c r="BP80" s="184">
        <v>2050</v>
      </c>
      <c r="BQ80" s="184">
        <v>2050</v>
      </c>
      <c r="BR80" s="184"/>
      <c r="BS80" s="184"/>
      <c r="BT80" s="184"/>
      <c r="BU80" s="146" cm="1">
        <f t="array" ref="BU80">LOOKUP(2,1/(Y80:BT80&lt;&gt;""),Y80:BH80)</f>
        <v>2050</v>
      </c>
      <c r="BV80" s="145" cm="1">
        <f t="array" aca="1" ref="BV80" ca="1">_xlfn.LET(
    _xlpm.last_col_idx, LOOKUP(2, 1/(Y80:BT80&lt;&gt;""), COLUMN(Y80:BT80) - COLUMN(Y80) + 1),
    _xlpm.header_val, INDEX($Y$3:$BT$3, 1, _xlpm.last_col_idx),
    _xlpm.header_date, IF(ISNUMBER(_xlpm.header_val), _xlpm.header_val, DATEVALUE(_xlpm.header_val)),
    IF(_xlpm.header_date &gt; TODAY(), TODAY(), _xlpm.header_date)
)</f>
        <v>46212</v>
      </c>
      <c r="BW80" s="209" cm="1">
        <f t="array" ref="BW80">(LOOKUP(2,1/(BH80:BT80&lt;&gt;""),BH80:BT80))/(INDEX(BH80:BT80,MATCH(TRUE,INDEX((BH80:BT80&lt;&gt;0),0),0)))-1</f>
        <v>9.0425531914893664E-2</v>
      </c>
      <c r="BX80" s="210">
        <f t="shared" si="19"/>
        <v>2.0499999999999998</v>
      </c>
      <c r="BY80" s="210">
        <f t="shared" si="20"/>
        <v>12.094999999999999</v>
      </c>
      <c r="BZ80" s="210">
        <f ca="1">IF(L80="BR",'Impostos e Frete'!$F$6,IF(L80="EU",'Impostos e Frete'!$I$3,IF(L80="CN",'Impostos e Frete'!$I$4,IF(L80="JP",'Impostos e Frete'!$I$5,IF(L80="RU",'Impostos e Frete'!$I$7,"ERRO")))))</f>
        <v>0.1410816</v>
      </c>
      <c r="CA80" s="210">
        <f>VLOOKUP(L80,'Impostos e Frete'!$A$3:$B$7,2,0)*'Preços e Condições'!BY80</f>
        <v>1.5723499999999999</v>
      </c>
      <c r="CB80" s="147">
        <f t="shared" si="21"/>
        <v>-0.17699999999999999</v>
      </c>
      <c r="CC80" s="147">
        <f>IF(X80="BRL",'Impostos e Frete'!$B$11,'Impostos e Frete'!$B$12)</f>
        <v>9.1999999999999998E-2</v>
      </c>
      <c r="CD80" s="211">
        <f t="shared" ca="1" si="22"/>
        <v>13.7234316</v>
      </c>
      <c r="CE80" s="212">
        <f t="shared" ca="1" si="23"/>
        <v>0.98808707519999994</v>
      </c>
      <c r="CF80" s="213">
        <f>VLOOKUP(L80,'Impostos e Frete'!$A$3:$C$7,3,0)</f>
        <v>105</v>
      </c>
      <c r="CG80" s="213">
        <f t="shared" si="24"/>
        <v>120</v>
      </c>
      <c r="CH80" s="213">
        <f t="shared" si="25"/>
        <v>15</v>
      </c>
      <c r="CI80" s="214">
        <f t="shared" ca="1" si="26"/>
        <v>-0.1017821089499833</v>
      </c>
      <c r="CJ80" s="215">
        <f t="shared" ca="1" si="27"/>
        <v>13.621649491050016</v>
      </c>
      <c r="CK80" s="216">
        <f t="shared" ca="1" si="28"/>
        <v>0.98075876335560119</v>
      </c>
    </row>
    <row r="81" spans="1:89">
      <c r="A81" s="176">
        <v>14113</v>
      </c>
      <c r="B81" s="177" t="s">
        <v>475</v>
      </c>
      <c r="C81" s="178">
        <v>72</v>
      </c>
      <c r="D81" s="178">
        <v>1870</v>
      </c>
      <c r="E81" s="178" t="s">
        <v>50</v>
      </c>
      <c r="F81" s="179" t="s">
        <v>2</v>
      </c>
      <c r="G81" s="189" t="s">
        <v>228</v>
      </c>
      <c r="H81" s="178" t="s">
        <v>43</v>
      </c>
      <c r="I81" s="178">
        <v>32126</v>
      </c>
      <c r="J81" s="178"/>
      <c r="K81" s="178"/>
      <c r="L81" s="178" t="s">
        <v>59</v>
      </c>
      <c r="M81" s="178">
        <v>120</v>
      </c>
      <c r="N81" s="178"/>
      <c r="O81" s="178"/>
      <c r="P81" s="178"/>
      <c r="Q81" s="178"/>
      <c r="R81" s="178" t="s">
        <v>126</v>
      </c>
      <c r="S81" s="181"/>
      <c r="T81" s="181"/>
      <c r="U81" s="182"/>
      <c r="V81" s="182" t="s">
        <v>35</v>
      </c>
      <c r="W81" s="183">
        <v>30</v>
      </c>
      <c r="X81" s="182" t="s">
        <v>51</v>
      </c>
      <c r="Y81" s="184">
        <v>2360</v>
      </c>
      <c r="Z81" s="184">
        <v>2360</v>
      </c>
      <c r="AA81" s="184">
        <v>2360</v>
      </c>
      <c r="AB81" s="184">
        <v>2240</v>
      </c>
      <c r="AC81" s="184">
        <v>2240</v>
      </c>
      <c r="AD81" s="184">
        <v>2240</v>
      </c>
      <c r="AE81" s="184">
        <v>2020</v>
      </c>
      <c r="AF81" s="184">
        <v>2020</v>
      </c>
      <c r="AG81" s="184">
        <v>2020</v>
      </c>
      <c r="AH81" s="184">
        <v>1900</v>
      </c>
      <c r="AI81" s="184">
        <v>1900</v>
      </c>
      <c r="AJ81" s="184">
        <v>1900</v>
      </c>
      <c r="AK81" s="184">
        <v>1900</v>
      </c>
      <c r="AL81" s="146">
        <f>40+(AL78+100)</f>
        <v>1990</v>
      </c>
      <c r="AM81" s="146">
        <f>40+(AM78+100)</f>
        <v>1990</v>
      </c>
      <c r="AN81" s="146">
        <f>40+(AN78+100)</f>
        <v>1990</v>
      </c>
      <c r="AO81" s="184">
        <v>2070</v>
      </c>
      <c r="AP81" s="184">
        <v>2070</v>
      </c>
      <c r="AQ81" s="184">
        <v>2070</v>
      </c>
      <c r="AR81" s="184">
        <v>2070</v>
      </c>
      <c r="AS81" s="184">
        <v>2070</v>
      </c>
      <c r="AT81" s="184">
        <v>2070</v>
      </c>
      <c r="AU81" s="184">
        <v>2010</v>
      </c>
      <c r="AV81" s="184">
        <v>2010</v>
      </c>
      <c r="AW81" s="146">
        <f>AW78+100</f>
        <v>1950</v>
      </c>
      <c r="AX81" s="146">
        <f>AX78+100</f>
        <v>1950</v>
      </c>
      <c r="AY81" s="146">
        <f>AY78+100</f>
        <v>1950</v>
      </c>
      <c r="AZ81" s="184">
        <v>2030</v>
      </c>
      <c r="BA81" s="184">
        <v>2030</v>
      </c>
      <c r="BB81" s="184">
        <v>2030</v>
      </c>
      <c r="BC81" s="184">
        <v>2030</v>
      </c>
      <c r="BD81" s="184">
        <v>2030</v>
      </c>
      <c r="BE81" s="184">
        <v>2030</v>
      </c>
      <c r="BF81" s="184">
        <v>1930</v>
      </c>
      <c r="BG81" s="184">
        <v>1930</v>
      </c>
      <c r="BH81" s="184">
        <v>1930</v>
      </c>
      <c r="BI81" s="184">
        <v>1930</v>
      </c>
      <c r="BJ81" s="184">
        <v>1930</v>
      </c>
      <c r="BK81" s="184">
        <v>1930</v>
      </c>
      <c r="BL81" s="184">
        <v>2020</v>
      </c>
      <c r="BM81" s="184">
        <v>2020</v>
      </c>
      <c r="BN81" s="184">
        <v>2020</v>
      </c>
      <c r="BO81" s="184">
        <v>2100</v>
      </c>
      <c r="BP81" s="184">
        <v>2100</v>
      </c>
      <c r="BQ81" s="184">
        <v>2100</v>
      </c>
      <c r="BR81" s="184"/>
      <c r="BS81" s="184"/>
      <c r="BT81" s="184"/>
      <c r="BU81" s="146" cm="1">
        <f t="array" ref="BU81">LOOKUP(2,1/(Y81:BT81&lt;&gt;""),Y81:BH81)</f>
        <v>2100</v>
      </c>
      <c r="BV81" s="145" cm="1">
        <f t="array" aca="1" ref="BV81" ca="1">_xlfn.LET(
    _xlpm.last_col_idx, LOOKUP(2, 1/(Y81:BT81&lt;&gt;""), COLUMN(Y81:BT81) - COLUMN(Y81) + 1),
    _xlpm.header_val, INDEX($Y$3:$BT$3, 1, _xlpm.last_col_idx),
    _xlpm.header_date, IF(ISNUMBER(_xlpm.header_val), _xlpm.header_val, DATEVALUE(_xlpm.header_val)),
    IF(_xlpm.header_date &gt; TODAY(), TODAY(), _xlpm.header_date)
)</f>
        <v>46212</v>
      </c>
      <c r="BW81" s="209" cm="1">
        <f t="array" ref="BW81">(LOOKUP(2,1/(BH81:BT81&lt;&gt;""),BH81:BT81))/(INDEX(BH81:BT81,MATCH(TRUE,INDEX((BH81:BT81&lt;&gt;0),0),0)))-1</f>
        <v>8.8082901554404236E-2</v>
      </c>
      <c r="BX81" s="210">
        <f t="shared" si="19"/>
        <v>2.1</v>
      </c>
      <c r="BY81" s="210">
        <f t="shared" si="20"/>
        <v>12.39</v>
      </c>
      <c r="BZ81" s="210">
        <f ca="1">IF(L81="BR",'Impostos e Frete'!$F$6,IF(L81="EU",'Impostos e Frete'!$I$3,IF(L81="CN",'Impostos e Frete'!$I$4,IF(L81="JP",'Impostos e Frete'!$I$5,IF(L81="RU",'Impostos e Frete'!$I$7,"ERRO")))))</f>
        <v>0.1410816</v>
      </c>
      <c r="CA81" s="210">
        <f>VLOOKUP(L81,'Impostos e Frete'!$A$3:$B$7,2,0)*'Preços e Condições'!BY81</f>
        <v>1.6107</v>
      </c>
      <c r="CB81" s="147">
        <f t="shared" si="21"/>
        <v>-0.17699999999999999</v>
      </c>
      <c r="CC81" s="147">
        <f>IF(X81="BRL",'Impostos e Frete'!$B$11,'Impostos e Frete'!$B$12)</f>
        <v>9.1999999999999998E-2</v>
      </c>
      <c r="CD81" s="211">
        <f t="shared" ca="1" si="22"/>
        <v>14.056781600000001</v>
      </c>
      <c r="CE81" s="212">
        <f t="shared" ca="1" si="23"/>
        <v>1.0120882752</v>
      </c>
      <c r="CF81" s="213">
        <f>VLOOKUP(L81,'Impostos e Frete'!$A$3:$C$7,3,0)</f>
        <v>105</v>
      </c>
      <c r="CG81" s="213">
        <f t="shared" si="24"/>
        <v>120</v>
      </c>
      <c r="CH81" s="213">
        <f t="shared" si="25"/>
        <v>15</v>
      </c>
      <c r="CI81" s="214">
        <f t="shared" ca="1" si="26"/>
        <v>-0.10425445457077309</v>
      </c>
      <c r="CJ81" s="215">
        <f t="shared" ca="1" si="27"/>
        <v>13.952527145429228</v>
      </c>
      <c r="CK81" s="216">
        <f t="shared" ca="1" si="28"/>
        <v>1.0045819544709043</v>
      </c>
    </row>
    <row r="82" spans="1:89">
      <c r="A82" s="176">
        <v>14120</v>
      </c>
      <c r="B82" s="177">
        <v>483</v>
      </c>
      <c r="C82" s="178">
        <v>68</v>
      </c>
      <c r="D82" s="178">
        <v>1870</v>
      </c>
      <c r="E82" s="178" t="s">
        <v>50</v>
      </c>
      <c r="F82" s="179" t="s">
        <v>2</v>
      </c>
      <c r="G82" s="189" t="s">
        <v>88</v>
      </c>
      <c r="H82" s="178" t="s">
        <v>63</v>
      </c>
      <c r="I82" s="178">
        <v>32165</v>
      </c>
      <c r="J82" s="178"/>
      <c r="K82" s="178"/>
      <c r="L82" s="178" t="s">
        <v>59</v>
      </c>
      <c r="M82" s="178">
        <v>120</v>
      </c>
      <c r="N82" s="178"/>
      <c r="O82" s="178"/>
      <c r="P82" s="178"/>
      <c r="Q82" s="178"/>
      <c r="R82" s="178" t="s">
        <v>126</v>
      </c>
      <c r="S82" s="181"/>
      <c r="T82" s="181"/>
      <c r="U82" s="182"/>
      <c r="V82" s="182" t="s">
        <v>35</v>
      </c>
      <c r="W82" s="183">
        <v>200</v>
      </c>
      <c r="X82" s="182" t="s">
        <v>51</v>
      </c>
      <c r="Y82" s="184">
        <v>2280</v>
      </c>
      <c r="Z82" s="184">
        <v>2280</v>
      </c>
      <c r="AA82" s="184">
        <v>2280</v>
      </c>
      <c r="AB82" s="184">
        <v>2180</v>
      </c>
      <c r="AC82" s="184">
        <v>2180</v>
      </c>
      <c r="AD82" s="184">
        <v>2180</v>
      </c>
      <c r="AE82" s="184">
        <v>1890</v>
      </c>
      <c r="AF82" s="184">
        <v>1890</v>
      </c>
      <c r="AG82" s="184">
        <v>1890</v>
      </c>
      <c r="AH82" s="184">
        <v>1860</v>
      </c>
      <c r="AI82" s="184">
        <v>1860</v>
      </c>
      <c r="AJ82" s="184">
        <v>1860</v>
      </c>
      <c r="AK82" s="184">
        <v>1860</v>
      </c>
      <c r="AL82" s="184">
        <v>1890</v>
      </c>
      <c r="AM82" s="184">
        <v>1890</v>
      </c>
      <c r="AN82" s="184">
        <v>1890</v>
      </c>
      <c r="AO82" s="184">
        <v>1940</v>
      </c>
      <c r="AP82" s="184">
        <v>1940</v>
      </c>
      <c r="AQ82" s="184">
        <v>1940</v>
      </c>
      <c r="AR82" s="184">
        <v>1940</v>
      </c>
      <c r="AS82" s="184">
        <v>1940</v>
      </c>
      <c r="AT82" s="184">
        <v>1940</v>
      </c>
      <c r="AU82" s="184">
        <v>1870</v>
      </c>
      <c r="AV82" s="184">
        <v>1870</v>
      </c>
      <c r="AW82" s="184">
        <v>1830</v>
      </c>
      <c r="AX82" s="184">
        <v>1830</v>
      </c>
      <c r="AY82" s="184">
        <v>1830</v>
      </c>
      <c r="AZ82" s="184">
        <v>1910</v>
      </c>
      <c r="BA82" s="184">
        <v>1910</v>
      </c>
      <c r="BB82" s="184">
        <v>1910</v>
      </c>
      <c r="BC82" s="184">
        <v>1910</v>
      </c>
      <c r="BD82" s="184">
        <v>1910</v>
      </c>
      <c r="BE82" s="184">
        <v>1910</v>
      </c>
      <c r="BF82" s="184">
        <v>1810</v>
      </c>
      <c r="BG82" s="184">
        <v>1810</v>
      </c>
      <c r="BH82" s="184">
        <v>1810</v>
      </c>
      <c r="BI82" s="184">
        <v>1810</v>
      </c>
      <c r="BJ82" s="184">
        <v>1810</v>
      </c>
      <c r="BK82" s="184">
        <v>1810</v>
      </c>
      <c r="BL82" s="184">
        <v>1890</v>
      </c>
      <c r="BM82" s="184">
        <v>1890</v>
      </c>
      <c r="BN82" s="184">
        <v>1770</v>
      </c>
      <c r="BO82" s="184">
        <v>1730</v>
      </c>
      <c r="BP82" s="184">
        <v>1730</v>
      </c>
      <c r="BQ82" s="184">
        <v>1730</v>
      </c>
      <c r="BR82" s="184"/>
      <c r="BS82" s="184"/>
      <c r="BT82" s="184"/>
      <c r="BU82" s="146" cm="1">
        <f t="array" ref="BU82">LOOKUP(2,1/(Y82:BT82&lt;&gt;""),Y82:BH82)</f>
        <v>1730</v>
      </c>
      <c r="BV82" s="145" cm="1">
        <f t="array" aca="1" ref="BV82" ca="1">_xlfn.LET(
    _xlpm.last_col_idx, LOOKUP(2, 1/(Y82:BT82&lt;&gt;""), COLUMN(Y82:BT82) - COLUMN(Y82) + 1),
    _xlpm.header_val, INDEX($Y$3:$BT$3, 1, _xlpm.last_col_idx),
    _xlpm.header_date, IF(ISNUMBER(_xlpm.header_val), _xlpm.header_val, DATEVALUE(_xlpm.header_val)),
    IF(_xlpm.header_date &gt; TODAY(), TODAY(), _xlpm.header_date)
)</f>
        <v>46212</v>
      </c>
      <c r="BW82" s="209" cm="1">
        <f t="array" ref="BW82">(LOOKUP(2,1/(BH82:BT82&lt;&gt;""),BH82:BT82))/(INDEX(BH82:BT82,MATCH(TRUE,INDEX((BH82:BT82&lt;&gt;0),0),0)))-1</f>
        <v>-4.4198895027624308E-2</v>
      </c>
      <c r="BX82" s="210">
        <f t="shared" si="19"/>
        <v>1.73</v>
      </c>
      <c r="BY82" s="210">
        <f t="shared" si="20"/>
        <v>10.207000000000001</v>
      </c>
      <c r="BZ82" s="210">
        <f ca="1">IF(L82="BR",'Impostos e Frete'!$F$6,IF(L82="EU",'Impostos e Frete'!$I$3,IF(L82="CN",'Impostos e Frete'!$I$4,IF(L82="JP",'Impostos e Frete'!$I$5,IF(L82="RU",'Impostos e Frete'!$I$7,"ERRO")))))</f>
        <v>0.1410816</v>
      </c>
      <c r="CA82" s="210">
        <f>VLOOKUP(L82,'Impostos e Frete'!$A$3:$B$7,2,0)*'Preços e Condições'!BY82</f>
        <v>1.32691</v>
      </c>
      <c r="CB82" s="147">
        <f t="shared" si="21"/>
        <v>-0.17699999999999999</v>
      </c>
      <c r="CC82" s="147">
        <f>IF(X82="BRL",'Impostos e Frete'!$B$11,'Impostos e Frete'!$B$12)</f>
        <v>9.1999999999999998E-2</v>
      </c>
      <c r="CD82" s="211">
        <f t="shared" ca="1" si="22"/>
        <v>11.589991600000001</v>
      </c>
      <c r="CE82" s="212">
        <f t="shared" ca="1" si="23"/>
        <v>0.78811942880000019</v>
      </c>
      <c r="CF82" s="213">
        <f>VLOOKUP(L82,'Impostos e Frete'!$A$3:$C$7,3,0)</f>
        <v>105</v>
      </c>
      <c r="CG82" s="213">
        <f t="shared" si="24"/>
        <v>120</v>
      </c>
      <c r="CH82" s="213">
        <f t="shared" si="25"/>
        <v>15</v>
      </c>
      <c r="CI82" s="214">
        <f t="shared" ca="1" si="26"/>
        <v>-8.5959096976923277E-2</v>
      </c>
      <c r="CJ82" s="215">
        <f t="shared" ca="1" si="27"/>
        <v>11.504032503023078</v>
      </c>
      <c r="CK82" s="216">
        <f t="shared" ca="1" si="28"/>
        <v>0.7822742102055692</v>
      </c>
    </row>
    <row r="83" spans="1:89">
      <c r="A83" s="176">
        <v>14123</v>
      </c>
      <c r="B83" s="177">
        <v>1410</v>
      </c>
      <c r="C83" s="178">
        <v>68</v>
      </c>
      <c r="D83" s="178">
        <v>1860</v>
      </c>
      <c r="E83" s="178" t="s">
        <v>50</v>
      </c>
      <c r="F83" s="179" t="s">
        <v>2</v>
      </c>
      <c r="G83" s="189" t="s">
        <v>127</v>
      </c>
      <c r="H83" s="178" t="s">
        <v>61</v>
      </c>
      <c r="I83" s="178"/>
      <c r="J83" s="178"/>
      <c r="K83" s="178"/>
      <c r="L83" s="178" t="s">
        <v>59</v>
      </c>
      <c r="M83" s="178">
        <v>120</v>
      </c>
      <c r="N83" s="178"/>
      <c r="O83" s="178"/>
      <c r="P83" s="178"/>
      <c r="Q83" s="178"/>
      <c r="R83" s="178" t="s">
        <v>126</v>
      </c>
      <c r="S83" s="181"/>
      <c r="T83" s="181"/>
      <c r="U83" s="182"/>
      <c r="V83" s="182" t="s">
        <v>35</v>
      </c>
      <c r="W83" s="183">
        <v>100</v>
      </c>
      <c r="X83" s="182" t="s">
        <v>51</v>
      </c>
      <c r="Y83" s="184"/>
      <c r="Z83" s="184"/>
      <c r="AA83" s="184"/>
      <c r="AB83" s="184"/>
      <c r="AC83" s="184"/>
      <c r="AD83" s="184"/>
      <c r="AE83" s="184"/>
      <c r="AF83" s="184"/>
      <c r="AG83" s="184">
        <v>2410</v>
      </c>
      <c r="AH83" s="184">
        <v>2410</v>
      </c>
      <c r="AI83" s="184">
        <v>2410</v>
      </c>
      <c r="AJ83" s="184">
        <v>2410</v>
      </c>
      <c r="AK83" s="184"/>
      <c r="AL83" s="184"/>
      <c r="AM83" s="184"/>
      <c r="AN83" s="184"/>
      <c r="AO83" s="184"/>
      <c r="AP83" s="184"/>
      <c r="AQ83" s="184"/>
      <c r="AR83" s="184"/>
      <c r="AS83" s="184"/>
      <c r="AT83" s="184"/>
      <c r="AU83" s="184"/>
      <c r="AV83" s="184"/>
      <c r="AW83" s="184"/>
      <c r="AX83" s="184"/>
      <c r="AY83" s="184"/>
      <c r="AZ83" s="184"/>
      <c r="BA83" s="184"/>
      <c r="BB83" s="184"/>
      <c r="BC83" s="184"/>
      <c r="BD83" s="184"/>
      <c r="BE83" s="184"/>
      <c r="BF83" s="184"/>
      <c r="BG83" s="184"/>
      <c r="BH83" s="184"/>
      <c r="BI83" s="184"/>
      <c r="BJ83" s="184"/>
      <c r="BK83" s="184"/>
      <c r="BL83" s="184"/>
      <c r="BM83" s="184"/>
      <c r="BN83" s="184"/>
      <c r="BO83" s="184"/>
      <c r="BP83" s="184"/>
      <c r="BQ83" s="184"/>
      <c r="BR83" s="184"/>
      <c r="BS83" s="184"/>
      <c r="BT83" s="184"/>
      <c r="BU83" s="146" cm="1">
        <f t="array" ref="BU83">LOOKUP(2,1/(Y83:BT83&lt;&gt;""),Y83:BH83)</f>
        <v>2410</v>
      </c>
      <c r="BV83" s="145" cm="1">
        <f t="array" aca="1" ref="BV83" ca="1">_xlfn.LET(
    _xlpm.last_col_idx, LOOKUP(2, 1/(Y83:BT83&lt;&gt;""), COLUMN(Y83:BT83) - COLUMN(Y83) + 1),
    _xlpm.header_val, INDEX($Y$3:$BT$3, 1, _xlpm.last_col_idx),
    _xlpm.header_date, IF(ISNUMBER(_xlpm.header_val), _xlpm.header_val, DATEVALUE(_xlpm.header_val)),
    IF(_xlpm.header_date &gt; TODAY(), TODAY(), _xlpm.header_date)
)</f>
        <v>45261</v>
      </c>
      <c r="BW83" s="209" t="e" cm="1">
        <f t="array" ref="BW83">(LOOKUP(2,1/(BH83:BT83&lt;&gt;""),BH83:BT83))/(INDEX(BH83:BT83,MATCH(TRUE,INDEX((BH83:BT83&lt;&gt;0),0),0)))-1</f>
        <v>#N/A</v>
      </c>
      <c r="BX83" s="210">
        <f t="shared" si="19"/>
        <v>2.41</v>
      </c>
      <c r="BY83" s="210">
        <f t="shared" si="20"/>
        <v>14.219000000000001</v>
      </c>
      <c r="BZ83" s="210">
        <f ca="1">IF(L83="BR",'Impostos e Frete'!$F$6,IF(L83="EU",'Impostos e Frete'!$I$3,IF(L83="CN",'Impostos e Frete'!$I$4,IF(L83="JP",'Impostos e Frete'!$I$5,IF(L83="RU",'Impostos e Frete'!$I$7,"ERRO")))))</f>
        <v>0.1410816</v>
      </c>
      <c r="CA83" s="210">
        <f>VLOOKUP(L83,'Impostos e Frete'!$A$3:$B$7,2,0)*'Preços e Condições'!BY83</f>
        <v>1.8484700000000003</v>
      </c>
      <c r="CB83" s="147">
        <f t="shared" si="21"/>
        <v>-0.17699999999999999</v>
      </c>
      <c r="CC83" s="147">
        <f>IF(X83="BRL",'Impostos e Frete'!$B$11,'Impostos e Frete'!$B$12)</f>
        <v>9.1999999999999998E-2</v>
      </c>
      <c r="CD83" s="211">
        <f t="shared" ca="1" si="22"/>
        <v>16.123551599999999</v>
      </c>
      <c r="CE83" s="212">
        <f t="shared" ca="1" si="23"/>
        <v>1.0964015087999999</v>
      </c>
      <c r="CF83" s="213">
        <f>VLOOKUP(L83,'Impostos e Frete'!$A$3:$C$7,3,0)</f>
        <v>105</v>
      </c>
      <c r="CG83" s="213">
        <f t="shared" si="24"/>
        <v>120</v>
      </c>
      <c r="CH83" s="213">
        <f t="shared" si="25"/>
        <v>15</v>
      </c>
      <c r="CI83" s="214">
        <f t="shared" ca="1" si="26"/>
        <v>-0.11958299741967338</v>
      </c>
      <c r="CJ83" s="215">
        <f t="shared" ca="1" si="27"/>
        <v>16.003968602580326</v>
      </c>
      <c r="CK83" s="216">
        <f t="shared" ca="1" si="28"/>
        <v>1.0882698649754623</v>
      </c>
    </row>
    <row r="84" spans="1:89">
      <c r="A84" s="176">
        <v>14125</v>
      </c>
      <c r="B84" s="177">
        <v>1430</v>
      </c>
      <c r="C84" s="178">
        <v>68</v>
      </c>
      <c r="D84" s="178">
        <v>1870</v>
      </c>
      <c r="E84" s="178" t="s">
        <v>50</v>
      </c>
      <c r="F84" s="179" t="s">
        <v>2</v>
      </c>
      <c r="G84" s="189" t="s">
        <v>128</v>
      </c>
      <c r="H84" s="178" t="s">
        <v>61</v>
      </c>
      <c r="I84" s="178"/>
      <c r="J84" s="178"/>
      <c r="K84" s="178"/>
      <c r="L84" s="178" t="s">
        <v>59</v>
      </c>
      <c r="M84" s="178">
        <v>120</v>
      </c>
      <c r="N84" s="178"/>
      <c r="O84" s="178"/>
      <c r="P84" s="178"/>
      <c r="Q84" s="178"/>
      <c r="R84" s="178" t="s">
        <v>126</v>
      </c>
      <c r="S84" s="181"/>
      <c r="T84" s="181"/>
      <c r="U84" s="182"/>
      <c r="V84" s="182" t="s">
        <v>35</v>
      </c>
      <c r="W84" s="183">
        <v>100</v>
      </c>
      <c r="X84" s="182" t="s">
        <v>51</v>
      </c>
      <c r="Y84" s="184"/>
      <c r="Z84" s="184"/>
      <c r="AA84" s="184"/>
      <c r="AB84" s="184"/>
      <c r="AC84" s="184"/>
      <c r="AD84" s="184"/>
      <c r="AE84" s="184"/>
      <c r="AF84" s="184"/>
      <c r="AG84" s="184">
        <v>2410</v>
      </c>
      <c r="AH84" s="184">
        <v>2410</v>
      </c>
      <c r="AI84" s="184">
        <v>2410</v>
      </c>
      <c r="AJ84" s="184">
        <v>2410</v>
      </c>
      <c r="AK84" s="184"/>
      <c r="AL84" s="184"/>
      <c r="AM84" s="184"/>
      <c r="AN84" s="184"/>
      <c r="AO84" s="184"/>
      <c r="AP84" s="184"/>
      <c r="AQ84" s="184"/>
      <c r="AR84" s="184"/>
      <c r="AS84" s="184"/>
      <c r="AT84" s="184"/>
      <c r="AU84" s="184"/>
      <c r="AV84" s="184"/>
      <c r="AW84" s="184"/>
      <c r="AX84" s="184"/>
      <c r="AY84" s="184"/>
      <c r="AZ84" s="184"/>
      <c r="BA84" s="184"/>
      <c r="BB84" s="184"/>
      <c r="BC84" s="184"/>
      <c r="BD84" s="184"/>
      <c r="BE84" s="184"/>
      <c r="BF84" s="184"/>
      <c r="BG84" s="184"/>
      <c r="BH84" s="184"/>
      <c r="BI84" s="184"/>
      <c r="BJ84" s="184"/>
      <c r="BK84" s="184"/>
      <c r="BL84" s="184"/>
      <c r="BM84" s="184"/>
      <c r="BN84" s="184"/>
      <c r="BO84" s="184"/>
      <c r="BP84" s="184"/>
      <c r="BQ84" s="184"/>
      <c r="BR84" s="184"/>
      <c r="BS84" s="184"/>
      <c r="BT84" s="184"/>
      <c r="BU84" s="146" cm="1">
        <f t="array" ref="BU84">LOOKUP(2,1/(Y84:BT84&lt;&gt;""),Y84:BH84)</f>
        <v>2410</v>
      </c>
      <c r="BV84" s="145" cm="1">
        <f t="array" aca="1" ref="BV84" ca="1">_xlfn.LET(
    _xlpm.last_col_idx, LOOKUP(2, 1/(Y84:BT84&lt;&gt;""), COLUMN(Y84:BT84) - COLUMN(Y84) + 1),
    _xlpm.header_val, INDEX($Y$3:$BT$3, 1, _xlpm.last_col_idx),
    _xlpm.header_date, IF(ISNUMBER(_xlpm.header_val), _xlpm.header_val, DATEVALUE(_xlpm.header_val)),
    IF(_xlpm.header_date &gt; TODAY(), TODAY(), _xlpm.header_date)
)</f>
        <v>45261</v>
      </c>
      <c r="BW84" s="209" t="e" cm="1">
        <f t="array" ref="BW84">(LOOKUP(2,1/(BH84:BT84&lt;&gt;""),BH84:BT84))/(INDEX(BH84:BT84,MATCH(TRUE,INDEX((BH84:BT84&lt;&gt;0),0),0)))-1</f>
        <v>#N/A</v>
      </c>
      <c r="BX84" s="210">
        <f t="shared" si="19"/>
        <v>2.41</v>
      </c>
      <c r="BY84" s="210">
        <f t="shared" si="20"/>
        <v>14.219000000000001</v>
      </c>
      <c r="BZ84" s="210">
        <f ca="1">IF(L84="BR",'Impostos e Frete'!$F$6,IF(L84="EU",'Impostos e Frete'!$I$3,IF(L84="CN",'Impostos e Frete'!$I$4,IF(L84="JP",'Impostos e Frete'!$I$5,IF(L84="RU",'Impostos e Frete'!$I$7,"ERRO")))))</f>
        <v>0.1410816</v>
      </c>
      <c r="CA84" s="210">
        <f>VLOOKUP(L84,'Impostos e Frete'!$A$3:$B$7,2,0)*'Preços e Condições'!BY84</f>
        <v>1.8484700000000003</v>
      </c>
      <c r="CB84" s="147">
        <f t="shared" si="21"/>
        <v>-0.17699999999999999</v>
      </c>
      <c r="CC84" s="147">
        <f>IF(X84="BRL",'Impostos e Frete'!$B$11,'Impostos e Frete'!$B$12)</f>
        <v>9.1999999999999998E-2</v>
      </c>
      <c r="CD84" s="211">
        <f t="shared" ca="1" si="22"/>
        <v>16.123551599999999</v>
      </c>
      <c r="CE84" s="212">
        <f t="shared" ca="1" si="23"/>
        <v>1.0964015087999999</v>
      </c>
      <c r="CF84" s="213">
        <f>VLOOKUP(L84,'Impostos e Frete'!$A$3:$C$7,3,0)</f>
        <v>105</v>
      </c>
      <c r="CG84" s="213">
        <f t="shared" si="24"/>
        <v>120</v>
      </c>
      <c r="CH84" s="213">
        <f t="shared" si="25"/>
        <v>15</v>
      </c>
      <c r="CI84" s="214">
        <f t="shared" ca="1" si="26"/>
        <v>-0.11958299741967338</v>
      </c>
      <c r="CJ84" s="215">
        <f t="shared" ca="1" si="27"/>
        <v>16.003968602580326</v>
      </c>
      <c r="CK84" s="216">
        <f t="shared" ca="1" si="28"/>
        <v>1.0882698649754623</v>
      </c>
    </row>
    <row r="85" spans="1:89">
      <c r="A85" s="176">
        <v>14127</v>
      </c>
      <c r="B85" s="177" t="s">
        <v>476</v>
      </c>
      <c r="C85" s="178">
        <v>70</v>
      </c>
      <c r="D85" s="178">
        <v>1870</v>
      </c>
      <c r="E85" s="178" t="s">
        <v>50</v>
      </c>
      <c r="F85" s="179" t="s">
        <v>2</v>
      </c>
      <c r="G85" s="189" t="s">
        <v>229</v>
      </c>
      <c r="H85" s="178" t="s">
        <v>42</v>
      </c>
      <c r="I85" s="178">
        <v>32129</v>
      </c>
      <c r="J85" s="178"/>
      <c r="K85" s="178"/>
      <c r="L85" s="178" t="s">
        <v>59</v>
      </c>
      <c r="M85" s="178">
        <v>120</v>
      </c>
      <c r="N85" s="178"/>
      <c r="O85" s="178"/>
      <c r="P85" s="178"/>
      <c r="Q85" s="178"/>
      <c r="R85" s="178" t="s">
        <v>126</v>
      </c>
      <c r="S85" s="181"/>
      <c r="T85" s="181"/>
      <c r="U85" s="182"/>
      <c r="V85" s="182" t="s">
        <v>35</v>
      </c>
      <c r="W85" s="183">
        <v>100</v>
      </c>
      <c r="X85" s="182" t="s">
        <v>51</v>
      </c>
      <c r="Y85" s="184">
        <v>2170</v>
      </c>
      <c r="Z85" s="184">
        <v>2170</v>
      </c>
      <c r="AA85" s="184">
        <v>2170</v>
      </c>
      <c r="AB85" s="184">
        <v>2080</v>
      </c>
      <c r="AC85" s="184">
        <v>2080</v>
      </c>
      <c r="AD85" s="184">
        <v>2080</v>
      </c>
      <c r="AE85" s="184">
        <v>1870</v>
      </c>
      <c r="AF85" s="184">
        <v>1870</v>
      </c>
      <c r="AG85" s="184">
        <v>1870</v>
      </c>
      <c r="AH85" s="184">
        <v>1760</v>
      </c>
      <c r="AI85" s="184">
        <v>1760</v>
      </c>
      <c r="AJ85" s="184">
        <v>1760</v>
      </c>
      <c r="AK85" s="184">
        <v>1760</v>
      </c>
      <c r="AL85" s="184">
        <v>1790</v>
      </c>
      <c r="AM85" s="184">
        <v>1790</v>
      </c>
      <c r="AN85" s="184">
        <v>1790</v>
      </c>
      <c r="AO85" s="184">
        <v>1870</v>
      </c>
      <c r="AP85" s="184">
        <v>1870</v>
      </c>
      <c r="AQ85" s="184">
        <v>1870</v>
      </c>
      <c r="AR85" s="184">
        <v>1870</v>
      </c>
      <c r="AS85" s="184">
        <v>1870</v>
      </c>
      <c r="AT85" s="184">
        <v>1870</v>
      </c>
      <c r="AU85" s="184">
        <v>1800</v>
      </c>
      <c r="AV85" s="184">
        <v>1800</v>
      </c>
      <c r="AW85" s="184">
        <v>1740</v>
      </c>
      <c r="AX85" s="184">
        <v>1740</v>
      </c>
      <c r="AY85" s="184">
        <v>1740</v>
      </c>
      <c r="AZ85" s="184">
        <v>1820</v>
      </c>
      <c r="BA85" s="184">
        <v>1820</v>
      </c>
      <c r="BB85" s="184">
        <v>1820</v>
      </c>
      <c r="BC85" s="184">
        <v>1820</v>
      </c>
      <c r="BD85" s="184">
        <v>1820</v>
      </c>
      <c r="BE85" s="184">
        <v>1820</v>
      </c>
      <c r="BF85" s="184">
        <v>1720</v>
      </c>
      <c r="BG85" s="184">
        <v>1720</v>
      </c>
      <c r="BH85" s="184">
        <v>1720</v>
      </c>
      <c r="BI85" s="184">
        <v>1720</v>
      </c>
      <c r="BJ85" s="184">
        <v>1720</v>
      </c>
      <c r="BK85" s="184">
        <v>1720</v>
      </c>
      <c r="BL85" s="184">
        <v>1800</v>
      </c>
      <c r="BM85" s="184">
        <v>1800</v>
      </c>
      <c r="BN85" s="184">
        <v>1800</v>
      </c>
      <c r="BO85" s="184">
        <v>1880</v>
      </c>
      <c r="BP85" s="184">
        <v>1880</v>
      </c>
      <c r="BQ85" s="184">
        <v>1880</v>
      </c>
      <c r="BR85" s="184"/>
      <c r="BS85" s="184"/>
      <c r="BT85" s="184"/>
      <c r="BU85" s="146" cm="1">
        <f t="array" ref="BU85">LOOKUP(2,1/(Y85:BT85&lt;&gt;""),Y85:BH85)</f>
        <v>1880</v>
      </c>
      <c r="BV85" s="145" cm="1">
        <f t="array" aca="1" ref="BV85" ca="1">_xlfn.LET(
    _xlpm.last_col_idx, LOOKUP(2, 1/(Y85:BT85&lt;&gt;""), COLUMN(Y85:BT85) - COLUMN(Y85) + 1),
    _xlpm.header_val, INDEX($Y$3:$BT$3, 1, _xlpm.last_col_idx),
    _xlpm.header_date, IF(ISNUMBER(_xlpm.header_val), _xlpm.header_val, DATEVALUE(_xlpm.header_val)),
    IF(_xlpm.header_date &gt; TODAY(), TODAY(), _xlpm.header_date)
)</f>
        <v>46212</v>
      </c>
      <c r="BW85" s="209" cm="1">
        <f t="array" ref="BW85">(LOOKUP(2,1/(BH85:BT85&lt;&gt;""),BH85:BT85))/(INDEX(BH85:BT85,MATCH(TRUE,INDEX((BH85:BT85&lt;&gt;0),0),0)))-1</f>
        <v>9.3023255813953432E-2</v>
      </c>
      <c r="BX85" s="210">
        <f t="shared" si="19"/>
        <v>1.88</v>
      </c>
      <c r="BY85" s="210">
        <f t="shared" si="20"/>
        <v>11.092000000000001</v>
      </c>
      <c r="BZ85" s="210">
        <f ca="1">IF(L85="BR",'Impostos e Frete'!$F$6,IF(L85="EU",'Impostos e Frete'!$I$3,IF(L85="CN",'Impostos e Frete'!$I$4,IF(L85="JP",'Impostos e Frete'!$I$5,IF(L85="RU",'Impostos e Frete'!$I$7,"ERRO")))))</f>
        <v>0.1410816</v>
      </c>
      <c r="CA85" s="210">
        <f>VLOOKUP(L85,'Impostos e Frete'!$A$3:$B$7,2,0)*'Preços e Condições'!BY85</f>
        <v>1.4419600000000001</v>
      </c>
      <c r="CB85" s="147">
        <f t="shared" si="21"/>
        <v>-0.17699999999999999</v>
      </c>
      <c r="CC85" s="147">
        <f>IF(X85="BRL",'Impostos e Frete'!$B$11,'Impostos e Frete'!$B$12)</f>
        <v>9.1999999999999998E-2</v>
      </c>
      <c r="CD85" s="211">
        <f t="shared" ca="1" si="22"/>
        <v>12.590041600000001</v>
      </c>
      <c r="CE85" s="212">
        <f t="shared" ca="1" si="23"/>
        <v>0.8813029120000001</v>
      </c>
      <c r="CF85" s="213">
        <f>VLOOKUP(L85,'Impostos e Frete'!$A$3:$C$7,3,0)</f>
        <v>105</v>
      </c>
      <c r="CG85" s="213">
        <f t="shared" si="24"/>
        <v>120</v>
      </c>
      <c r="CH85" s="213">
        <f t="shared" si="25"/>
        <v>15</v>
      </c>
      <c r="CI85" s="214">
        <f t="shared" ca="1" si="26"/>
        <v>-9.337613383929444E-2</v>
      </c>
      <c r="CJ85" s="215">
        <f t="shared" ca="1" si="27"/>
        <v>12.496665466160707</v>
      </c>
      <c r="CK85" s="216">
        <f t="shared" ca="1" si="28"/>
        <v>0.8747665826312494</v>
      </c>
    </row>
    <row r="86" spans="1:89">
      <c r="A86" s="176">
        <v>14127</v>
      </c>
      <c r="B86" s="177" t="s">
        <v>476</v>
      </c>
      <c r="C86" s="178">
        <v>70</v>
      </c>
      <c r="D86" s="178">
        <v>1870</v>
      </c>
      <c r="E86" s="178" t="s">
        <v>50</v>
      </c>
      <c r="F86" s="179" t="s">
        <v>2</v>
      </c>
      <c r="G86" s="189" t="s">
        <v>229</v>
      </c>
      <c r="H86" s="178" t="s">
        <v>42</v>
      </c>
      <c r="I86" s="178">
        <v>32129</v>
      </c>
      <c r="J86" s="178"/>
      <c r="K86" s="178"/>
      <c r="L86" s="178" t="s">
        <v>59</v>
      </c>
      <c r="M86" s="178">
        <v>120</v>
      </c>
      <c r="N86" s="178"/>
      <c r="O86" s="178"/>
      <c r="P86" s="178"/>
      <c r="Q86" s="178"/>
      <c r="R86" s="178" t="s">
        <v>126</v>
      </c>
      <c r="S86" s="181"/>
      <c r="T86" s="181"/>
      <c r="U86" s="182"/>
      <c r="V86" s="182" t="s">
        <v>35</v>
      </c>
      <c r="W86" s="183">
        <v>70</v>
      </c>
      <c r="X86" s="182" t="s">
        <v>51</v>
      </c>
      <c r="Y86" s="184">
        <v>2190</v>
      </c>
      <c r="Z86" s="184">
        <v>2190</v>
      </c>
      <c r="AA86" s="184">
        <v>2190</v>
      </c>
      <c r="AB86" s="184">
        <v>2100</v>
      </c>
      <c r="AC86" s="184">
        <v>2100</v>
      </c>
      <c r="AD86" s="184">
        <v>2100</v>
      </c>
      <c r="AE86" s="184">
        <v>1890</v>
      </c>
      <c r="AF86" s="184">
        <v>1890</v>
      </c>
      <c r="AG86" s="184">
        <v>1890</v>
      </c>
      <c r="AH86" s="184">
        <v>1780</v>
      </c>
      <c r="AI86" s="184">
        <v>1780</v>
      </c>
      <c r="AJ86" s="184">
        <v>1780</v>
      </c>
      <c r="AK86" s="184">
        <v>1780</v>
      </c>
      <c r="AL86" s="146">
        <f>40+(AL85+20)</f>
        <v>1850</v>
      </c>
      <c r="AM86" s="146">
        <f>40+(AM85+20)</f>
        <v>1850</v>
      </c>
      <c r="AN86" s="146">
        <f>40+(AN85+20)</f>
        <v>1850</v>
      </c>
      <c r="AO86" s="184">
        <v>1890</v>
      </c>
      <c r="AP86" s="184">
        <v>1890</v>
      </c>
      <c r="AQ86" s="184">
        <v>1890</v>
      </c>
      <c r="AR86" s="184">
        <v>1890</v>
      </c>
      <c r="AS86" s="184">
        <v>1890</v>
      </c>
      <c r="AT86" s="184">
        <v>1890</v>
      </c>
      <c r="AU86" s="184">
        <v>1820</v>
      </c>
      <c r="AV86" s="184">
        <v>1820</v>
      </c>
      <c r="AW86" s="146">
        <f>AW85+20</f>
        <v>1760</v>
      </c>
      <c r="AX86" s="146">
        <f>AX85+20</f>
        <v>1760</v>
      </c>
      <c r="AY86" s="146">
        <f>AY85+20</f>
        <v>1760</v>
      </c>
      <c r="AZ86" s="184">
        <v>1840</v>
      </c>
      <c r="BA86" s="184">
        <v>1840</v>
      </c>
      <c r="BB86" s="184">
        <v>1840</v>
      </c>
      <c r="BC86" s="184">
        <v>1840</v>
      </c>
      <c r="BD86" s="184">
        <v>1840</v>
      </c>
      <c r="BE86" s="184">
        <v>1840</v>
      </c>
      <c r="BF86" s="184">
        <v>1740</v>
      </c>
      <c r="BG86" s="184">
        <v>1740</v>
      </c>
      <c r="BH86" s="184">
        <v>1740</v>
      </c>
      <c r="BI86" s="184">
        <v>1740</v>
      </c>
      <c r="BJ86" s="184">
        <v>1740</v>
      </c>
      <c r="BK86" s="184">
        <v>1740</v>
      </c>
      <c r="BL86" s="184">
        <v>1820</v>
      </c>
      <c r="BM86" s="184">
        <v>1820</v>
      </c>
      <c r="BN86" s="184">
        <v>1820</v>
      </c>
      <c r="BO86" s="184">
        <v>1900</v>
      </c>
      <c r="BP86" s="184">
        <v>1900</v>
      </c>
      <c r="BQ86" s="184">
        <v>1900</v>
      </c>
      <c r="BR86" s="184"/>
      <c r="BS86" s="184"/>
      <c r="BT86" s="184"/>
      <c r="BU86" s="146" cm="1">
        <f t="array" ref="BU86">LOOKUP(2,1/(Y86:BT86&lt;&gt;""),Y86:BH86)</f>
        <v>1900</v>
      </c>
      <c r="BV86" s="145" cm="1">
        <f t="array" aca="1" ref="BV86" ca="1">_xlfn.LET(
    _xlpm.last_col_idx, LOOKUP(2, 1/(Y86:BT86&lt;&gt;""), COLUMN(Y86:BT86) - COLUMN(Y86) + 1),
    _xlpm.header_val, INDEX($Y$3:$BT$3, 1, _xlpm.last_col_idx),
    _xlpm.header_date, IF(ISNUMBER(_xlpm.header_val), _xlpm.header_val, DATEVALUE(_xlpm.header_val)),
    IF(_xlpm.header_date &gt; TODAY(), TODAY(), _xlpm.header_date)
)</f>
        <v>46212</v>
      </c>
      <c r="BW86" s="209" cm="1">
        <f t="array" ref="BW86">(LOOKUP(2,1/(BH86:BT86&lt;&gt;""),BH86:BT86))/(INDEX(BH86:BT86,MATCH(TRUE,INDEX((BH86:BT86&lt;&gt;0),0),0)))-1</f>
        <v>9.1954022988505857E-2</v>
      </c>
      <c r="BX86" s="210">
        <f t="shared" si="19"/>
        <v>1.9</v>
      </c>
      <c r="BY86" s="210">
        <f t="shared" si="20"/>
        <v>11.21</v>
      </c>
      <c r="BZ86" s="210">
        <f ca="1">IF(L86="BR",'Impostos e Frete'!$F$6,IF(L86="EU",'Impostos e Frete'!$I$3,IF(L86="CN",'Impostos e Frete'!$I$4,IF(L86="JP",'Impostos e Frete'!$I$5,IF(L86="RU",'Impostos e Frete'!$I$7,"ERRO")))))</f>
        <v>0.1410816</v>
      </c>
      <c r="CA86" s="210">
        <f>VLOOKUP(L86,'Impostos e Frete'!$A$3:$B$7,2,0)*'Preços e Condições'!BY86</f>
        <v>1.4573000000000003</v>
      </c>
      <c r="CB86" s="147">
        <f t="shared" si="21"/>
        <v>-0.17699999999999999</v>
      </c>
      <c r="CC86" s="147">
        <f>IF(X86="BRL",'Impostos e Frete'!$B$11,'Impostos e Frete'!$B$12)</f>
        <v>9.1999999999999998E-2</v>
      </c>
      <c r="CD86" s="211">
        <f t="shared" ca="1" si="22"/>
        <v>12.723381600000002</v>
      </c>
      <c r="CE86" s="212">
        <f t="shared" ca="1" si="23"/>
        <v>0.89063671200000016</v>
      </c>
      <c r="CF86" s="213">
        <f>VLOOKUP(L86,'Impostos e Frete'!$A$3:$C$7,3,0)</f>
        <v>105</v>
      </c>
      <c r="CG86" s="213">
        <f t="shared" si="24"/>
        <v>120</v>
      </c>
      <c r="CH86" s="213">
        <f t="shared" si="25"/>
        <v>15</v>
      </c>
      <c r="CI86" s="214">
        <f t="shared" ca="1" si="26"/>
        <v>-9.4365072087612134E-2</v>
      </c>
      <c r="CJ86" s="215">
        <f t="shared" ca="1" si="27"/>
        <v>12.629016527912389</v>
      </c>
      <c r="CK86" s="216">
        <f t="shared" ca="1" si="28"/>
        <v>0.88403115695386725</v>
      </c>
    </row>
    <row r="87" spans="1:89">
      <c r="A87" s="176">
        <v>14127</v>
      </c>
      <c r="B87" s="177" t="s">
        <v>476</v>
      </c>
      <c r="C87" s="178">
        <v>70</v>
      </c>
      <c r="D87" s="178">
        <v>1870</v>
      </c>
      <c r="E87" s="178" t="s">
        <v>50</v>
      </c>
      <c r="F87" s="179" t="s">
        <v>2</v>
      </c>
      <c r="G87" s="189" t="s">
        <v>229</v>
      </c>
      <c r="H87" s="178" t="s">
        <v>42</v>
      </c>
      <c r="I87" s="178">
        <v>32129</v>
      </c>
      <c r="J87" s="178"/>
      <c r="K87" s="178"/>
      <c r="L87" s="178" t="s">
        <v>59</v>
      </c>
      <c r="M87" s="178">
        <v>120</v>
      </c>
      <c r="N87" s="178"/>
      <c r="O87" s="178"/>
      <c r="P87" s="178"/>
      <c r="Q87" s="178"/>
      <c r="R87" s="178" t="s">
        <v>126</v>
      </c>
      <c r="S87" s="181"/>
      <c r="T87" s="181"/>
      <c r="U87" s="182"/>
      <c r="V87" s="182" t="s">
        <v>35</v>
      </c>
      <c r="W87" s="183">
        <v>50</v>
      </c>
      <c r="X87" s="182" t="s">
        <v>51</v>
      </c>
      <c r="Y87" s="184">
        <v>2220</v>
      </c>
      <c r="Z87" s="184">
        <v>2220</v>
      </c>
      <c r="AA87" s="184">
        <v>2220</v>
      </c>
      <c r="AB87" s="184">
        <v>2130</v>
      </c>
      <c r="AC87" s="184">
        <v>2130</v>
      </c>
      <c r="AD87" s="184">
        <v>2130</v>
      </c>
      <c r="AE87" s="184">
        <v>1920</v>
      </c>
      <c r="AF87" s="184">
        <v>1920</v>
      </c>
      <c r="AG87" s="184">
        <v>1920</v>
      </c>
      <c r="AH87" s="184">
        <v>1810</v>
      </c>
      <c r="AI87" s="184">
        <v>1810</v>
      </c>
      <c r="AJ87" s="184">
        <v>1810</v>
      </c>
      <c r="AK87" s="184">
        <v>1810</v>
      </c>
      <c r="AL87" s="146">
        <f>40+(AL85+50)</f>
        <v>1880</v>
      </c>
      <c r="AM87" s="146">
        <f>40+(AM85+50)</f>
        <v>1880</v>
      </c>
      <c r="AN87" s="146">
        <f>40+(AN85+50)</f>
        <v>1880</v>
      </c>
      <c r="AO87" s="184">
        <v>1920</v>
      </c>
      <c r="AP87" s="184">
        <v>1920</v>
      </c>
      <c r="AQ87" s="184">
        <v>1920</v>
      </c>
      <c r="AR87" s="184">
        <v>1920</v>
      </c>
      <c r="AS87" s="184">
        <v>1920</v>
      </c>
      <c r="AT87" s="184">
        <v>1920</v>
      </c>
      <c r="AU87" s="184">
        <v>1850</v>
      </c>
      <c r="AV87" s="184">
        <v>1850</v>
      </c>
      <c r="AW87" s="146">
        <f>AW85+50</f>
        <v>1790</v>
      </c>
      <c r="AX87" s="146">
        <f>AX85+50</f>
        <v>1790</v>
      </c>
      <c r="AY87" s="146">
        <f>AY85+50</f>
        <v>1790</v>
      </c>
      <c r="AZ87" s="184">
        <v>1870</v>
      </c>
      <c r="BA87" s="184">
        <v>1870</v>
      </c>
      <c r="BB87" s="184">
        <v>1870</v>
      </c>
      <c r="BC87" s="184">
        <v>1870</v>
      </c>
      <c r="BD87" s="184">
        <v>1870</v>
      </c>
      <c r="BE87" s="184">
        <v>1870</v>
      </c>
      <c r="BF87" s="184">
        <v>1770</v>
      </c>
      <c r="BG87" s="184">
        <v>1770</v>
      </c>
      <c r="BH87" s="184">
        <v>1770</v>
      </c>
      <c r="BI87" s="184">
        <v>1770</v>
      </c>
      <c r="BJ87" s="184">
        <v>1770</v>
      </c>
      <c r="BK87" s="184">
        <v>1770</v>
      </c>
      <c r="BL87" s="184">
        <v>1850</v>
      </c>
      <c r="BM87" s="184">
        <v>1850</v>
      </c>
      <c r="BN87" s="184">
        <v>1850</v>
      </c>
      <c r="BO87" s="184">
        <v>1930</v>
      </c>
      <c r="BP87" s="184">
        <v>1930</v>
      </c>
      <c r="BQ87" s="184">
        <v>1930</v>
      </c>
      <c r="BR87" s="184"/>
      <c r="BS87" s="184"/>
      <c r="BT87" s="184"/>
      <c r="BU87" s="146" cm="1">
        <f t="array" ref="BU87">LOOKUP(2,1/(Y87:BT87&lt;&gt;""),Y87:BH87)</f>
        <v>1930</v>
      </c>
      <c r="BV87" s="145" cm="1">
        <f t="array" aca="1" ref="BV87" ca="1">_xlfn.LET(
    _xlpm.last_col_idx, LOOKUP(2, 1/(Y87:BT87&lt;&gt;""), COLUMN(Y87:BT87) - COLUMN(Y87) + 1),
    _xlpm.header_val, INDEX($Y$3:$BT$3, 1, _xlpm.last_col_idx),
    _xlpm.header_date, IF(ISNUMBER(_xlpm.header_val), _xlpm.header_val, DATEVALUE(_xlpm.header_val)),
    IF(_xlpm.header_date &gt; TODAY(), TODAY(), _xlpm.header_date)
)</f>
        <v>46212</v>
      </c>
      <c r="BW87" s="209" cm="1">
        <f t="array" ref="BW87">(LOOKUP(2,1/(BH87:BT87&lt;&gt;""),BH87:BT87))/(INDEX(BH87:BT87,MATCH(TRUE,INDEX((BH87:BT87&lt;&gt;0),0),0)))-1</f>
        <v>9.0395480225988756E-2</v>
      </c>
      <c r="BX87" s="210">
        <f t="shared" si="19"/>
        <v>1.93</v>
      </c>
      <c r="BY87" s="210">
        <f t="shared" si="20"/>
        <v>11.387</v>
      </c>
      <c r="BZ87" s="210">
        <f ca="1">IF(L87="BR",'Impostos e Frete'!$F$6,IF(L87="EU",'Impostos e Frete'!$I$3,IF(L87="CN",'Impostos e Frete'!$I$4,IF(L87="JP",'Impostos e Frete'!$I$5,IF(L87="RU",'Impostos e Frete'!$I$7,"ERRO")))))</f>
        <v>0.1410816</v>
      </c>
      <c r="CA87" s="210">
        <f>VLOOKUP(L87,'Impostos e Frete'!$A$3:$B$7,2,0)*'Preços e Condições'!BY87</f>
        <v>1.48031</v>
      </c>
      <c r="CB87" s="147">
        <f t="shared" si="21"/>
        <v>-0.17699999999999999</v>
      </c>
      <c r="CC87" s="147">
        <f>IF(X87="BRL",'Impostos e Frete'!$B$11,'Impostos e Frete'!$B$12)</f>
        <v>9.1999999999999998E-2</v>
      </c>
      <c r="CD87" s="211">
        <f t="shared" ca="1" si="22"/>
        <v>12.9233916</v>
      </c>
      <c r="CE87" s="212">
        <f t="shared" ca="1" si="23"/>
        <v>0.90463741200000003</v>
      </c>
      <c r="CF87" s="213">
        <f>VLOOKUP(L87,'Impostos e Frete'!$A$3:$C$7,3,0)</f>
        <v>105</v>
      </c>
      <c r="CG87" s="213">
        <f t="shared" si="24"/>
        <v>120</v>
      </c>
      <c r="CH87" s="213">
        <f t="shared" si="25"/>
        <v>15</v>
      </c>
      <c r="CI87" s="214">
        <f t="shared" ca="1" si="26"/>
        <v>-9.5848479460086011E-2</v>
      </c>
      <c r="CJ87" s="215">
        <f t="shared" ca="1" si="27"/>
        <v>12.827543120539914</v>
      </c>
      <c r="CK87" s="216">
        <f t="shared" ca="1" si="28"/>
        <v>0.89792801843779402</v>
      </c>
    </row>
    <row r="88" spans="1:89">
      <c r="A88" s="176">
        <v>14127</v>
      </c>
      <c r="B88" s="177" t="s">
        <v>476</v>
      </c>
      <c r="C88" s="178">
        <v>70</v>
      </c>
      <c r="D88" s="178">
        <v>1870</v>
      </c>
      <c r="E88" s="178" t="s">
        <v>50</v>
      </c>
      <c r="F88" s="179" t="s">
        <v>2</v>
      </c>
      <c r="G88" s="189" t="s">
        <v>229</v>
      </c>
      <c r="H88" s="178" t="s">
        <v>42</v>
      </c>
      <c r="I88" s="178">
        <v>32129</v>
      </c>
      <c r="J88" s="178"/>
      <c r="K88" s="178"/>
      <c r="L88" s="178" t="s">
        <v>59</v>
      </c>
      <c r="M88" s="178">
        <v>120</v>
      </c>
      <c r="N88" s="178"/>
      <c r="O88" s="178"/>
      <c r="P88" s="178"/>
      <c r="Q88" s="178"/>
      <c r="R88" s="178" t="s">
        <v>126</v>
      </c>
      <c r="S88" s="181"/>
      <c r="T88" s="181"/>
      <c r="U88" s="182"/>
      <c r="V88" s="182" t="s">
        <v>35</v>
      </c>
      <c r="W88" s="183">
        <v>30</v>
      </c>
      <c r="X88" s="182" t="s">
        <v>51</v>
      </c>
      <c r="Y88" s="184">
        <v>2270</v>
      </c>
      <c r="Z88" s="184">
        <v>2270</v>
      </c>
      <c r="AA88" s="184">
        <v>2270</v>
      </c>
      <c r="AB88" s="184">
        <v>2180</v>
      </c>
      <c r="AC88" s="184">
        <v>2180</v>
      </c>
      <c r="AD88" s="184">
        <v>2180</v>
      </c>
      <c r="AE88" s="184">
        <v>1970</v>
      </c>
      <c r="AF88" s="184">
        <v>1970</v>
      </c>
      <c r="AG88" s="184">
        <v>1970</v>
      </c>
      <c r="AH88" s="184">
        <v>1860</v>
      </c>
      <c r="AI88" s="184">
        <v>1860</v>
      </c>
      <c r="AJ88" s="184">
        <v>1860</v>
      </c>
      <c r="AK88" s="184">
        <v>1860</v>
      </c>
      <c r="AL88" s="146">
        <f>40+(AL85+100)</f>
        <v>1930</v>
      </c>
      <c r="AM88" s="146">
        <f>40+(AM85+100)</f>
        <v>1930</v>
      </c>
      <c r="AN88" s="146">
        <f>40+(AN85+100)</f>
        <v>1930</v>
      </c>
      <c r="AO88" s="184">
        <v>1970</v>
      </c>
      <c r="AP88" s="184">
        <v>1970</v>
      </c>
      <c r="AQ88" s="184">
        <v>1970</v>
      </c>
      <c r="AR88" s="184">
        <v>1970</v>
      </c>
      <c r="AS88" s="184">
        <v>1970</v>
      </c>
      <c r="AT88" s="184">
        <v>1970</v>
      </c>
      <c r="AU88" s="184">
        <v>1900</v>
      </c>
      <c r="AV88" s="184">
        <v>1900</v>
      </c>
      <c r="AW88" s="146">
        <f>AW85+100</f>
        <v>1840</v>
      </c>
      <c r="AX88" s="146">
        <f>AX85+100</f>
        <v>1840</v>
      </c>
      <c r="AY88" s="146">
        <f>AY85+100</f>
        <v>1840</v>
      </c>
      <c r="AZ88" s="184">
        <v>1920</v>
      </c>
      <c r="BA88" s="184">
        <v>1920</v>
      </c>
      <c r="BB88" s="184">
        <v>1920</v>
      </c>
      <c r="BC88" s="184">
        <v>1920</v>
      </c>
      <c r="BD88" s="184">
        <v>1920</v>
      </c>
      <c r="BE88" s="184">
        <v>1920</v>
      </c>
      <c r="BF88" s="184">
        <v>1820</v>
      </c>
      <c r="BG88" s="184">
        <v>1820</v>
      </c>
      <c r="BH88" s="184">
        <v>1820</v>
      </c>
      <c r="BI88" s="184">
        <v>1820</v>
      </c>
      <c r="BJ88" s="184">
        <v>1820</v>
      </c>
      <c r="BK88" s="184">
        <v>1820</v>
      </c>
      <c r="BL88" s="184">
        <v>1900</v>
      </c>
      <c r="BM88" s="184">
        <v>1900</v>
      </c>
      <c r="BN88" s="184">
        <v>1900</v>
      </c>
      <c r="BO88" s="184">
        <v>1980</v>
      </c>
      <c r="BP88" s="184">
        <v>1980</v>
      </c>
      <c r="BQ88" s="184">
        <v>1980</v>
      </c>
      <c r="BR88" s="184"/>
      <c r="BS88" s="184"/>
      <c r="BT88" s="184"/>
      <c r="BU88" s="146" cm="1">
        <f t="array" ref="BU88">LOOKUP(2,1/(Y88:BT88&lt;&gt;""),Y88:BH88)</f>
        <v>1980</v>
      </c>
      <c r="BV88" s="145" cm="1">
        <f t="array" aca="1" ref="BV88" ca="1">_xlfn.LET(
    _xlpm.last_col_idx, LOOKUP(2, 1/(Y88:BT88&lt;&gt;""), COLUMN(Y88:BT88) - COLUMN(Y88) + 1),
    _xlpm.header_val, INDEX($Y$3:$BT$3, 1, _xlpm.last_col_idx),
    _xlpm.header_date, IF(ISNUMBER(_xlpm.header_val), _xlpm.header_val, DATEVALUE(_xlpm.header_val)),
    IF(_xlpm.header_date &gt; TODAY(), TODAY(), _xlpm.header_date)
)</f>
        <v>46212</v>
      </c>
      <c r="BW88" s="209" cm="1">
        <f t="array" ref="BW88">(LOOKUP(2,1/(BH88:BT88&lt;&gt;""),BH88:BT88))/(INDEX(BH88:BT88,MATCH(TRUE,INDEX((BH88:BT88&lt;&gt;0),0),0)))-1</f>
        <v>8.7912087912087822E-2</v>
      </c>
      <c r="BX88" s="210">
        <f t="shared" si="19"/>
        <v>1.98</v>
      </c>
      <c r="BY88" s="210">
        <f t="shared" si="20"/>
        <v>11.682</v>
      </c>
      <c r="BZ88" s="210">
        <f ca="1">IF(L88="BR",'Impostos e Frete'!$F$6,IF(L88="EU",'Impostos e Frete'!$I$3,IF(L88="CN",'Impostos e Frete'!$I$4,IF(L88="JP",'Impostos e Frete'!$I$5,IF(L88="RU",'Impostos e Frete'!$I$7,"ERRO")))))</f>
        <v>0.1410816</v>
      </c>
      <c r="CA88" s="210">
        <f>VLOOKUP(L88,'Impostos e Frete'!$A$3:$B$7,2,0)*'Preços e Condições'!BY88</f>
        <v>1.5186600000000001</v>
      </c>
      <c r="CB88" s="147">
        <f t="shared" si="21"/>
        <v>-0.17699999999999999</v>
      </c>
      <c r="CC88" s="147">
        <f>IF(X88="BRL",'Impostos e Frete'!$B$11,'Impostos e Frete'!$B$12)</f>
        <v>9.1999999999999998E-2</v>
      </c>
      <c r="CD88" s="211">
        <f t="shared" ca="1" si="22"/>
        <v>13.256741600000002</v>
      </c>
      <c r="CE88" s="212">
        <f t="shared" ca="1" si="23"/>
        <v>0.92797191200000018</v>
      </c>
      <c r="CF88" s="213">
        <f>VLOOKUP(L88,'Impostos e Frete'!$A$3:$C$7,3,0)</f>
        <v>105</v>
      </c>
      <c r="CG88" s="213">
        <f t="shared" si="24"/>
        <v>120</v>
      </c>
      <c r="CH88" s="213">
        <f t="shared" si="25"/>
        <v>15</v>
      </c>
      <c r="CI88" s="214">
        <f t="shared" ca="1" si="26"/>
        <v>-9.8320825080875807E-2</v>
      </c>
      <c r="CJ88" s="215">
        <f t="shared" ca="1" si="27"/>
        <v>13.158420774919126</v>
      </c>
      <c r="CK88" s="216">
        <f t="shared" ca="1" si="28"/>
        <v>0.92108945424433886</v>
      </c>
    </row>
    <row r="89" spans="1:89">
      <c r="A89" s="176">
        <v>14134</v>
      </c>
      <c r="B89" s="177">
        <v>8269</v>
      </c>
      <c r="C89" s="178">
        <v>68</v>
      </c>
      <c r="D89" s="178">
        <v>1270</v>
      </c>
      <c r="E89" s="178" t="s">
        <v>50</v>
      </c>
      <c r="F89" s="179" t="s">
        <v>2</v>
      </c>
      <c r="G89" s="189" t="s">
        <v>85</v>
      </c>
      <c r="H89" s="178" t="s">
        <v>42</v>
      </c>
      <c r="I89" s="178">
        <v>32102</v>
      </c>
      <c r="J89" s="178"/>
      <c r="K89" s="178"/>
      <c r="L89" s="178" t="s">
        <v>59</v>
      </c>
      <c r="M89" s="178">
        <v>120</v>
      </c>
      <c r="N89" s="178"/>
      <c r="O89" s="178"/>
      <c r="P89" s="178"/>
      <c r="Q89" s="178"/>
      <c r="R89" s="178" t="s">
        <v>126</v>
      </c>
      <c r="S89" s="181"/>
      <c r="T89" s="181"/>
      <c r="U89" s="182"/>
      <c r="V89" s="182" t="s">
        <v>35</v>
      </c>
      <c r="W89" s="183">
        <v>100</v>
      </c>
      <c r="X89" s="182" t="s">
        <v>51</v>
      </c>
      <c r="Y89" s="184">
        <v>2470</v>
      </c>
      <c r="Z89" s="184">
        <v>2470</v>
      </c>
      <c r="AA89" s="184">
        <v>2470</v>
      </c>
      <c r="AB89" s="184">
        <v>2380</v>
      </c>
      <c r="AC89" s="184">
        <v>2380</v>
      </c>
      <c r="AD89" s="184">
        <v>2380</v>
      </c>
      <c r="AE89" s="184">
        <v>2170</v>
      </c>
      <c r="AF89" s="184">
        <v>2170</v>
      </c>
      <c r="AG89" s="184">
        <v>2170</v>
      </c>
      <c r="AH89" s="184">
        <v>2060</v>
      </c>
      <c r="AI89" s="184">
        <v>2060</v>
      </c>
      <c r="AJ89" s="184">
        <v>2060</v>
      </c>
      <c r="AK89" s="184">
        <v>2060</v>
      </c>
      <c r="AL89" s="184">
        <v>2090</v>
      </c>
      <c r="AM89" s="184">
        <v>2090</v>
      </c>
      <c r="AN89" s="184">
        <v>2090</v>
      </c>
      <c r="AO89" s="184">
        <v>2150</v>
      </c>
      <c r="AP89" s="184">
        <v>2150</v>
      </c>
      <c r="AQ89" s="184">
        <v>2150</v>
      </c>
      <c r="AR89" s="184">
        <v>2150</v>
      </c>
      <c r="AS89" s="184">
        <v>2150</v>
      </c>
      <c r="AT89" s="184">
        <v>2150</v>
      </c>
      <c r="AU89" s="184">
        <v>2080</v>
      </c>
      <c r="AV89" s="184">
        <v>2080</v>
      </c>
      <c r="AW89" s="184">
        <v>2040</v>
      </c>
      <c r="AX89" s="184">
        <v>2040</v>
      </c>
      <c r="AY89" s="184">
        <v>2040</v>
      </c>
      <c r="AZ89" s="184">
        <v>2120</v>
      </c>
      <c r="BA89" s="184">
        <v>2120</v>
      </c>
      <c r="BB89" s="184">
        <v>2120</v>
      </c>
      <c r="BC89" s="184">
        <v>2120</v>
      </c>
      <c r="BD89" s="184">
        <v>2120</v>
      </c>
      <c r="BE89" s="184">
        <v>2120</v>
      </c>
      <c r="BF89" s="184">
        <v>2020</v>
      </c>
      <c r="BG89" s="184">
        <v>2020</v>
      </c>
      <c r="BH89" s="184">
        <v>2020</v>
      </c>
      <c r="BI89" s="184">
        <v>2020</v>
      </c>
      <c r="BJ89" s="184">
        <v>2020</v>
      </c>
      <c r="BK89" s="184">
        <v>2020</v>
      </c>
      <c r="BL89" s="184">
        <v>2100</v>
      </c>
      <c r="BM89" s="184">
        <v>2100</v>
      </c>
      <c r="BN89" s="184">
        <v>2100</v>
      </c>
      <c r="BO89" s="184">
        <v>2180</v>
      </c>
      <c r="BP89" s="184">
        <v>2180</v>
      </c>
      <c r="BQ89" s="184">
        <v>2180</v>
      </c>
      <c r="BR89" s="184"/>
      <c r="BS89" s="184"/>
      <c r="BT89" s="184"/>
      <c r="BU89" s="146" cm="1">
        <f t="array" ref="BU89">LOOKUP(2,1/(Y89:BT89&lt;&gt;""),Y89:BH89)</f>
        <v>2180</v>
      </c>
      <c r="BV89" s="145" cm="1">
        <f t="array" aca="1" ref="BV89" ca="1">_xlfn.LET(
    _xlpm.last_col_idx, LOOKUP(2, 1/(Y89:BT89&lt;&gt;""), COLUMN(Y89:BT89) - COLUMN(Y89) + 1),
    _xlpm.header_val, INDEX($Y$3:$BT$3, 1, _xlpm.last_col_idx),
    _xlpm.header_date, IF(ISNUMBER(_xlpm.header_val), _xlpm.header_val, DATEVALUE(_xlpm.header_val)),
    IF(_xlpm.header_date &gt; TODAY(), TODAY(), _xlpm.header_date)
)</f>
        <v>46212</v>
      </c>
      <c r="BW89" s="209" cm="1">
        <f t="array" ref="BW89">(LOOKUP(2,1/(BH89:BT89&lt;&gt;""),BH89:BT89))/(INDEX(BH89:BT89,MATCH(TRUE,INDEX((BH89:BT89&lt;&gt;0),0),0)))-1</f>
        <v>7.9207920792079278E-2</v>
      </c>
      <c r="BX89" s="210">
        <f t="shared" si="19"/>
        <v>2.1800000000000002</v>
      </c>
      <c r="BY89" s="210">
        <f t="shared" si="20"/>
        <v>12.862000000000002</v>
      </c>
      <c r="BZ89" s="210">
        <f ca="1">IF(L89="BR",'Impostos e Frete'!$F$6,IF(L89="EU",'Impostos e Frete'!$I$3,IF(L89="CN",'Impostos e Frete'!$I$4,IF(L89="JP",'Impostos e Frete'!$I$5,IF(L89="RU",'Impostos e Frete'!$I$7,"ERRO")))))</f>
        <v>0.1410816</v>
      </c>
      <c r="CA89" s="210">
        <f>VLOOKUP(L89,'Impostos e Frete'!$A$3:$B$7,2,0)*'Preços e Condições'!BY89</f>
        <v>1.6720600000000003</v>
      </c>
      <c r="CB89" s="147">
        <f t="shared" si="21"/>
        <v>-0.17699999999999999</v>
      </c>
      <c r="CC89" s="147">
        <f>IF(X89="BRL",'Impostos e Frete'!$B$11,'Impostos e Frete'!$B$12)</f>
        <v>9.1999999999999998E-2</v>
      </c>
      <c r="CD89" s="211">
        <f t="shared" ca="1" si="22"/>
        <v>14.590141600000003</v>
      </c>
      <c r="CE89" s="212">
        <f t="shared" ca="1" si="23"/>
        <v>0.99212962880000011</v>
      </c>
      <c r="CF89" s="213">
        <f>VLOOKUP(L89,'Impostos e Frete'!$A$3:$C$7,3,0)</f>
        <v>105</v>
      </c>
      <c r="CG89" s="213">
        <f t="shared" si="24"/>
        <v>120</v>
      </c>
      <c r="CH89" s="213">
        <f t="shared" si="25"/>
        <v>15</v>
      </c>
      <c r="CI89" s="214">
        <f t="shared" ca="1" si="26"/>
        <v>-0.10821020756403676</v>
      </c>
      <c r="CJ89" s="215">
        <f t="shared" ca="1" si="27"/>
        <v>14.481931392435966</v>
      </c>
      <c r="CK89" s="216">
        <f t="shared" ca="1" si="28"/>
        <v>0.98477133468564571</v>
      </c>
    </row>
    <row r="90" spans="1:89">
      <c r="A90" s="176">
        <v>14134</v>
      </c>
      <c r="B90" s="177">
        <v>8269</v>
      </c>
      <c r="C90" s="178">
        <v>68</v>
      </c>
      <c r="D90" s="178">
        <v>1270</v>
      </c>
      <c r="E90" s="178" t="s">
        <v>50</v>
      </c>
      <c r="F90" s="179" t="s">
        <v>2</v>
      </c>
      <c r="G90" s="189" t="s">
        <v>85</v>
      </c>
      <c r="H90" s="178" t="s">
        <v>42</v>
      </c>
      <c r="I90" s="178">
        <v>32102</v>
      </c>
      <c r="J90" s="178"/>
      <c r="K90" s="178"/>
      <c r="L90" s="178" t="s">
        <v>59</v>
      </c>
      <c r="M90" s="178">
        <v>120</v>
      </c>
      <c r="N90" s="178"/>
      <c r="O90" s="178"/>
      <c r="P90" s="178"/>
      <c r="Q90" s="178"/>
      <c r="R90" s="178" t="s">
        <v>126</v>
      </c>
      <c r="S90" s="181"/>
      <c r="T90" s="181"/>
      <c r="U90" s="182"/>
      <c r="V90" s="182" t="s">
        <v>35</v>
      </c>
      <c r="W90" s="183">
        <v>70</v>
      </c>
      <c r="X90" s="182" t="s">
        <v>51</v>
      </c>
      <c r="Y90" s="184">
        <v>2490</v>
      </c>
      <c r="Z90" s="184">
        <v>2490</v>
      </c>
      <c r="AA90" s="184">
        <v>2490</v>
      </c>
      <c r="AB90" s="184">
        <v>2400</v>
      </c>
      <c r="AC90" s="184">
        <v>2400</v>
      </c>
      <c r="AD90" s="184">
        <v>2400</v>
      </c>
      <c r="AE90" s="184">
        <v>2190</v>
      </c>
      <c r="AF90" s="184">
        <v>2190</v>
      </c>
      <c r="AG90" s="184">
        <v>2190</v>
      </c>
      <c r="AH90" s="184">
        <v>2080</v>
      </c>
      <c r="AI90" s="184">
        <v>2080</v>
      </c>
      <c r="AJ90" s="184">
        <v>2080</v>
      </c>
      <c r="AK90" s="184">
        <v>2080</v>
      </c>
      <c r="AL90" s="146">
        <f>40+(AL89+20)</f>
        <v>2150</v>
      </c>
      <c r="AM90" s="146">
        <f>40+(AM89+20)</f>
        <v>2150</v>
      </c>
      <c r="AN90" s="146">
        <f>40+(AN89+20)</f>
        <v>2150</v>
      </c>
      <c r="AO90" s="184">
        <v>2170</v>
      </c>
      <c r="AP90" s="184">
        <v>2170</v>
      </c>
      <c r="AQ90" s="184">
        <v>2170</v>
      </c>
      <c r="AR90" s="184">
        <v>2170</v>
      </c>
      <c r="AS90" s="184">
        <v>2170</v>
      </c>
      <c r="AT90" s="184">
        <v>2170</v>
      </c>
      <c r="AU90" s="184">
        <v>2100</v>
      </c>
      <c r="AV90" s="184">
        <v>2100</v>
      </c>
      <c r="AW90" s="146">
        <f>AW89+20</f>
        <v>2060</v>
      </c>
      <c r="AX90" s="146">
        <f>AX89+20</f>
        <v>2060</v>
      </c>
      <c r="AY90" s="146">
        <f>AY89+20</f>
        <v>2060</v>
      </c>
      <c r="AZ90" s="184">
        <v>2140</v>
      </c>
      <c r="BA90" s="184">
        <v>2140</v>
      </c>
      <c r="BB90" s="184">
        <v>2140</v>
      </c>
      <c r="BC90" s="184">
        <v>2140</v>
      </c>
      <c r="BD90" s="184">
        <v>2140</v>
      </c>
      <c r="BE90" s="184">
        <v>2140</v>
      </c>
      <c r="BF90" s="184">
        <v>2040</v>
      </c>
      <c r="BG90" s="184">
        <v>2040</v>
      </c>
      <c r="BH90" s="184">
        <v>2040</v>
      </c>
      <c r="BI90" s="184">
        <v>2040</v>
      </c>
      <c r="BJ90" s="184">
        <v>2040</v>
      </c>
      <c r="BK90" s="184">
        <v>2040</v>
      </c>
      <c r="BL90" s="184">
        <v>2120</v>
      </c>
      <c r="BM90" s="184">
        <v>2120</v>
      </c>
      <c r="BN90" s="184">
        <v>2120</v>
      </c>
      <c r="BO90" s="202">
        <v>2200</v>
      </c>
      <c r="BP90" s="202">
        <v>2200</v>
      </c>
      <c r="BQ90" s="202">
        <v>2200</v>
      </c>
      <c r="BR90" s="184"/>
      <c r="BS90" s="184"/>
      <c r="BT90" s="184"/>
      <c r="BU90" s="146" cm="1">
        <f t="array" ref="BU90">LOOKUP(2,1/(Y90:BT90&lt;&gt;""),Y90:BH90)</f>
        <v>2200</v>
      </c>
      <c r="BV90" s="145" cm="1">
        <f t="array" aca="1" ref="BV90" ca="1">_xlfn.LET(
    _xlpm.last_col_idx, LOOKUP(2, 1/(Y90:BT90&lt;&gt;""), COLUMN(Y90:BT90) - COLUMN(Y90) + 1),
    _xlpm.header_val, INDEX($Y$3:$BT$3, 1, _xlpm.last_col_idx),
    _xlpm.header_date, IF(ISNUMBER(_xlpm.header_val), _xlpm.header_val, DATEVALUE(_xlpm.header_val)),
    IF(_xlpm.header_date &gt; TODAY(), TODAY(), _xlpm.header_date)
)</f>
        <v>46212</v>
      </c>
      <c r="BW90" s="209" cm="1">
        <f t="array" ref="BW90">(LOOKUP(2,1/(BH90:BT90&lt;&gt;""),BH90:BT90))/(INDEX(BH90:BT90,MATCH(TRUE,INDEX((BH90:BT90&lt;&gt;0),0),0)))-1</f>
        <v>7.8431372549019551E-2</v>
      </c>
      <c r="BX90" s="210">
        <f t="shared" si="19"/>
        <v>2.2000000000000002</v>
      </c>
      <c r="BY90" s="210">
        <f t="shared" si="20"/>
        <v>12.980000000000002</v>
      </c>
      <c r="BZ90" s="210">
        <f ca="1">IF(L90="BR",'Impostos e Frete'!$F$6,IF(L90="EU",'Impostos e Frete'!$I$3,IF(L90="CN",'Impostos e Frete'!$I$4,IF(L90="JP",'Impostos e Frete'!$I$5,IF(L90="RU",'Impostos e Frete'!$I$7,"ERRO")))))</f>
        <v>0.1410816</v>
      </c>
      <c r="CA90" s="210">
        <f>VLOOKUP(L90,'Impostos e Frete'!$A$3:$B$7,2,0)*'Preços e Condições'!BY90</f>
        <v>1.6874000000000002</v>
      </c>
      <c r="CB90" s="147">
        <f t="shared" si="21"/>
        <v>-0.17699999999999999</v>
      </c>
      <c r="CC90" s="147">
        <f>IF(X90="BRL",'Impostos e Frete'!$B$11,'Impostos e Frete'!$B$12)</f>
        <v>9.1999999999999998E-2</v>
      </c>
      <c r="CD90" s="211">
        <f t="shared" ca="1" si="22"/>
        <v>14.723481600000003</v>
      </c>
      <c r="CE90" s="212">
        <f t="shared" ca="1" si="23"/>
        <v>1.0011967488000002</v>
      </c>
      <c r="CF90" s="213">
        <f>VLOOKUP(L90,'Impostos e Frete'!$A$3:$C$7,3,0)</f>
        <v>105</v>
      </c>
      <c r="CG90" s="213">
        <f t="shared" si="24"/>
        <v>120</v>
      </c>
      <c r="CH90" s="213">
        <f t="shared" si="25"/>
        <v>15</v>
      </c>
      <c r="CI90" s="214">
        <f t="shared" ca="1" si="26"/>
        <v>-0.10919914581235446</v>
      </c>
      <c r="CJ90" s="215">
        <f t="shared" ca="1" si="27"/>
        <v>14.614282454187649</v>
      </c>
      <c r="CK90" s="216">
        <f t="shared" ca="1" si="28"/>
        <v>0.99377120688476006</v>
      </c>
    </row>
    <row r="91" spans="1:89">
      <c r="A91" s="176">
        <v>14134</v>
      </c>
      <c r="B91" s="177">
        <v>8269</v>
      </c>
      <c r="C91" s="178">
        <v>68</v>
      </c>
      <c r="D91" s="178">
        <v>1270</v>
      </c>
      <c r="E91" s="178" t="s">
        <v>50</v>
      </c>
      <c r="F91" s="179" t="s">
        <v>2</v>
      </c>
      <c r="G91" s="189" t="s">
        <v>85</v>
      </c>
      <c r="H91" s="178" t="s">
        <v>42</v>
      </c>
      <c r="I91" s="178">
        <v>32102</v>
      </c>
      <c r="J91" s="178"/>
      <c r="K91" s="178"/>
      <c r="L91" s="178" t="s">
        <v>59</v>
      </c>
      <c r="M91" s="178">
        <v>120</v>
      </c>
      <c r="N91" s="178"/>
      <c r="O91" s="178"/>
      <c r="P91" s="178"/>
      <c r="Q91" s="178"/>
      <c r="R91" s="178" t="s">
        <v>126</v>
      </c>
      <c r="S91" s="181"/>
      <c r="T91" s="181"/>
      <c r="U91" s="182"/>
      <c r="V91" s="182" t="s">
        <v>35</v>
      </c>
      <c r="W91" s="183">
        <v>50</v>
      </c>
      <c r="X91" s="182" t="s">
        <v>51</v>
      </c>
      <c r="Y91" s="184">
        <v>2520</v>
      </c>
      <c r="Z91" s="184">
        <v>2520</v>
      </c>
      <c r="AA91" s="184">
        <v>2520</v>
      </c>
      <c r="AB91" s="184">
        <v>2430</v>
      </c>
      <c r="AC91" s="184">
        <v>2430</v>
      </c>
      <c r="AD91" s="184">
        <v>2430</v>
      </c>
      <c r="AE91" s="184">
        <v>2220</v>
      </c>
      <c r="AF91" s="184">
        <v>2220</v>
      </c>
      <c r="AG91" s="184">
        <v>2220</v>
      </c>
      <c r="AH91" s="184">
        <v>2110</v>
      </c>
      <c r="AI91" s="184">
        <v>2110</v>
      </c>
      <c r="AJ91" s="184">
        <v>2110</v>
      </c>
      <c r="AK91" s="184">
        <v>2110</v>
      </c>
      <c r="AL91" s="146">
        <f>40+(AL89+50)</f>
        <v>2180</v>
      </c>
      <c r="AM91" s="146">
        <f>40+(AM89+50)</f>
        <v>2180</v>
      </c>
      <c r="AN91" s="146">
        <f>40+(AN89+50)</f>
        <v>2180</v>
      </c>
      <c r="AO91" s="184">
        <v>2200</v>
      </c>
      <c r="AP91" s="184">
        <v>2200</v>
      </c>
      <c r="AQ91" s="184">
        <v>2200</v>
      </c>
      <c r="AR91" s="184">
        <v>2200</v>
      </c>
      <c r="AS91" s="184">
        <v>2200</v>
      </c>
      <c r="AT91" s="184">
        <v>2200</v>
      </c>
      <c r="AU91" s="184">
        <v>2130</v>
      </c>
      <c r="AV91" s="184">
        <v>2130</v>
      </c>
      <c r="AW91" s="146">
        <f>AW89+50</f>
        <v>2090</v>
      </c>
      <c r="AX91" s="146">
        <f>AX89+50</f>
        <v>2090</v>
      </c>
      <c r="AY91" s="146">
        <f>AY89+50</f>
        <v>2090</v>
      </c>
      <c r="AZ91" s="184">
        <v>2170</v>
      </c>
      <c r="BA91" s="184">
        <v>2170</v>
      </c>
      <c r="BB91" s="184">
        <v>2170</v>
      </c>
      <c r="BC91" s="184">
        <v>2170</v>
      </c>
      <c r="BD91" s="184">
        <v>2170</v>
      </c>
      <c r="BE91" s="184">
        <v>2170</v>
      </c>
      <c r="BF91" s="184">
        <v>2070</v>
      </c>
      <c r="BG91" s="184">
        <v>2070</v>
      </c>
      <c r="BH91" s="184">
        <v>2070</v>
      </c>
      <c r="BI91" s="184">
        <v>2070</v>
      </c>
      <c r="BJ91" s="184">
        <v>2070</v>
      </c>
      <c r="BK91" s="184">
        <v>2070</v>
      </c>
      <c r="BL91" s="184">
        <v>2150</v>
      </c>
      <c r="BM91" s="184">
        <v>2150</v>
      </c>
      <c r="BN91" s="184">
        <v>2150</v>
      </c>
      <c r="BO91" s="184">
        <v>2230</v>
      </c>
      <c r="BP91" s="184">
        <v>2230</v>
      </c>
      <c r="BQ91" s="184">
        <v>2230</v>
      </c>
      <c r="BR91" s="184"/>
      <c r="BS91" s="184"/>
      <c r="BT91" s="184"/>
      <c r="BU91" s="146" cm="1">
        <f t="array" ref="BU91">LOOKUP(2,1/(Y91:BT91&lt;&gt;""),Y91:BH91)</f>
        <v>2230</v>
      </c>
      <c r="BV91" s="145" cm="1">
        <f t="array" aca="1" ref="BV91" ca="1">_xlfn.LET(
    _xlpm.last_col_idx, LOOKUP(2, 1/(Y91:BT91&lt;&gt;""), COLUMN(Y91:BT91) - COLUMN(Y91) + 1),
    _xlpm.header_val, INDEX($Y$3:$BT$3, 1, _xlpm.last_col_idx),
    _xlpm.header_date, IF(ISNUMBER(_xlpm.header_val), _xlpm.header_val, DATEVALUE(_xlpm.header_val)),
    IF(_xlpm.header_date &gt; TODAY(), TODAY(), _xlpm.header_date)
)</f>
        <v>46212</v>
      </c>
      <c r="BW91" s="209" cm="1">
        <f t="array" ref="BW91">(LOOKUP(2,1/(BH91:BT91&lt;&gt;""),BH91:BT91))/(INDEX(BH91:BT91,MATCH(TRUE,INDEX((BH91:BT91&lt;&gt;0),0),0)))-1</f>
        <v>7.7294685990338063E-2</v>
      </c>
      <c r="BX91" s="210">
        <f t="shared" si="19"/>
        <v>2.23</v>
      </c>
      <c r="BY91" s="210">
        <f t="shared" si="20"/>
        <v>13.157</v>
      </c>
      <c r="BZ91" s="210">
        <f ca="1">IF(L91="BR",'Impostos e Frete'!$F$6,IF(L91="EU",'Impostos e Frete'!$I$3,IF(L91="CN",'Impostos e Frete'!$I$4,IF(L91="JP",'Impostos e Frete'!$I$5,IF(L91="RU",'Impostos e Frete'!$I$7,"ERRO")))))</f>
        <v>0.1410816</v>
      </c>
      <c r="CA91" s="210">
        <f>VLOOKUP(L91,'Impostos e Frete'!$A$3:$B$7,2,0)*'Preços e Condições'!BY91</f>
        <v>1.71041</v>
      </c>
      <c r="CB91" s="147">
        <f t="shared" si="21"/>
        <v>-0.17699999999999999</v>
      </c>
      <c r="CC91" s="147">
        <f>IF(X91="BRL",'Impostos e Frete'!$B$11,'Impostos e Frete'!$B$12)</f>
        <v>9.1999999999999998E-2</v>
      </c>
      <c r="CD91" s="211">
        <f t="shared" ca="1" si="22"/>
        <v>14.9234916</v>
      </c>
      <c r="CE91" s="212">
        <f t="shared" ca="1" si="23"/>
        <v>1.0147974287999999</v>
      </c>
      <c r="CF91" s="213">
        <f>VLOOKUP(L91,'Impostos e Frete'!$A$3:$C$7,3,0)</f>
        <v>105</v>
      </c>
      <c r="CG91" s="213">
        <f t="shared" si="24"/>
        <v>120</v>
      </c>
      <c r="CH91" s="213">
        <f t="shared" si="25"/>
        <v>15</v>
      </c>
      <c r="CI91" s="214">
        <f t="shared" ca="1" si="26"/>
        <v>-0.11068255318482834</v>
      </c>
      <c r="CJ91" s="215">
        <f t="shared" ca="1" si="27"/>
        <v>14.812809046815172</v>
      </c>
      <c r="CK91" s="216">
        <f t="shared" ca="1" si="28"/>
        <v>1.0072710151834317</v>
      </c>
    </row>
    <row r="92" spans="1:89">
      <c r="A92" s="176">
        <v>14134</v>
      </c>
      <c r="B92" s="177">
        <v>8269</v>
      </c>
      <c r="C92" s="178">
        <v>68</v>
      </c>
      <c r="D92" s="178">
        <v>1270</v>
      </c>
      <c r="E92" s="178" t="s">
        <v>50</v>
      </c>
      <c r="F92" s="179" t="s">
        <v>2</v>
      </c>
      <c r="G92" s="189" t="s">
        <v>85</v>
      </c>
      <c r="H92" s="178" t="s">
        <v>42</v>
      </c>
      <c r="I92" s="178">
        <v>32102</v>
      </c>
      <c r="J92" s="178"/>
      <c r="K92" s="178"/>
      <c r="L92" s="178" t="s">
        <v>59</v>
      </c>
      <c r="M92" s="178">
        <v>120</v>
      </c>
      <c r="N92" s="178"/>
      <c r="O92" s="178"/>
      <c r="P92" s="178"/>
      <c r="Q92" s="178"/>
      <c r="R92" s="178" t="s">
        <v>126</v>
      </c>
      <c r="S92" s="181"/>
      <c r="T92" s="181"/>
      <c r="U92" s="182"/>
      <c r="V92" s="182" t="s">
        <v>35</v>
      </c>
      <c r="W92" s="183">
        <v>30</v>
      </c>
      <c r="X92" s="182" t="s">
        <v>51</v>
      </c>
      <c r="Y92" s="184">
        <v>2570</v>
      </c>
      <c r="Z92" s="184">
        <v>2570</v>
      </c>
      <c r="AA92" s="184">
        <v>2570</v>
      </c>
      <c r="AB92" s="184">
        <v>2480</v>
      </c>
      <c r="AC92" s="184">
        <v>2480</v>
      </c>
      <c r="AD92" s="184">
        <v>2480</v>
      </c>
      <c r="AE92" s="184">
        <v>2270</v>
      </c>
      <c r="AF92" s="184">
        <v>2270</v>
      </c>
      <c r="AG92" s="184">
        <v>2270</v>
      </c>
      <c r="AH92" s="184">
        <v>2160</v>
      </c>
      <c r="AI92" s="184">
        <v>2160</v>
      </c>
      <c r="AJ92" s="184">
        <v>2160</v>
      </c>
      <c r="AK92" s="184">
        <v>2160</v>
      </c>
      <c r="AL92" s="146">
        <f>40+(AL89+100)</f>
        <v>2230</v>
      </c>
      <c r="AM92" s="146">
        <f>40+(AM89+100)</f>
        <v>2230</v>
      </c>
      <c r="AN92" s="146">
        <f>40+(AN89+100)</f>
        <v>2230</v>
      </c>
      <c r="AO92" s="184">
        <v>2250</v>
      </c>
      <c r="AP92" s="184">
        <v>2250</v>
      </c>
      <c r="AQ92" s="184">
        <v>2250</v>
      </c>
      <c r="AR92" s="184">
        <v>2250</v>
      </c>
      <c r="AS92" s="184">
        <v>2250</v>
      </c>
      <c r="AT92" s="184">
        <v>2250</v>
      </c>
      <c r="AU92" s="184">
        <v>2180</v>
      </c>
      <c r="AV92" s="184">
        <v>2180</v>
      </c>
      <c r="AW92" s="146">
        <f>AW89+100</f>
        <v>2140</v>
      </c>
      <c r="AX92" s="146">
        <f>AX89+100</f>
        <v>2140</v>
      </c>
      <c r="AY92" s="146">
        <f>AY89+100</f>
        <v>2140</v>
      </c>
      <c r="AZ92" s="184">
        <v>2220</v>
      </c>
      <c r="BA92" s="184">
        <v>2220</v>
      </c>
      <c r="BB92" s="184">
        <v>2220</v>
      </c>
      <c r="BC92" s="184">
        <v>2220</v>
      </c>
      <c r="BD92" s="184">
        <v>2220</v>
      </c>
      <c r="BE92" s="184">
        <v>2220</v>
      </c>
      <c r="BF92" s="184">
        <v>2120</v>
      </c>
      <c r="BG92" s="184">
        <v>2120</v>
      </c>
      <c r="BH92" s="184">
        <v>2120</v>
      </c>
      <c r="BI92" s="184">
        <v>2120</v>
      </c>
      <c r="BJ92" s="184">
        <v>2120</v>
      </c>
      <c r="BK92" s="184">
        <v>2120</v>
      </c>
      <c r="BL92" s="184">
        <v>2200</v>
      </c>
      <c r="BM92" s="184">
        <v>2200</v>
      </c>
      <c r="BN92" s="184">
        <v>2200</v>
      </c>
      <c r="BO92" s="184">
        <v>2280</v>
      </c>
      <c r="BP92" s="184">
        <v>2280</v>
      </c>
      <c r="BQ92" s="184">
        <v>2280</v>
      </c>
      <c r="BR92" s="184"/>
      <c r="BS92" s="184"/>
      <c r="BT92" s="184"/>
      <c r="BU92" s="146" cm="1">
        <f t="array" ref="BU92">LOOKUP(2,1/(Y92:BT92&lt;&gt;""),Y92:BH92)</f>
        <v>2280</v>
      </c>
      <c r="BV92" s="145" cm="1">
        <f t="array" aca="1" ref="BV92" ca="1">_xlfn.LET(
    _xlpm.last_col_idx, LOOKUP(2, 1/(Y92:BT92&lt;&gt;""), COLUMN(Y92:BT92) - COLUMN(Y92) + 1),
    _xlpm.header_val, INDEX($Y$3:$BT$3, 1, _xlpm.last_col_idx),
    _xlpm.header_date, IF(ISNUMBER(_xlpm.header_val), _xlpm.header_val, DATEVALUE(_xlpm.header_val)),
    IF(_xlpm.header_date &gt; TODAY(), TODAY(), _xlpm.header_date)
)</f>
        <v>46212</v>
      </c>
      <c r="BW92" s="209" cm="1">
        <f t="array" ref="BW92">(LOOKUP(2,1/(BH92:BT92&lt;&gt;""),BH92:BT92))/(INDEX(BH92:BT92,MATCH(TRUE,INDEX((BH92:BT92&lt;&gt;0),0),0)))-1</f>
        <v>7.547169811320753E-2</v>
      </c>
      <c r="BX92" s="210">
        <f t="shared" si="19"/>
        <v>2.2799999999999998</v>
      </c>
      <c r="BY92" s="210">
        <f t="shared" si="20"/>
        <v>13.452</v>
      </c>
      <c r="BZ92" s="210">
        <f ca="1">IF(L92="BR",'Impostos e Frete'!$F$6,IF(L92="EU",'Impostos e Frete'!$I$3,IF(L92="CN",'Impostos e Frete'!$I$4,IF(L92="JP",'Impostos e Frete'!$I$5,IF(L92="RU",'Impostos e Frete'!$I$7,"ERRO")))))</f>
        <v>0.1410816</v>
      </c>
      <c r="CA92" s="210">
        <f>VLOOKUP(L92,'Impostos e Frete'!$A$3:$B$7,2,0)*'Preços e Condições'!BY92</f>
        <v>1.7487600000000001</v>
      </c>
      <c r="CB92" s="147">
        <f t="shared" si="21"/>
        <v>-0.17699999999999999</v>
      </c>
      <c r="CC92" s="147">
        <f>IF(X92="BRL",'Impostos e Frete'!$B$11,'Impostos e Frete'!$B$12)</f>
        <v>9.1999999999999998E-2</v>
      </c>
      <c r="CD92" s="211">
        <f t="shared" ca="1" si="22"/>
        <v>15.256841600000001</v>
      </c>
      <c r="CE92" s="212">
        <f t="shared" ca="1" si="23"/>
        <v>1.0374652288000001</v>
      </c>
      <c r="CF92" s="213">
        <f>VLOOKUP(L92,'Impostos e Frete'!$A$3:$C$7,3,0)</f>
        <v>105</v>
      </c>
      <c r="CG92" s="213">
        <f t="shared" si="24"/>
        <v>120</v>
      </c>
      <c r="CH92" s="213">
        <f t="shared" si="25"/>
        <v>15</v>
      </c>
      <c r="CI92" s="214">
        <f t="shared" ca="1" si="26"/>
        <v>-0.11315489880561813</v>
      </c>
      <c r="CJ92" s="215">
        <f t="shared" ca="1" si="27"/>
        <v>15.143686701194383</v>
      </c>
      <c r="CK92" s="216">
        <f t="shared" ca="1" si="28"/>
        <v>1.029770695681218</v>
      </c>
    </row>
    <row r="93" spans="1:89">
      <c r="A93" s="176">
        <v>14137</v>
      </c>
      <c r="B93" s="177" t="s">
        <v>52</v>
      </c>
      <c r="C93" s="178">
        <v>68</v>
      </c>
      <c r="D93" s="178">
        <v>1270</v>
      </c>
      <c r="E93" s="178" t="s">
        <v>50</v>
      </c>
      <c r="F93" s="179" t="s">
        <v>2</v>
      </c>
      <c r="G93" s="189" t="s">
        <v>86</v>
      </c>
      <c r="H93" s="178" t="s">
        <v>42</v>
      </c>
      <c r="I93" s="178">
        <v>32102</v>
      </c>
      <c r="J93" s="178"/>
      <c r="K93" s="178"/>
      <c r="L93" s="178" t="s">
        <v>59</v>
      </c>
      <c r="M93" s="178">
        <v>120</v>
      </c>
      <c r="N93" s="178"/>
      <c r="O93" s="178"/>
      <c r="P93" s="178"/>
      <c r="Q93" s="178"/>
      <c r="R93" s="178" t="s">
        <v>126</v>
      </c>
      <c r="S93" s="181"/>
      <c r="T93" s="181"/>
      <c r="U93" s="182"/>
      <c r="V93" s="182" t="s">
        <v>35</v>
      </c>
      <c r="W93" s="183">
        <v>100</v>
      </c>
      <c r="X93" s="182" t="s">
        <v>51</v>
      </c>
      <c r="Y93" s="184">
        <v>2470</v>
      </c>
      <c r="Z93" s="184">
        <v>2470</v>
      </c>
      <c r="AA93" s="184">
        <v>2470</v>
      </c>
      <c r="AB93" s="184">
        <v>2380</v>
      </c>
      <c r="AC93" s="184">
        <v>2380</v>
      </c>
      <c r="AD93" s="184">
        <v>2380</v>
      </c>
      <c r="AE93" s="184">
        <v>2170</v>
      </c>
      <c r="AF93" s="184">
        <v>2170</v>
      </c>
      <c r="AG93" s="184">
        <v>2170</v>
      </c>
      <c r="AH93" s="184">
        <v>2060</v>
      </c>
      <c r="AI93" s="184">
        <v>2060</v>
      </c>
      <c r="AJ93" s="184">
        <v>2060</v>
      </c>
      <c r="AK93" s="184">
        <v>2060</v>
      </c>
      <c r="AL93" s="184">
        <v>2090</v>
      </c>
      <c r="AM93" s="184">
        <v>2090</v>
      </c>
      <c r="AN93" s="184">
        <v>2090</v>
      </c>
      <c r="AO93" s="184">
        <v>2150</v>
      </c>
      <c r="AP93" s="184">
        <v>2150</v>
      </c>
      <c r="AQ93" s="184">
        <v>2150</v>
      </c>
      <c r="AR93" s="184">
        <v>2150</v>
      </c>
      <c r="AS93" s="184">
        <v>2150</v>
      </c>
      <c r="AT93" s="184">
        <v>2150</v>
      </c>
      <c r="AU93" s="184">
        <v>2080</v>
      </c>
      <c r="AV93" s="184">
        <v>2080</v>
      </c>
      <c r="AW93" s="184">
        <v>2040</v>
      </c>
      <c r="AX93" s="184">
        <v>2040</v>
      </c>
      <c r="AY93" s="184">
        <v>2040</v>
      </c>
      <c r="AZ93" s="184">
        <v>2120</v>
      </c>
      <c r="BA93" s="184">
        <v>2120</v>
      </c>
      <c r="BB93" s="184">
        <v>2120</v>
      </c>
      <c r="BC93" s="184">
        <v>2120</v>
      </c>
      <c r="BD93" s="184">
        <v>2120</v>
      </c>
      <c r="BE93" s="184">
        <v>2120</v>
      </c>
      <c r="BF93" s="184">
        <v>2020</v>
      </c>
      <c r="BG93" s="184">
        <v>2020</v>
      </c>
      <c r="BH93" s="184">
        <v>2020</v>
      </c>
      <c r="BI93" s="184">
        <v>2020</v>
      </c>
      <c r="BJ93" s="184">
        <v>2020</v>
      </c>
      <c r="BK93" s="184">
        <v>2020</v>
      </c>
      <c r="BL93" s="184"/>
      <c r="BM93" s="184"/>
      <c r="BN93" s="184"/>
      <c r="BO93" s="184"/>
      <c r="BP93" s="184"/>
      <c r="BQ93" s="184"/>
      <c r="BR93" s="184"/>
      <c r="BS93" s="184"/>
      <c r="BT93" s="184"/>
      <c r="BU93" s="146" cm="1">
        <f t="array" ref="BU93">LOOKUP(2,1/(Y93:BT93&lt;&gt;""),Y93:BH93)</f>
        <v>2020</v>
      </c>
      <c r="BV93" s="145" cm="1">
        <f t="array" aca="1" ref="BV93" ca="1">_xlfn.LET(
    _xlpm.last_col_idx, LOOKUP(2, 1/(Y93:BT93&lt;&gt;""), COLUMN(Y93:BT93) - COLUMN(Y93) + 1),
    _xlpm.header_val, INDEX($Y$3:$BT$3, 1, _xlpm.last_col_idx),
    _xlpm.header_date, IF(ISNUMBER(_xlpm.header_val), _xlpm.header_val, DATEVALUE(_xlpm.header_val)),
    IF(_xlpm.header_date &gt; TODAY(), TODAY(), _xlpm.header_date)
)</f>
        <v>46082</v>
      </c>
      <c r="BW93" s="209" cm="1">
        <f t="array" ref="BW93">(LOOKUP(2,1/(BH93:BT93&lt;&gt;""),BH93:BT93))/(INDEX(BH93:BT93,MATCH(TRUE,INDEX((BH93:BT93&lt;&gt;0),0),0)))-1</f>
        <v>0</v>
      </c>
      <c r="BX93" s="210">
        <f t="shared" si="19"/>
        <v>2.02</v>
      </c>
      <c r="BY93" s="210">
        <f t="shared" si="20"/>
        <v>11.918000000000001</v>
      </c>
      <c r="BZ93" s="210">
        <f ca="1">IF(L93="BR",'Impostos e Frete'!$F$6,IF(L93="EU",'Impostos e Frete'!$I$3,IF(L93="CN",'Impostos e Frete'!$I$4,IF(L93="JP",'Impostos e Frete'!$I$5,IF(L93="RU",'Impostos e Frete'!$I$7,"ERRO")))))</f>
        <v>0.1410816</v>
      </c>
      <c r="CA93" s="210">
        <f>VLOOKUP(L93,'Impostos e Frete'!$A$3:$B$7,2,0)*'Preços e Condições'!BY93</f>
        <v>1.5493400000000002</v>
      </c>
      <c r="CB93" s="147">
        <f t="shared" si="21"/>
        <v>-0.17699999999999999</v>
      </c>
      <c r="CC93" s="147">
        <f>IF(X93="BRL",'Impostos e Frete'!$B$11,'Impostos e Frete'!$B$12)</f>
        <v>9.1999999999999998E-2</v>
      </c>
      <c r="CD93" s="211">
        <f t="shared" ca="1" si="22"/>
        <v>13.523421600000002</v>
      </c>
      <c r="CE93" s="212">
        <f t="shared" ca="1" si="23"/>
        <v>0.91959266880000012</v>
      </c>
      <c r="CF93" s="213">
        <f>VLOOKUP(L93,'Impostos e Frete'!$A$3:$C$7,3,0)</f>
        <v>105</v>
      </c>
      <c r="CG93" s="213">
        <f t="shared" si="24"/>
        <v>120</v>
      </c>
      <c r="CH93" s="213">
        <f t="shared" si="25"/>
        <v>15</v>
      </c>
      <c r="CI93" s="214">
        <f t="shared" ca="1" si="26"/>
        <v>-0.10029870157750764</v>
      </c>
      <c r="CJ93" s="215">
        <f t="shared" ca="1" si="27"/>
        <v>13.423122898422495</v>
      </c>
      <c r="CK93" s="216">
        <f t="shared" ca="1" si="28"/>
        <v>0.91277235709272964</v>
      </c>
    </row>
    <row r="94" spans="1:89">
      <c r="A94" s="176">
        <v>14137</v>
      </c>
      <c r="B94" s="177" t="s">
        <v>52</v>
      </c>
      <c r="C94" s="178">
        <v>68</v>
      </c>
      <c r="D94" s="178">
        <v>1270</v>
      </c>
      <c r="E94" s="178" t="s">
        <v>50</v>
      </c>
      <c r="F94" s="179" t="s">
        <v>2</v>
      </c>
      <c r="G94" s="189" t="s">
        <v>86</v>
      </c>
      <c r="H94" s="178" t="s">
        <v>42</v>
      </c>
      <c r="I94" s="178">
        <v>32102</v>
      </c>
      <c r="J94" s="178"/>
      <c r="K94" s="178"/>
      <c r="L94" s="178" t="s">
        <v>59</v>
      </c>
      <c r="M94" s="178">
        <v>120</v>
      </c>
      <c r="N94" s="178"/>
      <c r="O94" s="178"/>
      <c r="P94" s="178"/>
      <c r="Q94" s="178"/>
      <c r="R94" s="178" t="s">
        <v>126</v>
      </c>
      <c r="S94" s="181"/>
      <c r="T94" s="181"/>
      <c r="U94" s="182"/>
      <c r="V94" s="182" t="s">
        <v>35</v>
      </c>
      <c r="W94" s="183">
        <v>70</v>
      </c>
      <c r="X94" s="182" t="s">
        <v>51</v>
      </c>
      <c r="Y94" s="184">
        <v>2490</v>
      </c>
      <c r="Z94" s="184">
        <v>2490</v>
      </c>
      <c r="AA94" s="184">
        <v>2490</v>
      </c>
      <c r="AB94" s="184">
        <v>2400</v>
      </c>
      <c r="AC94" s="184">
        <v>2400</v>
      </c>
      <c r="AD94" s="184">
        <v>2400</v>
      </c>
      <c r="AE94" s="184">
        <v>2190</v>
      </c>
      <c r="AF94" s="184">
        <v>2190</v>
      </c>
      <c r="AG94" s="184">
        <v>2190</v>
      </c>
      <c r="AH94" s="184">
        <v>2080</v>
      </c>
      <c r="AI94" s="184">
        <v>2080</v>
      </c>
      <c r="AJ94" s="184">
        <v>2080</v>
      </c>
      <c r="AK94" s="184">
        <v>2080</v>
      </c>
      <c r="AL94" s="146">
        <f>40+(AL93+20)</f>
        <v>2150</v>
      </c>
      <c r="AM94" s="146">
        <f>40+(AM93+20)</f>
        <v>2150</v>
      </c>
      <c r="AN94" s="146">
        <f>40+(AN93+20)</f>
        <v>2150</v>
      </c>
      <c r="AO94" s="184">
        <v>2170</v>
      </c>
      <c r="AP94" s="184">
        <v>2170</v>
      </c>
      <c r="AQ94" s="184">
        <v>2170</v>
      </c>
      <c r="AR94" s="184">
        <v>2170</v>
      </c>
      <c r="AS94" s="184">
        <v>2170</v>
      </c>
      <c r="AT94" s="184">
        <v>2170</v>
      </c>
      <c r="AU94" s="184">
        <v>2100</v>
      </c>
      <c r="AV94" s="184">
        <v>2100</v>
      </c>
      <c r="AW94" s="146">
        <f>AW93+20</f>
        <v>2060</v>
      </c>
      <c r="AX94" s="146">
        <f>AX93+20</f>
        <v>2060</v>
      </c>
      <c r="AY94" s="146">
        <f>AY93+20</f>
        <v>2060</v>
      </c>
      <c r="AZ94" s="184">
        <v>2140</v>
      </c>
      <c r="BA94" s="184">
        <v>2140</v>
      </c>
      <c r="BB94" s="184">
        <v>2140</v>
      </c>
      <c r="BC94" s="184">
        <v>2140</v>
      </c>
      <c r="BD94" s="184">
        <v>2140</v>
      </c>
      <c r="BE94" s="184">
        <v>2140</v>
      </c>
      <c r="BF94" s="184">
        <v>2040</v>
      </c>
      <c r="BG94" s="184">
        <v>2040</v>
      </c>
      <c r="BH94" s="184">
        <v>2040</v>
      </c>
      <c r="BI94" s="184">
        <v>2040</v>
      </c>
      <c r="BJ94" s="184">
        <v>2040</v>
      </c>
      <c r="BK94" s="184">
        <v>2040</v>
      </c>
      <c r="BL94" s="184"/>
      <c r="BM94" s="184"/>
      <c r="BN94" s="184"/>
      <c r="BO94" s="184"/>
      <c r="BP94" s="184"/>
      <c r="BQ94" s="184"/>
      <c r="BR94" s="184"/>
      <c r="BS94" s="184"/>
      <c r="BT94" s="184"/>
      <c r="BU94" s="146" cm="1">
        <f t="array" ref="BU94">LOOKUP(2,1/(Y94:BT94&lt;&gt;""),Y94:BH94)</f>
        <v>2040</v>
      </c>
      <c r="BV94" s="145" cm="1">
        <f t="array" aca="1" ref="BV94" ca="1">_xlfn.LET(
    _xlpm.last_col_idx, LOOKUP(2, 1/(Y94:BT94&lt;&gt;""), COLUMN(Y94:BT94) - COLUMN(Y94) + 1),
    _xlpm.header_val, INDEX($Y$3:$BT$3, 1, _xlpm.last_col_idx),
    _xlpm.header_date, IF(ISNUMBER(_xlpm.header_val), _xlpm.header_val, DATEVALUE(_xlpm.header_val)),
    IF(_xlpm.header_date &gt; TODAY(), TODAY(), _xlpm.header_date)
)</f>
        <v>46082</v>
      </c>
      <c r="BW94" s="209" cm="1">
        <f t="array" ref="BW94">(LOOKUP(2,1/(BH94:BT94&lt;&gt;""),BH94:BT94))/(INDEX(BH94:BT94,MATCH(TRUE,INDEX((BH94:BT94&lt;&gt;0),0),0)))-1</f>
        <v>0</v>
      </c>
      <c r="BX94" s="210">
        <f t="shared" si="19"/>
        <v>2.04</v>
      </c>
      <c r="BY94" s="210">
        <f t="shared" si="20"/>
        <v>12.036000000000001</v>
      </c>
      <c r="BZ94" s="210">
        <f ca="1">IF(L94="BR",'Impostos e Frete'!$F$6,IF(L94="EU",'Impostos e Frete'!$I$3,IF(L94="CN",'Impostos e Frete'!$I$4,IF(L94="JP",'Impostos e Frete'!$I$5,IF(L94="RU",'Impostos e Frete'!$I$7,"ERRO")))))</f>
        <v>0.1410816</v>
      </c>
      <c r="CA94" s="210">
        <f>VLOOKUP(L94,'Impostos e Frete'!$A$3:$B$7,2,0)*'Preços e Condições'!BY94</f>
        <v>1.5646800000000003</v>
      </c>
      <c r="CB94" s="147">
        <f t="shared" si="21"/>
        <v>-0.17699999999999999</v>
      </c>
      <c r="CC94" s="147">
        <f>IF(X94="BRL",'Impostos e Frete'!$B$11,'Impostos e Frete'!$B$12)</f>
        <v>9.1999999999999998E-2</v>
      </c>
      <c r="CD94" s="211">
        <f t="shared" ca="1" si="22"/>
        <v>13.656761600000003</v>
      </c>
      <c r="CE94" s="212">
        <f t="shared" ca="1" si="23"/>
        <v>0.92865978880000022</v>
      </c>
      <c r="CF94" s="213">
        <f>VLOOKUP(L94,'Impostos e Frete'!$A$3:$C$7,3,0)</f>
        <v>105</v>
      </c>
      <c r="CG94" s="213">
        <f t="shared" si="24"/>
        <v>120</v>
      </c>
      <c r="CH94" s="213">
        <f t="shared" si="25"/>
        <v>15</v>
      </c>
      <c r="CI94" s="214">
        <f t="shared" ca="1" si="26"/>
        <v>-0.10128763982582356</v>
      </c>
      <c r="CJ94" s="215">
        <f t="shared" ca="1" si="27"/>
        <v>13.555473960174179</v>
      </c>
      <c r="CK94" s="216">
        <f t="shared" ca="1" si="28"/>
        <v>0.92177222929184421</v>
      </c>
    </row>
    <row r="95" spans="1:89">
      <c r="A95" s="176">
        <v>14137</v>
      </c>
      <c r="B95" s="177" t="s">
        <v>52</v>
      </c>
      <c r="C95" s="178">
        <v>68</v>
      </c>
      <c r="D95" s="178">
        <v>1270</v>
      </c>
      <c r="E95" s="178" t="s">
        <v>50</v>
      </c>
      <c r="F95" s="179" t="s">
        <v>2</v>
      </c>
      <c r="G95" s="189" t="s">
        <v>86</v>
      </c>
      <c r="H95" s="178" t="s">
        <v>42</v>
      </c>
      <c r="I95" s="178">
        <v>32102</v>
      </c>
      <c r="J95" s="178"/>
      <c r="K95" s="178"/>
      <c r="L95" s="178" t="s">
        <v>59</v>
      </c>
      <c r="M95" s="178">
        <v>120</v>
      </c>
      <c r="N95" s="178"/>
      <c r="O95" s="178"/>
      <c r="P95" s="178"/>
      <c r="Q95" s="178"/>
      <c r="R95" s="178" t="s">
        <v>126</v>
      </c>
      <c r="S95" s="181"/>
      <c r="T95" s="181"/>
      <c r="U95" s="182"/>
      <c r="V95" s="182" t="s">
        <v>35</v>
      </c>
      <c r="W95" s="183">
        <v>50</v>
      </c>
      <c r="X95" s="182" t="s">
        <v>51</v>
      </c>
      <c r="Y95" s="184">
        <v>2520</v>
      </c>
      <c r="Z95" s="184">
        <v>2520</v>
      </c>
      <c r="AA95" s="184">
        <v>2520</v>
      </c>
      <c r="AB95" s="184">
        <v>2430</v>
      </c>
      <c r="AC95" s="184">
        <v>2430</v>
      </c>
      <c r="AD95" s="184">
        <v>2430</v>
      </c>
      <c r="AE95" s="184">
        <v>2220</v>
      </c>
      <c r="AF95" s="184">
        <v>2220</v>
      </c>
      <c r="AG95" s="184">
        <v>2220</v>
      </c>
      <c r="AH95" s="184">
        <v>2110</v>
      </c>
      <c r="AI95" s="184">
        <v>2110</v>
      </c>
      <c r="AJ95" s="184">
        <v>2110</v>
      </c>
      <c r="AK95" s="184">
        <v>2110</v>
      </c>
      <c r="AL95" s="146">
        <f>40+(AL93+50)</f>
        <v>2180</v>
      </c>
      <c r="AM95" s="146">
        <f>40+(AM93+50)</f>
        <v>2180</v>
      </c>
      <c r="AN95" s="146">
        <f>40+(AN93+50)</f>
        <v>2180</v>
      </c>
      <c r="AO95" s="184">
        <v>2200</v>
      </c>
      <c r="AP95" s="184">
        <v>2200</v>
      </c>
      <c r="AQ95" s="184">
        <v>2200</v>
      </c>
      <c r="AR95" s="184">
        <v>2200</v>
      </c>
      <c r="AS95" s="184">
        <v>2200</v>
      </c>
      <c r="AT95" s="184">
        <v>2200</v>
      </c>
      <c r="AU95" s="184">
        <v>2130</v>
      </c>
      <c r="AV95" s="184">
        <v>2130</v>
      </c>
      <c r="AW95" s="146">
        <f>AW93+50</f>
        <v>2090</v>
      </c>
      <c r="AX95" s="146">
        <f>AX93+50</f>
        <v>2090</v>
      </c>
      <c r="AY95" s="146">
        <f>AY93+50</f>
        <v>2090</v>
      </c>
      <c r="AZ95" s="184">
        <v>2170</v>
      </c>
      <c r="BA95" s="184">
        <v>2170</v>
      </c>
      <c r="BB95" s="184">
        <v>2170</v>
      </c>
      <c r="BC95" s="184">
        <v>2170</v>
      </c>
      <c r="BD95" s="184">
        <v>2170</v>
      </c>
      <c r="BE95" s="184">
        <v>2170</v>
      </c>
      <c r="BF95" s="184">
        <v>2070</v>
      </c>
      <c r="BG95" s="184">
        <v>2070</v>
      </c>
      <c r="BH95" s="184">
        <v>2070</v>
      </c>
      <c r="BI95" s="184">
        <v>2070</v>
      </c>
      <c r="BJ95" s="184">
        <v>2070</v>
      </c>
      <c r="BK95" s="184">
        <v>2070</v>
      </c>
      <c r="BL95" s="184"/>
      <c r="BM95" s="184"/>
      <c r="BN95" s="184"/>
      <c r="BO95" s="184"/>
      <c r="BP95" s="184"/>
      <c r="BQ95" s="184"/>
      <c r="BR95" s="184"/>
      <c r="BS95" s="184"/>
      <c r="BT95" s="184"/>
      <c r="BU95" s="146" cm="1">
        <f t="array" ref="BU95">LOOKUP(2,1/(Y95:BT95&lt;&gt;""),Y95:BH95)</f>
        <v>2070</v>
      </c>
      <c r="BV95" s="145" cm="1">
        <f t="array" aca="1" ref="BV95" ca="1">_xlfn.LET(
    _xlpm.last_col_idx, LOOKUP(2, 1/(Y95:BT95&lt;&gt;""), COLUMN(Y95:BT95) - COLUMN(Y95) + 1),
    _xlpm.header_val, INDEX($Y$3:$BT$3, 1, _xlpm.last_col_idx),
    _xlpm.header_date, IF(ISNUMBER(_xlpm.header_val), _xlpm.header_val, DATEVALUE(_xlpm.header_val)),
    IF(_xlpm.header_date &gt; TODAY(), TODAY(), _xlpm.header_date)
)</f>
        <v>46082</v>
      </c>
      <c r="BW95" s="209" cm="1">
        <f t="array" ref="BW95">(LOOKUP(2,1/(BH95:BT95&lt;&gt;""),BH95:BT95))/(INDEX(BH95:BT95,MATCH(TRUE,INDEX((BH95:BT95&lt;&gt;0),0),0)))-1</f>
        <v>0</v>
      </c>
      <c r="BX95" s="210">
        <f t="shared" si="19"/>
        <v>2.0699999999999998</v>
      </c>
      <c r="BY95" s="210">
        <f t="shared" si="20"/>
        <v>12.212999999999999</v>
      </c>
      <c r="BZ95" s="210">
        <f ca="1">IF(L95="BR",'Impostos e Frete'!$F$6,IF(L95="EU",'Impostos e Frete'!$I$3,IF(L95="CN",'Impostos e Frete'!$I$4,IF(L95="JP",'Impostos e Frete'!$I$5,IF(L95="RU",'Impostos e Frete'!$I$7,"ERRO")))))</f>
        <v>0.1410816</v>
      </c>
      <c r="CA95" s="210">
        <f>VLOOKUP(L95,'Impostos e Frete'!$A$3:$B$7,2,0)*'Preços e Condições'!BY95</f>
        <v>1.58769</v>
      </c>
      <c r="CB95" s="147">
        <f t="shared" si="21"/>
        <v>-0.17699999999999999</v>
      </c>
      <c r="CC95" s="147">
        <f>IF(X95="BRL",'Impostos e Frete'!$B$11,'Impostos e Frete'!$B$12)</f>
        <v>9.1999999999999998E-2</v>
      </c>
      <c r="CD95" s="211">
        <f t="shared" ca="1" si="22"/>
        <v>13.8567716</v>
      </c>
      <c r="CE95" s="212">
        <f t="shared" ca="1" si="23"/>
        <v>0.94226046880000003</v>
      </c>
      <c r="CF95" s="213">
        <f>VLOOKUP(L95,'Impostos e Frete'!$A$3:$C$7,3,0)</f>
        <v>105</v>
      </c>
      <c r="CG95" s="213">
        <f t="shared" si="24"/>
        <v>120</v>
      </c>
      <c r="CH95" s="213">
        <f t="shared" si="25"/>
        <v>15</v>
      </c>
      <c r="CI95" s="214">
        <f t="shared" ca="1" si="26"/>
        <v>-0.10277104719829921</v>
      </c>
      <c r="CJ95" s="215">
        <f t="shared" ca="1" si="27"/>
        <v>13.754000552801701</v>
      </c>
      <c r="CK95" s="216">
        <f t="shared" ca="1" si="28"/>
        <v>0.93527203759051569</v>
      </c>
    </row>
    <row r="96" spans="1:89">
      <c r="A96" s="176">
        <v>14137</v>
      </c>
      <c r="B96" s="177" t="s">
        <v>52</v>
      </c>
      <c r="C96" s="178">
        <v>68</v>
      </c>
      <c r="D96" s="178">
        <v>1270</v>
      </c>
      <c r="E96" s="178" t="s">
        <v>50</v>
      </c>
      <c r="F96" s="179" t="s">
        <v>2</v>
      </c>
      <c r="G96" s="189" t="s">
        <v>86</v>
      </c>
      <c r="H96" s="178" t="s">
        <v>42</v>
      </c>
      <c r="I96" s="178">
        <v>32102</v>
      </c>
      <c r="J96" s="178"/>
      <c r="K96" s="178"/>
      <c r="L96" s="178" t="s">
        <v>59</v>
      </c>
      <c r="M96" s="178">
        <v>120</v>
      </c>
      <c r="N96" s="178"/>
      <c r="O96" s="178"/>
      <c r="P96" s="178"/>
      <c r="Q96" s="178"/>
      <c r="R96" s="178" t="s">
        <v>126</v>
      </c>
      <c r="S96" s="181"/>
      <c r="T96" s="181"/>
      <c r="U96" s="182"/>
      <c r="V96" s="182" t="s">
        <v>35</v>
      </c>
      <c r="W96" s="183">
        <v>30</v>
      </c>
      <c r="X96" s="182" t="s">
        <v>51</v>
      </c>
      <c r="Y96" s="184">
        <v>2570</v>
      </c>
      <c r="Z96" s="184">
        <v>2570</v>
      </c>
      <c r="AA96" s="184">
        <v>2570</v>
      </c>
      <c r="AB96" s="184">
        <v>2480</v>
      </c>
      <c r="AC96" s="184">
        <v>2480</v>
      </c>
      <c r="AD96" s="184">
        <v>2480</v>
      </c>
      <c r="AE96" s="184">
        <v>2270</v>
      </c>
      <c r="AF96" s="184">
        <v>2270</v>
      </c>
      <c r="AG96" s="184">
        <v>2270</v>
      </c>
      <c r="AH96" s="184">
        <v>2160</v>
      </c>
      <c r="AI96" s="184">
        <v>2160</v>
      </c>
      <c r="AJ96" s="184">
        <v>2160</v>
      </c>
      <c r="AK96" s="184">
        <v>2160</v>
      </c>
      <c r="AL96" s="146">
        <f>40+(AL93+100)</f>
        <v>2230</v>
      </c>
      <c r="AM96" s="146">
        <f>40+(AM93+100)</f>
        <v>2230</v>
      </c>
      <c r="AN96" s="146">
        <f>40+(AN93+100)</f>
        <v>2230</v>
      </c>
      <c r="AO96" s="184">
        <v>2250</v>
      </c>
      <c r="AP96" s="184">
        <v>2250</v>
      </c>
      <c r="AQ96" s="184">
        <v>2250</v>
      </c>
      <c r="AR96" s="184">
        <v>2250</v>
      </c>
      <c r="AS96" s="184">
        <v>2250</v>
      </c>
      <c r="AT96" s="184">
        <v>2250</v>
      </c>
      <c r="AU96" s="184">
        <v>2180</v>
      </c>
      <c r="AV96" s="184">
        <v>2180</v>
      </c>
      <c r="AW96" s="146">
        <f>AW93+100</f>
        <v>2140</v>
      </c>
      <c r="AX96" s="146">
        <f>AX93+100</f>
        <v>2140</v>
      </c>
      <c r="AY96" s="146">
        <f>AY93+100</f>
        <v>2140</v>
      </c>
      <c r="AZ96" s="184">
        <v>2220</v>
      </c>
      <c r="BA96" s="184">
        <v>2220</v>
      </c>
      <c r="BB96" s="184">
        <v>2220</v>
      </c>
      <c r="BC96" s="184">
        <v>2220</v>
      </c>
      <c r="BD96" s="184">
        <v>2220</v>
      </c>
      <c r="BE96" s="184">
        <v>2220</v>
      </c>
      <c r="BF96" s="184">
        <v>2120</v>
      </c>
      <c r="BG96" s="184">
        <v>2120</v>
      </c>
      <c r="BH96" s="184">
        <v>2120</v>
      </c>
      <c r="BI96" s="184">
        <v>2120</v>
      </c>
      <c r="BJ96" s="184">
        <v>2120</v>
      </c>
      <c r="BK96" s="184">
        <v>2120</v>
      </c>
      <c r="BL96" s="184"/>
      <c r="BM96" s="184"/>
      <c r="BN96" s="184"/>
      <c r="BO96" s="184"/>
      <c r="BP96" s="184"/>
      <c r="BQ96" s="184"/>
      <c r="BR96" s="184"/>
      <c r="BS96" s="184"/>
      <c r="BT96" s="184"/>
      <c r="BU96" s="146" cm="1">
        <f t="array" ref="BU96">LOOKUP(2,1/(Y96:BT96&lt;&gt;""),Y96:BH96)</f>
        <v>2120</v>
      </c>
      <c r="BV96" s="145" cm="1">
        <f t="array" aca="1" ref="BV96" ca="1">_xlfn.LET(
    _xlpm.last_col_idx, LOOKUP(2, 1/(Y96:BT96&lt;&gt;""), COLUMN(Y96:BT96) - COLUMN(Y96) + 1),
    _xlpm.header_val, INDEX($Y$3:$BT$3, 1, _xlpm.last_col_idx),
    _xlpm.header_date, IF(ISNUMBER(_xlpm.header_val), _xlpm.header_val, DATEVALUE(_xlpm.header_val)),
    IF(_xlpm.header_date &gt; TODAY(), TODAY(), _xlpm.header_date)
)</f>
        <v>46082</v>
      </c>
      <c r="BW96" s="209" cm="1">
        <f t="array" ref="BW96">(LOOKUP(2,1/(BH96:BT96&lt;&gt;""),BH96:BT96))/(INDEX(BH96:BT96,MATCH(TRUE,INDEX((BH96:BT96&lt;&gt;0),0),0)))-1</f>
        <v>0</v>
      </c>
      <c r="BX96" s="210">
        <f t="shared" si="19"/>
        <v>2.12</v>
      </c>
      <c r="BY96" s="210">
        <f t="shared" si="20"/>
        <v>12.508000000000001</v>
      </c>
      <c r="BZ96" s="210">
        <f ca="1">IF(L96="BR",'Impostos e Frete'!$F$6,IF(L96="EU",'Impostos e Frete'!$I$3,IF(L96="CN",'Impostos e Frete'!$I$4,IF(L96="JP",'Impostos e Frete'!$I$5,IF(L96="RU",'Impostos e Frete'!$I$7,"ERRO")))))</f>
        <v>0.1410816</v>
      </c>
      <c r="CA96" s="210">
        <f>VLOOKUP(L96,'Impostos e Frete'!$A$3:$B$7,2,0)*'Preços e Condições'!BY96</f>
        <v>1.6260400000000002</v>
      </c>
      <c r="CB96" s="147">
        <f t="shared" si="21"/>
        <v>-0.17699999999999999</v>
      </c>
      <c r="CC96" s="147">
        <f>IF(X96="BRL",'Impostos e Frete'!$B$11,'Impostos e Frete'!$B$12)</f>
        <v>9.1999999999999998E-2</v>
      </c>
      <c r="CD96" s="211">
        <f t="shared" ca="1" si="22"/>
        <v>14.190121600000001</v>
      </c>
      <c r="CE96" s="212">
        <f t="shared" ca="1" si="23"/>
        <v>0.96492826880000004</v>
      </c>
      <c r="CF96" s="213">
        <f>VLOOKUP(L96,'Impostos e Frete'!$A$3:$C$7,3,0)</f>
        <v>105</v>
      </c>
      <c r="CG96" s="213">
        <f t="shared" si="24"/>
        <v>120</v>
      </c>
      <c r="CH96" s="213">
        <f t="shared" si="25"/>
        <v>15</v>
      </c>
      <c r="CI96" s="214">
        <f t="shared" ca="1" si="26"/>
        <v>-0.10524339281908901</v>
      </c>
      <c r="CJ96" s="215">
        <f t="shared" ca="1" si="27"/>
        <v>14.084878207180912</v>
      </c>
      <c r="CK96" s="216">
        <f t="shared" ca="1" si="28"/>
        <v>0.95777171808830197</v>
      </c>
    </row>
    <row r="97" spans="1:89">
      <c r="A97" s="176">
        <v>14139</v>
      </c>
      <c r="B97" s="177">
        <v>689</v>
      </c>
      <c r="C97" s="178">
        <v>68</v>
      </c>
      <c r="D97" s="178">
        <v>1870</v>
      </c>
      <c r="E97" s="178" t="s">
        <v>50</v>
      </c>
      <c r="F97" s="179" t="s">
        <v>2</v>
      </c>
      <c r="G97" s="189" t="s">
        <v>87</v>
      </c>
      <c r="H97" s="178" t="s">
        <v>63</v>
      </c>
      <c r="I97" s="178">
        <v>32166</v>
      </c>
      <c r="J97" s="178"/>
      <c r="K97" s="178"/>
      <c r="L97" s="178" t="s">
        <v>59</v>
      </c>
      <c r="M97" s="178">
        <v>120</v>
      </c>
      <c r="N97" s="178"/>
      <c r="O97" s="178"/>
      <c r="P97" s="178"/>
      <c r="Q97" s="178"/>
      <c r="R97" s="178" t="s">
        <v>126</v>
      </c>
      <c r="S97" s="181"/>
      <c r="T97" s="181"/>
      <c r="U97" s="182"/>
      <c r="V97" s="182" t="s">
        <v>35</v>
      </c>
      <c r="W97" s="183">
        <v>100</v>
      </c>
      <c r="X97" s="182" t="s">
        <v>51</v>
      </c>
      <c r="Y97" s="184">
        <v>2280</v>
      </c>
      <c r="Z97" s="184">
        <v>2280</v>
      </c>
      <c r="AA97" s="184">
        <v>2280</v>
      </c>
      <c r="AB97" s="184">
        <v>2090</v>
      </c>
      <c r="AC97" s="184">
        <v>2090</v>
      </c>
      <c r="AD97" s="184">
        <v>2090</v>
      </c>
      <c r="AE97" s="184">
        <v>1790</v>
      </c>
      <c r="AF97" s="184">
        <v>1790</v>
      </c>
      <c r="AG97" s="184">
        <v>1790</v>
      </c>
      <c r="AH97" s="184">
        <v>1770</v>
      </c>
      <c r="AI97" s="184">
        <v>1770</v>
      </c>
      <c r="AJ97" s="184">
        <v>1770</v>
      </c>
      <c r="AK97" s="184">
        <v>1770</v>
      </c>
      <c r="AL97" s="184">
        <v>1800</v>
      </c>
      <c r="AM97" s="184">
        <v>1800</v>
      </c>
      <c r="AN97" s="184">
        <v>1800</v>
      </c>
      <c r="AO97" s="184">
        <v>1880</v>
      </c>
      <c r="AP97" s="184">
        <v>1880</v>
      </c>
      <c r="AQ97" s="184">
        <v>1880</v>
      </c>
      <c r="AR97" s="184">
        <v>1880</v>
      </c>
      <c r="AS97" s="184">
        <v>1880</v>
      </c>
      <c r="AT97" s="184">
        <v>1880</v>
      </c>
      <c r="AU97" s="184">
        <v>1810</v>
      </c>
      <c r="AV97" s="184">
        <v>1810</v>
      </c>
      <c r="AW97" s="184">
        <v>1770</v>
      </c>
      <c r="AX97" s="184">
        <v>1770</v>
      </c>
      <c r="AY97" s="184">
        <v>1770</v>
      </c>
      <c r="AZ97" s="184">
        <v>1850</v>
      </c>
      <c r="BA97" s="184">
        <v>1850</v>
      </c>
      <c r="BB97" s="184">
        <v>1850</v>
      </c>
      <c r="BC97" s="184">
        <v>1850</v>
      </c>
      <c r="BD97" s="184">
        <v>1850</v>
      </c>
      <c r="BE97" s="184">
        <v>1850</v>
      </c>
      <c r="BF97" s="184">
        <v>1750</v>
      </c>
      <c r="BG97" s="184">
        <v>1750</v>
      </c>
      <c r="BH97" s="184">
        <v>1750</v>
      </c>
      <c r="BI97" s="184">
        <v>1750</v>
      </c>
      <c r="BJ97" s="184">
        <v>1750</v>
      </c>
      <c r="BK97" s="184"/>
      <c r="BL97" s="184"/>
      <c r="BM97" s="184"/>
      <c r="BN97" s="184"/>
      <c r="BO97" s="184">
        <v>1730</v>
      </c>
      <c r="BP97" s="184">
        <v>1730</v>
      </c>
      <c r="BQ97" s="184">
        <v>1730</v>
      </c>
      <c r="BR97" s="184"/>
      <c r="BS97" s="184"/>
      <c r="BT97" s="184"/>
      <c r="BU97" s="146" cm="1">
        <f t="array" ref="BU97">LOOKUP(2,1/(Y97:BT97&lt;&gt;""),Y97:BH97)</f>
        <v>1730</v>
      </c>
      <c r="BV97" s="145" cm="1">
        <f t="array" aca="1" ref="BV97" ca="1">_xlfn.LET(
    _xlpm.last_col_idx, LOOKUP(2, 1/(Y97:BT97&lt;&gt;""), COLUMN(Y97:BT97) - COLUMN(Y97) + 1),
    _xlpm.header_val, INDEX($Y$3:$BT$3, 1, _xlpm.last_col_idx),
    _xlpm.header_date, IF(ISNUMBER(_xlpm.header_val), _xlpm.header_val, DATEVALUE(_xlpm.header_val)),
    IF(_xlpm.header_date &gt; TODAY(), TODAY(), _xlpm.header_date)
)</f>
        <v>46212</v>
      </c>
      <c r="BW97" s="209" cm="1">
        <f t="array" ref="BW97">(LOOKUP(2,1/(BH97:BT97&lt;&gt;""),BH97:BT97))/(INDEX(BH97:BT97,MATCH(TRUE,INDEX((BH97:BT97&lt;&gt;0),0),0)))-1</f>
        <v>-1.1428571428571455E-2</v>
      </c>
      <c r="BX97" s="210">
        <f t="shared" si="19"/>
        <v>1.73</v>
      </c>
      <c r="BY97" s="210">
        <f t="shared" si="20"/>
        <v>10.207000000000001</v>
      </c>
      <c r="BZ97" s="210">
        <f ca="1">IF(L97="BR",'Impostos e Frete'!$F$6,IF(L97="EU",'Impostos e Frete'!$I$3,IF(L97="CN",'Impostos e Frete'!$I$4,IF(L97="JP",'Impostos e Frete'!$I$5,IF(L97="RU",'Impostos e Frete'!$I$7,"ERRO")))))</f>
        <v>0.1410816</v>
      </c>
      <c r="CA97" s="210">
        <f>VLOOKUP(L97,'Impostos e Frete'!$A$3:$B$7,2,0)*'Preços e Condições'!BY97</f>
        <v>1.32691</v>
      </c>
      <c r="CB97" s="147">
        <f t="shared" si="21"/>
        <v>-0.17699999999999999</v>
      </c>
      <c r="CC97" s="147">
        <f>IF(X97="BRL",'Impostos e Frete'!$B$11,'Impostos e Frete'!$B$12)</f>
        <v>9.1999999999999998E-2</v>
      </c>
      <c r="CD97" s="211">
        <f t="shared" ca="1" si="22"/>
        <v>11.589991600000001</v>
      </c>
      <c r="CE97" s="212">
        <f t="shared" ca="1" si="23"/>
        <v>0.78811942880000019</v>
      </c>
      <c r="CF97" s="213">
        <f>VLOOKUP(L97,'Impostos e Frete'!$A$3:$C$7,3,0)</f>
        <v>105</v>
      </c>
      <c r="CG97" s="213">
        <f t="shared" si="24"/>
        <v>120</v>
      </c>
      <c r="CH97" s="213">
        <f t="shared" si="25"/>
        <v>15</v>
      </c>
      <c r="CI97" s="214">
        <f t="shared" ca="1" si="26"/>
        <v>-8.5959096976923277E-2</v>
      </c>
      <c r="CJ97" s="215">
        <f t="shared" ca="1" si="27"/>
        <v>11.504032503023078</v>
      </c>
      <c r="CK97" s="216">
        <f t="shared" ca="1" si="28"/>
        <v>0.7822742102055692</v>
      </c>
    </row>
    <row r="98" spans="1:89">
      <c r="A98" s="176">
        <v>14139</v>
      </c>
      <c r="B98" s="177">
        <v>689</v>
      </c>
      <c r="C98" s="178">
        <v>68</v>
      </c>
      <c r="D98" s="178">
        <v>1870</v>
      </c>
      <c r="E98" s="178" t="s">
        <v>50</v>
      </c>
      <c r="F98" s="179" t="s">
        <v>2</v>
      </c>
      <c r="G98" s="189" t="s">
        <v>87</v>
      </c>
      <c r="H98" s="178" t="s">
        <v>63</v>
      </c>
      <c r="I98" s="178">
        <v>32166</v>
      </c>
      <c r="J98" s="178"/>
      <c r="K98" s="178"/>
      <c r="L98" s="178" t="s">
        <v>59</v>
      </c>
      <c r="M98" s="178">
        <v>120</v>
      </c>
      <c r="N98" s="178"/>
      <c r="O98" s="178"/>
      <c r="P98" s="178"/>
      <c r="Q98" s="178"/>
      <c r="R98" s="178" t="s">
        <v>126</v>
      </c>
      <c r="S98" s="181"/>
      <c r="T98" s="181"/>
      <c r="U98" s="182"/>
      <c r="V98" s="182" t="s">
        <v>35</v>
      </c>
      <c r="W98" s="183">
        <v>70</v>
      </c>
      <c r="X98" s="182" t="s">
        <v>51</v>
      </c>
      <c r="Y98" s="184">
        <v>2300</v>
      </c>
      <c r="Z98" s="184">
        <v>2300</v>
      </c>
      <c r="AA98" s="184">
        <v>2300</v>
      </c>
      <c r="AB98" s="184">
        <v>2110</v>
      </c>
      <c r="AC98" s="184">
        <v>2110</v>
      </c>
      <c r="AD98" s="184">
        <v>2110</v>
      </c>
      <c r="AE98" s="184">
        <v>1810</v>
      </c>
      <c r="AF98" s="184">
        <v>1810</v>
      </c>
      <c r="AG98" s="184">
        <v>1810</v>
      </c>
      <c r="AH98" s="184">
        <v>1790</v>
      </c>
      <c r="AI98" s="184">
        <v>1790</v>
      </c>
      <c r="AJ98" s="184">
        <v>1790</v>
      </c>
      <c r="AK98" s="184">
        <v>1790</v>
      </c>
      <c r="AL98" s="146">
        <f>40+(AL97+20)</f>
        <v>1860</v>
      </c>
      <c r="AM98" s="146">
        <f>40+(AM97+20)</f>
        <v>1860</v>
      </c>
      <c r="AN98" s="146">
        <f>40+(AN97+20)</f>
        <v>1860</v>
      </c>
      <c r="AO98" s="184">
        <v>1900</v>
      </c>
      <c r="AP98" s="184">
        <v>1900</v>
      </c>
      <c r="AQ98" s="184">
        <v>1900</v>
      </c>
      <c r="AR98" s="184">
        <v>1900</v>
      </c>
      <c r="AS98" s="184">
        <v>1900</v>
      </c>
      <c r="AT98" s="184">
        <v>1900</v>
      </c>
      <c r="AU98" s="184">
        <v>1830</v>
      </c>
      <c r="AV98" s="184">
        <v>1830</v>
      </c>
      <c r="AW98" s="146">
        <f>AW97+20</f>
        <v>1790</v>
      </c>
      <c r="AX98" s="146">
        <f>AX97+20</f>
        <v>1790</v>
      </c>
      <c r="AY98" s="146">
        <f>AY97+20</f>
        <v>1790</v>
      </c>
      <c r="AZ98" s="184">
        <v>1870</v>
      </c>
      <c r="BA98" s="184">
        <v>1870</v>
      </c>
      <c r="BB98" s="184">
        <v>1870</v>
      </c>
      <c r="BC98" s="184">
        <v>1870</v>
      </c>
      <c r="BD98" s="184">
        <v>1870</v>
      </c>
      <c r="BE98" s="184">
        <v>1870</v>
      </c>
      <c r="BF98" s="184">
        <v>1770</v>
      </c>
      <c r="BG98" s="184">
        <v>1770</v>
      </c>
      <c r="BH98" s="184">
        <v>1770</v>
      </c>
      <c r="BI98" s="184">
        <v>1770</v>
      </c>
      <c r="BJ98" s="184">
        <v>1770</v>
      </c>
      <c r="BK98" s="184"/>
      <c r="BL98" s="184"/>
      <c r="BM98" s="184"/>
      <c r="BN98" s="184"/>
      <c r="BO98" s="184">
        <v>1750</v>
      </c>
      <c r="BP98" s="184">
        <v>1750</v>
      </c>
      <c r="BQ98" s="184">
        <v>1750</v>
      </c>
      <c r="BR98" s="184"/>
      <c r="BS98" s="184"/>
      <c r="BT98" s="184"/>
      <c r="BU98" s="146" cm="1">
        <f t="array" ref="BU98">LOOKUP(2,1/(Y98:BT98&lt;&gt;""),Y98:BH98)</f>
        <v>1750</v>
      </c>
      <c r="BV98" s="145" cm="1">
        <f t="array" aca="1" ref="BV98" ca="1">_xlfn.LET(
    _xlpm.last_col_idx, LOOKUP(2, 1/(Y98:BT98&lt;&gt;""), COLUMN(Y98:BT98) - COLUMN(Y98) + 1),
    _xlpm.header_val, INDEX($Y$3:$BT$3, 1, _xlpm.last_col_idx),
    _xlpm.header_date, IF(ISNUMBER(_xlpm.header_val), _xlpm.header_val, DATEVALUE(_xlpm.header_val)),
    IF(_xlpm.header_date &gt; TODAY(), TODAY(), _xlpm.header_date)
)</f>
        <v>46212</v>
      </c>
      <c r="BW98" s="209" cm="1">
        <f t="array" ref="BW98">(LOOKUP(2,1/(BH98:BT98&lt;&gt;""),BH98:BT98))/(INDEX(BH98:BT98,MATCH(TRUE,INDEX((BH98:BT98&lt;&gt;0),0),0)))-1</f>
        <v>-1.1299435028248594E-2</v>
      </c>
      <c r="BX98" s="210">
        <f t="shared" si="19"/>
        <v>1.75</v>
      </c>
      <c r="BY98" s="210">
        <f t="shared" si="20"/>
        <v>10.325000000000001</v>
      </c>
      <c r="BZ98" s="210">
        <f ca="1">IF(L98="BR",'Impostos e Frete'!$F$6,IF(L98="EU",'Impostos e Frete'!$I$3,IF(L98="CN",'Impostos e Frete'!$I$4,IF(L98="JP",'Impostos e Frete'!$I$5,IF(L98="RU",'Impostos e Frete'!$I$7,"ERRO")))))</f>
        <v>0.1410816</v>
      </c>
      <c r="CA98" s="210">
        <f>VLOOKUP(L98,'Impostos e Frete'!$A$3:$B$7,2,0)*'Preços e Condições'!BY98</f>
        <v>1.3422500000000002</v>
      </c>
      <c r="CB98" s="147">
        <f t="shared" si="21"/>
        <v>-0.17699999999999999</v>
      </c>
      <c r="CC98" s="147">
        <f>IF(X98="BRL",'Impostos e Frete'!$B$11,'Impostos e Frete'!$B$12)</f>
        <v>9.1999999999999998E-2</v>
      </c>
      <c r="CD98" s="211">
        <f t="shared" ca="1" si="22"/>
        <v>11.723331600000002</v>
      </c>
      <c r="CE98" s="212">
        <f t="shared" ca="1" si="23"/>
        <v>0.79718654880000006</v>
      </c>
      <c r="CF98" s="213">
        <f>VLOOKUP(L98,'Impostos e Frete'!$A$3:$C$7,3,0)</f>
        <v>105</v>
      </c>
      <c r="CG98" s="213">
        <f t="shared" si="24"/>
        <v>120</v>
      </c>
      <c r="CH98" s="213">
        <f t="shared" si="25"/>
        <v>15</v>
      </c>
      <c r="CI98" s="214">
        <f t="shared" ca="1" si="26"/>
        <v>-8.6948035225239195E-2</v>
      </c>
      <c r="CJ98" s="215">
        <f t="shared" ca="1" si="27"/>
        <v>11.636383564774762</v>
      </c>
      <c r="CK98" s="216">
        <f t="shared" ca="1" si="28"/>
        <v>0.79127408240468378</v>
      </c>
    </row>
    <row r="99" spans="1:89">
      <c r="A99" s="176">
        <v>14139</v>
      </c>
      <c r="B99" s="177">
        <v>689</v>
      </c>
      <c r="C99" s="178">
        <v>68</v>
      </c>
      <c r="D99" s="178">
        <v>1870</v>
      </c>
      <c r="E99" s="178" t="s">
        <v>50</v>
      </c>
      <c r="F99" s="179" t="s">
        <v>2</v>
      </c>
      <c r="G99" s="189" t="s">
        <v>87</v>
      </c>
      <c r="H99" s="178" t="s">
        <v>63</v>
      </c>
      <c r="I99" s="178">
        <v>32166</v>
      </c>
      <c r="J99" s="178"/>
      <c r="K99" s="178"/>
      <c r="L99" s="178" t="s">
        <v>59</v>
      </c>
      <c r="M99" s="178">
        <v>120</v>
      </c>
      <c r="N99" s="178"/>
      <c r="O99" s="178"/>
      <c r="P99" s="178"/>
      <c r="Q99" s="178"/>
      <c r="R99" s="178" t="s">
        <v>126</v>
      </c>
      <c r="S99" s="181"/>
      <c r="T99" s="181"/>
      <c r="U99" s="182"/>
      <c r="V99" s="182" t="s">
        <v>35</v>
      </c>
      <c r="W99" s="183">
        <v>50</v>
      </c>
      <c r="X99" s="182" t="s">
        <v>51</v>
      </c>
      <c r="Y99" s="184">
        <v>2330</v>
      </c>
      <c r="Z99" s="184">
        <v>2330</v>
      </c>
      <c r="AA99" s="184">
        <v>2330</v>
      </c>
      <c r="AB99" s="184">
        <v>2140</v>
      </c>
      <c r="AC99" s="184">
        <v>2140</v>
      </c>
      <c r="AD99" s="184">
        <v>2140</v>
      </c>
      <c r="AE99" s="184">
        <v>1840</v>
      </c>
      <c r="AF99" s="184">
        <v>1840</v>
      </c>
      <c r="AG99" s="184">
        <v>1840</v>
      </c>
      <c r="AH99" s="184">
        <v>1820</v>
      </c>
      <c r="AI99" s="184">
        <v>1820</v>
      </c>
      <c r="AJ99" s="184">
        <v>1820</v>
      </c>
      <c r="AK99" s="184">
        <v>1820</v>
      </c>
      <c r="AL99" s="146">
        <f>40+(AL97+50)</f>
        <v>1890</v>
      </c>
      <c r="AM99" s="146">
        <f>40+(AM97+50)</f>
        <v>1890</v>
      </c>
      <c r="AN99" s="146">
        <f>40+(AN97+50)</f>
        <v>1890</v>
      </c>
      <c r="AO99" s="184">
        <v>1930</v>
      </c>
      <c r="AP99" s="184">
        <v>1930</v>
      </c>
      <c r="AQ99" s="184">
        <v>1930</v>
      </c>
      <c r="AR99" s="184">
        <v>1930</v>
      </c>
      <c r="AS99" s="184">
        <v>1930</v>
      </c>
      <c r="AT99" s="184">
        <v>1930</v>
      </c>
      <c r="AU99" s="184">
        <v>1860</v>
      </c>
      <c r="AV99" s="184">
        <v>1860</v>
      </c>
      <c r="AW99" s="146">
        <f>AW97+50</f>
        <v>1820</v>
      </c>
      <c r="AX99" s="146">
        <f>AX97+50</f>
        <v>1820</v>
      </c>
      <c r="AY99" s="146">
        <f>AY97+50</f>
        <v>1820</v>
      </c>
      <c r="AZ99" s="184">
        <v>1900</v>
      </c>
      <c r="BA99" s="184">
        <v>1900</v>
      </c>
      <c r="BB99" s="184">
        <v>1900</v>
      </c>
      <c r="BC99" s="184">
        <v>1900</v>
      </c>
      <c r="BD99" s="184">
        <v>1900</v>
      </c>
      <c r="BE99" s="184">
        <v>1900</v>
      </c>
      <c r="BF99" s="184">
        <v>1800</v>
      </c>
      <c r="BG99" s="184">
        <v>1800</v>
      </c>
      <c r="BH99" s="184">
        <v>1800</v>
      </c>
      <c r="BI99" s="184">
        <v>1800</v>
      </c>
      <c r="BJ99" s="184">
        <v>1800</v>
      </c>
      <c r="BK99" s="184"/>
      <c r="BL99" s="184"/>
      <c r="BM99" s="184"/>
      <c r="BN99" s="184"/>
      <c r="BO99" s="184">
        <v>1780</v>
      </c>
      <c r="BP99" s="184">
        <v>1780</v>
      </c>
      <c r="BQ99" s="184">
        <v>1780</v>
      </c>
      <c r="BR99" s="184"/>
      <c r="BS99" s="184"/>
      <c r="BT99" s="184"/>
      <c r="BU99" s="146" cm="1">
        <f t="array" ref="BU99">LOOKUP(2,1/(Y99:BT99&lt;&gt;""),Y99:BH99)</f>
        <v>1780</v>
      </c>
      <c r="BV99" s="145" cm="1">
        <f t="array" aca="1" ref="BV99" ca="1">_xlfn.LET(
    _xlpm.last_col_idx, LOOKUP(2, 1/(Y99:BT99&lt;&gt;""), COLUMN(Y99:BT99) - COLUMN(Y99) + 1),
    _xlpm.header_val, INDEX($Y$3:$BT$3, 1, _xlpm.last_col_idx),
    _xlpm.header_date, IF(ISNUMBER(_xlpm.header_val), _xlpm.header_val, DATEVALUE(_xlpm.header_val)),
    IF(_xlpm.header_date &gt; TODAY(), TODAY(), _xlpm.header_date)
)</f>
        <v>46212</v>
      </c>
      <c r="BW99" s="209" cm="1">
        <f t="array" ref="BW99">(LOOKUP(2,1/(BH99:BT99&lt;&gt;""),BH99:BT99))/(INDEX(BH99:BT99,MATCH(TRUE,INDEX((BH99:BT99&lt;&gt;0),0),0)))-1</f>
        <v>-1.1111111111111072E-2</v>
      </c>
      <c r="BX99" s="210">
        <f t="shared" si="19"/>
        <v>1.78</v>
      </c>
      <c r="BY99" s="210">
        <f t="shared" si="20"/>
        <v>10.502000000000001</v>
      </c>
      <c r="BZ99" s="210">
        <f ca="1">IF(L99="BR",'Impostos e Frete'!$F$6,IF(L99="EU",'Impostos e Frete'!$I$3,IF(L99="CN",'Impostos e Frete'!$I$4,IF(L99="JP",'Impostos e Frete'!$I$5,IF(L99="RU",'Impostos e Frete'!$I$7,"ERRO")))))</f>
        <v>0.1410816</v>
      </c>
      <c r="CA99" s="210">
        <f>VLOOKUP(L99,'Impostos e Frete'!$A$3:$B$7,2,0)*'Preços e Condições'!BY99</f>
        <v>1.3652600000000001</v>
      </c>
      <c r="CB99" s="147">
        <f t="shared" si="21"/>
        <v>-0.17699999999999999</v>
      </c>
      <c r="CC99" s="147">
        <f>IF(X99="BRL",'Impostos e Frete'!$B$11,'Impostos e Frete'!$B$12)</f>
        <v>9.1999999999999998E-2</v>
      </c>
      <c r="CD99" s="211">
        <f t="shared" ca="1" si="22"/>
        <v>11.923341600000002</v>
      </c>
      <c r="CE99" s="212">
        <f t="shared" ca="1" si="23"/>
        <v>0.81078722880000009</v>
      </c>
      <c r="CF99" s="213">
        <f>VLOOKUP(L99,'Impostos e Frete'!$A$3:$C$7,3,0)</f>
        <v>105</v>
      </c>
      <c r="CG99" s="213">
        <f t="shared" si="24"/>
        <v>120</v>
      </c>
      <c r="CH99" s="213">
        <f t="shared" si="25"/>
        <v>15</v>
      </c>
      <c r="CI99" s="214">
        <f t="shared" ca="1" si="26"/>
        <v>-8.8431442597714849E-2</v>
      </c>
      <c r="CJ99" s="215">
        <f t="shared" ca="1" si="27"/>
        <v>11.834910157402287</v>
      </c>
      <c r="CK99" s="216">
        <f t="shared" ca="1" si="28"/>
        <v>0.80477389070335559</v>
      </c>
    </row>
    <row r="100" spans="1:89">
      <c r="A100" s="176">
        <v>14139</v>
      </c>
      <c r="B100" s="177">
        <v>689</v>
      </c>
      <c r="C100" s="178">
        <v>68</v>
      </c>
      <c r="D100" s="178">
        <v>1870</v>
      </c>
      <c r="E100" s="178" t="s">
        <v>50</v>
      </c>
      <c r="F100" s="179" t="s">
        <v>2</v>
      </c>
      <c r="G100" s="189" t="s">
        <v>87</v>
      </c>
      <c r="H100" s="178" t="s">
        <v>63</v>
      </c>
      <c r="I100" s="178">
        <v>32166</v>
      </c>
      <c r="J100" s="178"/>
      <c r="K100" s="178"/>
      <c r="L100" s="178" t="s">
        <v>59</v>
      </c>
      <c r="M100" s="178">
        <v>120</v>
      </c>
      <c r="N100" s="178"/>
      <c r="O100" s="178"/>
      <c r="P100" s="178"/>
      <c r="Q100" s="178"/>
      <c r="R100" s="178" t="s">
        <v>126</v>
      </c>
      <c r="S100" s="181"/>
      <c r="T100" s="181"/>
      <c r="U100" s="182"/>
      <c r="V100" s="182" t="s">
        <v>35</v>
      </c>
      <c r="W100" s="183">
        <v>30</v>
      </c>
      <c r="X100" s="182" t="s">
        <v>51</v>
      </c>
      <c r="Y100" s="184">
        <v>2380</v>
      </c>
      <c r="Z100" s="184">
        <v>2380</v>
      </c>
      <c r="AA100" s="184">
        <v>2380</v>
      </c>
      <c r="AB100" s="184">
        <v>2190</v>
      </c>
      <c r="AC100" s="184">
        <v>2190</v>
      </c>
      <c r="AD100" s="184">
        <v>2190</v>
      </c>
      <c r="AE100" s="184">
        <v>1890</v>
      </c>
      <c r="AF100" s="184">
        <v>1890</v>
      </c>
      <c r="AG100" s="184">
        <v>1890</v>
      </c>
      <c r="AH100" s="184">
        <v>1870</v>
      </c>
      <c r="AI100" s="184">
        <v>1870</v>
      </c>
      <c r="AJ100" s="184">
        <v>1870</v>
      </c>
      <c r="AK100" s="184">
        <v>1870</v>
      </c>
      <c r="AL100" s="146">
        <f>40+(AL97+100)</f>
        <v>1940</v>
      </c>
      <c r="AM100" s="146">
        <f>40+(AM97+100)</f>
        <v>1940</v>
      </c>
      <c r="AN100" s="146">
        <f>40+(AN97+100)</f>
        <v>1940</v>
      </c>
      <c r="AO100" s="184">
        <v>1980</v>
      </c>
      <c r="AP100" s="184">
        <v>1980</v>
      </c>
      <c r="AQ100" s="184">
        <v>1980</v>
      </c>
      <c r="AR100" s="184">
        <v>1980</v>
      </c>
      <c r="AS100" s="184">
        <v>1980</v>
      </c>
      <c r="AT100" s="184">
        <v>1980</v>
      </c>
      <c r="AU100" s="184">
        <v>1910</v>
      </c>
      <c r="AV100" s="184">
        <v>1910</v>
      </c>
      <c r="AW100" s="146">
        <f>AW97+100</f>
        <v>1870</v>
      </c>
      <c r="AX100" s="146">
        <f>AX97+100</f>
        <v>1870</v>
      </c>
      <c r="AY100" s="146">
        <f>AY97+100</f>
        <v>1870</v>
      </c>
      <c r="AZ100" s="184">
        <v>1950</v>
      </c>
      <c r="BA100" s="184">
        <v>1950</v>
      </c>
      <c r="BB100" s="184">
        <v>1950</v>
      </c>
      <c r="BC100" s="184">
        <v>1950</v>
      </c>
      <c r="BD100" s="184">
        <v>1950</v>
      </c>
      <c r="BE100" s="184">
        <v>1950</v>
      </c>
      <c r="BF100" s="184">
        <v>1850</v>
      </c>
      <c r="BG100" s="184">
        <v>1850</v>
      </c>
      <c r="BH100" s="184">
        <v>1850</v>
      </c>
      <c r="BI100" s="184">
        <v>1850</v>
      </c>
      <c r="BJ100" s="184">
        <v>1850</v>
      </c>
      <c r="BK100" s="184"/>
      <c r="BL100" s="184"/>
      <c r="BM100" s="184"/>
      <c r="BN100" s="184"/>
      <c r="BO100" s="184">
        <v>1830</v>
      </c>
      <c r="BP100" s="184">
        <v>1830</v>
      </c>
      <c r="BQ100" s="184">
        <v>1830</v>
      </c>
      <c r="BR100" s="184"/>
      <c r="BS100" s="184"/>
      <c r="BT100" s="184"/>
      <c r="BU100" s="146" cm="1">
        <f t="array" ref="BU100">LOOKUP(2,1/(Y100:BT100&lt;&gt;""),Y100:BH100)</f>
        <v>1830</v>
      </c>
      <c r="BV100" s="145" cm="1">
        <f t="array" aca="1" ref="BV100" ca="1">_xlfn.LET(
    _xlpm.last_col_idx, LOOKUP(2, 1/(Y100:BT100&lt;&gt;""), COLUMN(Y100:BT100) - COLUMN(Y100) + 1),
    _xlpm.header_val, INDEX($Y$3:$BT$3, 1, _xlpm.last_col_idx),
    _xlpm.header_date, IF(ISNUMBER(_xlpm.header_val), _xlpm.header_val, DATEVALUE(_xlpm.header_val)),
    IF(_xlpm.header_date &gt; TODAY(), TODAY(), _xlpm.header_date)
)</f>
        <v>46212</v>
      </c>
      <c r="BW100" s="209" cm="1">
        <f t="array" ref="BW100">(LOOKUP(2,1/(BH100:BT100&lt;&gt;""),BH100:BT100))/(INDEX(BH100:BT100,MATCH(TRUE,INDEX((BH100:BT100&lt;&gt;0),0),0)))-1</f>
        <v>-1.0810810810810811E-2</v>
      </c>
      <c r="BX100" s="210">
        <f t="shared" si="19"/>
        <v>1.83</v>
      </c>
      <c r="BY100" s="210">
        <f t="shared" si="20"/>
        <v>10.797000000000001</v>
      </c>
      <c r="BZ100" s="210">
        <f ca="1">IF(L100="BR",'Impostos e Frete'!$F$6,IF(L100="EU",'Impostos e Frete'!$I$3,IF(L100="CN",'Impostos e Frete'!$I$4,IF(L100="JP",'Impostos e Frete'!$I$5,IF(L100="RU",'Impostos e Frete'!$I$7,"ERRO")))))</f>
        <v>0.1410816</v>
      </c>
      <c r="CA100" s="210">
        <f>VLOOKUP(L100,'Impostos e Frete'!$A$3:$B$7,2,0)*'Preços e Condições'!BY100</f>
        <v>1.40361</v>
      </c>
      <c r="CB100" s="147">
        <f t="shared" si="21"/>
        <v>-0.17699999999999999</v>
      </c>
      <c r="CC100" s="147">
        <f>IF(X100="BRL",'Impostos e Frete'!$B$11,'Impostos e Frete'!$B$12)</f>
        <v>9.1999999999999998E-2</v>
      </c>
      <c r="CD100" s="211">
        <f t="shared" ca="1" si="22"/>
        <v>12.256691600000002</v>
      </c>
      <c r="CE100" s="212">
        <f t="shared" ca="1" si="23"/>
        <v>0.83345502880000011</v>
      </c>
      <c r="CF100" s="213">
        <f>VLOOKUP(L100,'Impostos e Frete'!$A$3:$C$7,3,0)</f>
        <v>105</v>
      </c>
      <c r="CG100" s="213">
        <f t="shared" si="24"/>
        <v>120</v>
      </c>
      <c r="CH100" s="213">
        <f t="shared" si="25"/>
        <v>15</v>
      </c>
      <c r="CI100" s="214">
        <f t="shared" ca="1" si="26"/>
        <v>-9.0903788218504644E-2</v>
      </c>
      <c r="CJ100" s="215">
        <f t="shared" ca="1" si="27"/>
        <v>12.165787811781497</v>
      </c>
      <c r="CK100" s="216">
        <f t="shared" ca="1" si="28"/>
        <v>0.82727357120114176</v>
      </c>
    </row>
    <row r="101" spans="1:89">
      <c r="A101" s="176">
        <v>14140</v>
      </c>
      <c r="B101" s="177">
        <v>104</v>
      </c>
      <c r="C101" s="178">
        <v>80</v>
      </c>
      <c r="D101" s="178">
        <v>1870</v>
      </c>
      <c r="E101" s="178" t="s">
        <v>50</v>
      </c>
      <c r="F101" s="179" t="s">
        <v>2</v>
      </c>
      <c r="G101" s="189" t="s">
        <v>146</v>
      </c>
      <c r="H101" s="178" t="s">
        <v>43</v>
      </c>
      <c r="I101" s="178">
        <v>32113</v>
      </c>
      <c r="J101" s="178"/>
      <c r="K101" s="178"/>
      <c r="L101" s="178" t="s">
        <v>59</v>
      </c>
      <c r="M101" s="178">
        <v>120</v>
      </c>
      <c r="N101" s="178"/>
      <c r="O101" s="178"/>
      <c r="P101" s="178"/>
      <c r="Q101" s="178"/>
      <c r="R101" s="178" t="s">
        <v>126</v>
      </c>
      <c r="S101" s="181"/>
      <c r="T101" s="181"/>
      <c r="U101" s="182"/>
      <c r="V101" s="182" t="s">
        <v>35</v>
      </c>
      <c r="W101" s="183">
        <v>100</v>
      </c>
      <c r="X101" s="182" t="s">
        <v>51</v>
      </c>
      <c r="Y101" s="184">
        <v>2570</v>
      </c>
      <c r="Z101" s="184">
        <v>2570</v>
      </c>
      <c r="AA101" s="184">
        <v>2570</v>
      </c>
      <c r="AB101" s="184">
        <v>2470</v>
      </c>
      <c r="AC101" s="184">
        <v>2470</v>
      </c>
      <c r="AD101" s="184">
        <v>2470</v>
      </c>
      <c r="AE101" s="184">
        <v>2250</v>
      </c>
      <c r="AF101" s="184">
        <v>2250</v>
      </c>
      <c r="AG101" s="184">
        <v>2250</v>
      </c>
      <c r="AH101" s="184">
        <v>2130</v>
      </c>
      <c r="AI101" s="184">
        <v>2130</v>
      </c>
      <c r="AJ101" s="184">
        <v>2130</v>
      </c>
      <c r="AK101" s="184">
        <v>2130</v>
      </c>
      <c r="AL101" s="184">
        <v>2160</v>
      </c>
      <c r="AM101" s="184">
        <v>2160</v>
      </c>
      <c r="AN101" s="184">
        <v>2160</v>
      </c>
      <c r="AO101" s="184">
        <v>2280</v>
      </c>
      <c r="AP101" s="184">
        <v>2280</v>
      </c>
      <c r="AQ101" s="184">
        <v>2280</v>
      </c>
      <c r="AR101" s="184">
        <v>2280</v>
      </c>
      <c r="AS101" s="184">
        <v>2280</v>
      </c>
      <c r="AT101" s="184">
        <v>2280</v>
      </c>
      <c r="AU101" s="184">
        <v>2220</v>
      </c>
      <c r="AV101" s="184">
        <v>2220</v>
      </c>
      <c r="AW101" s="184">
        <v>2180</v>
      </c>
      <c r="AX101" s="184">
        <v>2180</v>
      </c>
      <c r="AY101" s="184">
        <v>2180</v>
      </c>
      <c r="AZ101" s="184">
        <v>2260</v>
      </c>
      <c r="BA101" s="184">
        <v>2260</v>
      </c>
      <c r="BB101" s="184">
        <v>2260</v>
      </c>
      <c r="BC101" s="184">
        <v>2260</v>
      </c>
      <c r="BD101" s="184">
        <v>2260</v>
      </c>
      <c r="BE101" s="184">
        <v>2260</v>
      </c>
      <c r="BF101" s="184">
        <v>2160</v>
      </c>
      <c r="BG101" s="184">
        <v>2160</v>
      </c>
      <c r="BH101" s="184">
        <v>2160</v>
      </c>
      <c r="BI101" s="184">
        <v>2160</v>
      </c>
      <c r="BJ101" s="184">
        <v>2160</v>
      </c>
      <c r="BK101" s="184">
        <v>2160</v>
      </c>
      <c r="BL101" s="184">
        <v>2250</v>
      </c>
      <c r="BM101" s="184">
        <v>2250</v>
      </c>
      <c r="BN101" s="184">
        <v>2250</v>
      </c>
      <c r="BO101" s="184">
        <v>2330</v>
      </c>
      <c r="BP101" s="184">
        <v>2330</v>
      </c>
      <c r="BQ101" s="184">
        <v>2330</v>
      </c>
      <c r="BR101" s="184"/>
      <c r="BS101" s="184"/>
      <c r="BT101" s="184"/>
      <c r="BU101" s="146" cm="1">
        <f t="array" ref="BU101">LOOKUP(2,1/(Y101:BT101&lt;&gt;""),Y101:BH101)</f>
        <v>2330</v>
      </c>
      <c r="BV101" s="145" cm="1">
        <f t="array" aca="1" ref="BV101" ca="1">_xlfn.LET(
    _xlpm.last_col_idx, LOOKUP(2, 1/(Y101:BT101&lt;&gt;""), COLUMN(Y101:BT101) - COLUMN(Y101) + 1),
    _xlpm.header_val, INDEX($Y$3:$BT$3, 1, _xlpm.last_col_idx),
    _xlpm.header_date, IF(ISNUMBER(_xlpm.header_val), _xlpm.header_val, DATEVALUE(_xlpm.header_val)),
    IF(_xlpm.header_date &gt; TODAY(), TODAY(), _xlpm.header_date)
)</f>
        <v>46212</v>
      </c>
      <c r="BW101" s="209" cm="1">
        <f t="array" ref="BW101">(LOOKUP(2,1/(BH101:BT101&lt;&gt;""),BH101:BT101))/(INDEX(BH101:BT101,MATCH(TRUE,INDEX((BH101:BT101&lt;&gt;0),0),0)))-1</f>
        <v>7.870370370370372E-2</v>
      </c>
      <c r="BX101" s="210">
        <f t="shared" si="19"/>
        <v>2.33</v>
      </c>
      <c r="BY101" s="210">
        <f t="shared" si="20"/>
        <v>13.747000000000002</v>
      </c>
      <c r="BZ101" s="210">
        <f ca="1">IF(L101="BR",'Impostos e Frete'!$F$6,IF(L101="EU",'Impostos e Frete'!$I$3,IF(L101="CN",'Impostos e Frete'!$I$4,IF(L101="JP",'Impostos e Frete'!$I$5,IF(L101="RU",'Impostos e Frete'!$I$7,"ERRO")))))</f>
        <v>0.1410816</v>
      </c>
      <c r="CA101" s="210">
        <f>VLOOKUP(L101,'Impostos e Frete'!$A$3:$B$7,2,0)*'Preços e Condições'!BY101</f>
        <v>1.7871100000000002</v>
      </c>
      <c r="CB101" s="147">
        <f t="shared" si="21"/>
        <v>-0.17699999999999999</v>
      </c>
      <c r="CC101" s="147">
        <f>IF(X101="BRL",'Impostos e Frete'!$B$11,'Impostos e Frete'!$B$12)</f>
        <v>9.1999999999999998E-2</v>
      </c>
      <c r="CD101" s="211">
        <f t="shared" ca="1" si="22"/>
        <v>15.590191600000002</v>
      </c>
      <c r="CE101" s="212">
        <f t="shared" ca="1" si="23"/>
        <v>1.2472153280000002</v>
      </c>
      <c r="CF101" s="213">
        <f>VLOOKUP(L101,'Impostos e Frete'!$A$3:$C$7,3,0)</f>
        <v>105</v>
      </c>
      <c r="CG101" s="213">
        <f t="shared" si="24"/>
        <v>120</v>
      </c>
      <c r="CH101" s="213">
        <f t="shared" si="25"/>
        <v>15</v>
      </c>
      <c r="CI101" s="214">
        <f t="shared" ca="1" si="26"/>
        <v>-0.11562724442640793</v>
      </c>
      <c r="CJ101" s="215">
        <f t="shared" ca="1" si="27"/>
        <v>15.474564355573595</v>
      </c>
      <c r="CK101" s="216">
        <f t="shared" ca="1" si="28"/>
        <v>1.2379651484458876</v>
      </c>
    </row>
    <row r="102" spans="1:89">
      <c r="A102" s="176">
        <v>14140</v>
      </c>
      <c r="B102" s="177">
        <v>104</v>
      </c>
      <c r="C102" s="178">
        <v>80</v>
      </c>
      <c r="D102" s="178">
        <v>1870</v>
      </c>
      <c r="E102" s="178" t="s">
        <v>50</v>
      </c>
      <c r="F102" s="179" t="s">
        <v>2</v>
      </c>
      <c r="G102" s="189" t="s">
        <v>146</v>
      </c>
      <c r="H102" s="178" t="s">
        <v>43</v>
      </c>
      <c r="I102" s="178">
        <v>32113</v>
      </c>
      <c r="J102" s="178"/>
      <c r="K102" s="178"/>
      <c r="L102" s="178" t="s">
        <v>59</v>
      </c>
      <c r="M102" s="178">
        <v>120</v>
      </c>
      <c r="N102" s="178"/>
      <c r="O102" s="178"/>
      <c r="P102" s="178"/>
      <c r="Q102" s="178"/>
      <c r="R102" s="178" t="s">
        <v>126</v>
      </c>
      <c r="S102" s="181"/>
      <c r="T102" s="181"/>
      <c r="U102" s="182"/>
      <c r="V102" s="182" t="s">
        <v>35</v>
      </c>
      <c r="W102" s="183">
        <v>600</v>
      </c>
      <c r="X102" s="182" t="s">
        <v>51</v>
      </c>
      <c r="Y102" s="184">
        <v>2510</v>
      </c>
      <c r="Z102" s="184">
        <v>2510</v>
      </c>
      <c r="AA102" s="184">
        <v>2510</v>
      </c>
      <c r="AB102" s="184">
        <v>2410</v>
      </c>
      <c r="AC102" s="184">
        <v>2410</v>
      </c>
      <c r="AD102" s="184">
        <v>2410</v>
      </c>
      <c r="AE102" s="184">
        <v>2190</v>
      </c>
      <c r="AF102" s="184">
        <v>2190</v>
      </c>
      <c r="AG102" s="184">
        <v>2190</v>
      </c>
      <c r="AH102" s="184">
        <v>2070</v>
      </c>
      <c r="AI102" s="184">
        <v>2070</v>
      </c>
      <c r="AJ102" s="184">
        <v>2070</v>
      </c>
      <c r="AK102" s="184">
        <v>2070</v>
      </c>
      <c r="AL102" s="146">
        <f>40+(AL101-60)</f>
        <v>2140</v>
      </c>
      <c r="AM102" s="146">
        <f>40+(AM101-60)</f>
        <v>2140</v>
      </c>
      <c r="AN102" s="146">
        <f>40+(AN101-60)</f>
        <v>2140</v>
      </c>
      <c r="AO102" s="184">
        <v>2220</v>
      </c>
      <c r="AP102" s="184">
        <v>2220</v>
      </c>
      <c r="AQ102" s="184">
        <v>2220</v>
      </c>
      <c r="AR102" s="184">
        <v>2220</v>
      </c>
      <c r="AS102" s="184">
        <v>2220</v>
      </c>
      <c r="AT102" s="184">
        <v>2220</v>
      </c>
      <c r="AU102" s="184">
        <v>2160</v>
      </c>
      <c r="AV102" s="184">
        <v>2160</v>
      </c>
      <c r="AW102" s="146">
        <f>AW101-60</f>
        <v>2120</v>
      </c>
      <c r="AX102" s="146">
        <f>AX101-60</f>
        <v>2120</v>
      </c>
      <c r="AY102" s="146">
        <f>AY101-60</f>
        <v>2120</v>
      </c>
      <c r="AZ102" s="184">
        <v>2200</v>
      </c>
      <c r="BA102" s="184">
        <v>2200</v>
      </c>
      <c r="BB102" s="184">
        <v>2200</v>
      </c>
      <c r="BC102" s="184">
        <v>2200</v>
      </c>
      <c r="BD102" s="184">
        <v>2200</v>
      </c>
      <c r="BE102" s="184">
        <v>2200</v>
      </c>
      <c r="BF102" s="184">
        <v>2100</v>
      </c>
      <c r="BG102" s="184">
        <v>2100</v>
      </c>
      <c r="BH102" s="184">
        <v>2100</v>
      </c>
      <c r="BI102" s="184">
        <v>2100</v>
      </c>
      <c r="BJ102" s="184">
        <v>2100</v>
      </c>
      <c r="BK102" s="184">
        <v>2100</v>
      </c>
      <c r="BL102" s="184">
        <v>2190</v>
      </c>
      <c r="BM102" s="184">
        <v>2190</v>
      </c>
      <c r="BN102" s="184">
        <v>2190</v>
      </c>
      <c r="BO102" s="184">
        <v>2270</v>
      </c>
      <c r="BP102" s="184">
        <v>2270</v>
      </c>
      <c r="BQ102" s="184">
        <v>2270</v>
      </c>
      <c r="BR102" s="184"/>
      <c r="BS102" s="184"/>
      <c r="BT102" s="184"/>
      <c r="BU102" s="146" cm="1">
        <f t="array" ref="BU102">LOOKUP(2,1/(Y102:BT102&lt;&gt;""),Y102:BH102)</f>
        <v>2270</v>
      </c>
      <c r="BV102" s="145" cm="1">
        <f t="array" aca="1" ref="BV102" ca="1">_xlfn.LET(
    _xlpm.last_col_idx, LOOKUP(2, 1/(Y102:BT102&lt;&gt;""), COLUMN(Y102:BT102) - COLUMN(Y102) + 1),
    _xlpm.header_val, INDEX($Y$3:$BT$3, 1, _xlpm.last_col_idx),
    _xlpm.header_date, IF(ISNUMBER(_xlpm.header_val), _xlpm.header_val, DATEVALUE(_xlpm.header_val)),
    IF(_xlpm.header_date &gt; TODAY(), TODAY(), _xlpm.header_date)
)</f>
        <v>46212</v>
      </c>
      <c r="BW102" s="209" cm="1">
        <f t="array" ref="BW102">(LOOKUP(2,1/(BH102:BT102&lt;&gt;""),BH102:BT102))/(INDEX(BH102:BT102,MATCH(TRUE,INDEX((BH102:BT102&lt;&gt;0),0),0)))-1</f>
        <v>8.0952380952380887E-2</v>
      </c>
      <c r="BX102" s="210">
        <f t="shared" si="19"/>
        <v>2.27</v>
      </c>
      <c r="BY102" s="210">
        <f t="shared" si="20"/>
        <v>13.393000000000001</v>
      </c>
      <c r="BZ102" s="210">
        <f ca="1">IF(L102="BR",'Impostos e Frete'!$F$6,IF(L102="EU",'Impostos e Frete'!$I$3,IF(L102="CN",'Impostos e Frete'!$I$4,IF(L102="JP",'Impostos e Frete'!$I$5,IF(L102="RU",'Impostos e Frete'!$I$7,"ERRO")))))</f>
        <v>0.1410816</v>
      </c>
      <c r="CA102" s="210">
        <f>VLOOKUP(L102,'Impostos e Frete'!$A$3:$B$7,2,0)*'Preços e Condições'!BY102</f>
        <v>1.7410900000000002</v>
      </c>
      <c r="CB102" s="147">
        <f t="shared" si="21"/>
        <v>-0.17699999999999999</v>
      </c>
      <c r="CC102" s="147">
        <f>IF(X102="BRL",'Impostos e Frete'!$B$11,'Impostos e Frete'!$B$12)</f>
        <v>9.1999999999999998E-2</v>
      </c>
      <c r="CD102" s="211">
        <f t="shared" ca="1" si="22"/>
        <v>15.190171600000001</v>
      </c>
      <c r="CE102" s="212">
        <f t="shared" ca="1" si="23"/>
        <v>1.2152137280000002</v>
      </c>
      <c r="CF102" s="213">
        <f>VLOOKUP(L102,'Impostos e Frete'!$A$3:$C$7,3,0)</f>
        <v>105</v>
      </c>
      <c r="CG102" s="213">
        <f t="shared" si="24"/>
        <v>120</v>
      </c>
      <c r="CH102" s="213">
        <f t="shared" si="25"/>
        <v>15</v>
      </c>
      <c r="CI102" s="214">
        <f t="shared" ca="1" si="26"/>
        <v>-0.11266042968146017</v>
      </c>
      <c r="CJ102" s="215">
        <f t="shared" ca="1" si="27"/>
        <v>15.077511170318541</v>
      </c>
      <c r="CK102" s="216">
        <f t="shared" ca="1" si="28"/>
        <v>1.2062008936254833</v>
      </c>
    </row>
    <row r="103" spans="1:89">
      <c r="A103" s="176">
        <v>14140</v>
      </c>
      <c r="B103" s="177">
        <v>104</v>
      </c>
      <c r="C103" s="178">
        <v>80</v>
      </c>
      <c r="D103" s="178">
        <v>1870</v>
      </c>
      <c r="E103" s="178" t="s">
        <v>50</v>
      </c>
      <c r="F103" s="179" t="s">
        <v>2</v>
      </c>
      <c r="G103" s="189" t="s">
        <v>146</v>
      </c>
      <c r="H103" s="178" t="s">
        <v>43</v>
      </c>
      <c r="I103" s="178">
        <v>32113</v>
      </c>
      <c r="J103" s="178"/>
      <c r="K103" s="178"/>
      <c r="L103" s="178" t="s">
        <v>59</v>
      </c>
      <c r="M103" s="178">
        <v>120</v>
      </c>
      <c r="N103" s="178"/>
      <c r="O103" s="178"/>
      <c r="P103" s="178"/>
      <c r="Q103" s="178"/>
      <c r="R103" s="178" t="s">
        <v>126</v>
      </c>
      <c r="S103" s="181"/>
      <c r="T103" s="181"/>
      <c r="U103" s="182"/>
      <c r="V103" s="182" t="s">
        <v>35</v>
      </c>
      <c r="W103" s="183">
        <v>500</v>
      </c>
      <c r="X103" s="182" t="s">
        <v>51</v>
      </c>
      <c r="Y103" s="184">
        <v>2520</v>
      </c>
      <c r="Z103" s="184">
        <v>2520</v>
      </c>
      <c r="AA103" s="184">
        <v>2520</v>
      </c>
      <c r="AB103" s="184">
        <v>2420</v>
      </c>
      <c r="AC103" s="184">
        <v>2420</v>
      </c>
      <c r="AD103" s="184">
        <v>2420</v>
      </c>
      <c r="AE103" s="184">
        <v>2200</v>
      </c>
      <c r="AF103" s="184">
        <v>2200</v>
      </c>
      <c r="AG103" s="184">
        <v>2200</v>
      </c>
      <c r="AH103" s="184">
        <v>2080</v>
      </c>
      <c r="AI103" s="184">
        <v>2080</v>
      </c>
      <c r="AJ103" s="184">
        <v>2080</v>
      </c>
      <c r="AK103" s="184">
        <v>2080</v>
      </c>
      <c r="AL103" s="146">
        <f>40+(AL101-50)</f>
        <v>2150</v>
      </c>
      <c r="AM103" s="146">
        <f>40+(AM101-50)</f>
        <v>2150</v>
      </c>
      <c r="AN103" s="146">
        <f>40+(AN101-50)</f>
        <v>2150</v>
      </c>
      <c r="AO103" s="184">
        <v>2230</v>
      </c>
      <c r="AP103" s="184">
        <v>2230</v>
      </c>
      <c r="AQ103" s="184">
        <v>2230</v>
      </c>
      <c r="AR103" s="184">
        <v>2230</v>
      </c>
      <c r="AS103" s="184">
        <v>2230</v>
      </c>
      <c r="AT103" s="184">
        <v>2230</v>
      </c>
      <c r="AU103" s="184">
        <v>2170</v>
      </c>
      <c r="AV103" s="184">
        <v>2170</v>
      </c>
      <c r="AW103" s="146">
        <f>AW101-50</f>
        <v>2130</v>
      </c>
      <c r="AX103" s="146">
        <f>AX101-50</f>
        <v>2130</v>
      </c>
      <c r="AY103" s="146">
        <f>AY101-50</f>
        <v>2130</v>
      </c>
      <c r="AZ103" s="184">
        <v>2210</v>
      </c>
      <c r="BA103" s="184">
        <v>2210</v>
      </c>
      <c r="BB103" s="184">
        <v>2210</v>
      </c>
      <c r="BC103" s="184">
        <v>2210</v>
      </c>
      <c r="BD103" s="184">
        <v>2210</v>
      </c>
      <c r="BE103" s="184">
        <v>2210</v>
      </c>
      <c r="BF103" s="184">
        <v>2110</v>
      </c>
      <c r="BG103" s="184">
        <v>2110</v>
      </c>
      <c r="BH103" s="184">
        <v>2110</v>
      </c>
      <c r="BI103" s="184">
        <v>2110</v>
      </c>
      <c r="BJ103" s="184">
        <v>2110</v>
      </c>
      <c r="BK103" s="184">
        <v>2110</v>
      </c>
      <c r="BL103" s="184">
        <v>2200</v>
      </c>
      <c r="BM103" s="184">
        <v>2200</v>
      </c>
      <c r="BN103" s="184">
        <v>2200</v>
      </c>
      <c r="BO103" s="184">
        <v>2280</v>
      </c>
      <c r="BP103" s="184">
        <v>2280</v>
      </c>
      <c r="BQ103" s="184">
        <v>2280</v>
      </c>
      <c r="BR103" s="184"/>
      <c r="BS103" s="184"/>
      <c r="BT103" s="184"/>
      <c r="BU103" s="146" cm="1">
        <f t="array" ref="BU103">LOOKUP(2,1/(Y103:BT103&lt;&gt;""),Y103:BH103)</f>
        <v>2280</v>
      </c>
      <c r="BV103" s="145" cm="1">
        <f t="array" aca="1" ref="BV103" ca="1">_xlfn.LET(
    _xlpm.last_col_idx, LOOKUP(2, 1/(Y103:BT103&lt;&gt;""), COLUMN(Y103:BT103) - COLUMN(Y103) + 1),
    _xlpm.header_val, INDEX($Y$3:$BT$3, 1, _xlpm.last_col_idx),
    _xlpm.header_date, IF(ISNUMBER(_xlpm.header_val), _xlpm.header_val, DATEVALUE(_xlpm.header_val)),
    IF(_xlpm.header_date &gt; TODAY(), TODAY(), _xlpm.header_date)
)</f>
        <v>46212</v>
      </c>
      <c r="BW103" s="209" cm="1">
        <f t="array" ref="BW103">(LOOKUP(2,1/(BH103:BT103&lt;&gt;""),BH103:BT103))/(INDEX(BH103:BT103,MATCH(TRUE,INDEX((BH103:BT103&lt;&gt;0),0),0)))-1</f>
        <v>8.0568720379146974E-2</v>
      </c>
      <c r="BX103" s="210">
        <f t="shared" si="19"/>
        <v>2.2799999999999998</v>
      </c>
      <c r="BY103" s="210">
        <f t="shared" si="20"/>
        <v>13.452</v>
      </c>
      <c r="BZ103" s="210">
        <f ca="1">IF(L103="BR",'Impostos e Frete'!$F$6,IF(L103="EU",'Impostos e Frete'!$I$3,IF(L103="CN",'Impostos e Frete'!$I$4,IF(L103="JP",'Impostos e Frete'!$I$5,IF(L103="RU",'Impostos e Frete'!$I$7,"ERRO")))))</f>
        <v>0.1410816</v>
      </c>
      <c r="CA103" s="210">
        <f>VLOOKUP(L103,'Impostos e Frete'!$A$3:$B$7,2,0)*'Preços e Condições'!BY103</f>
        <v>1.7487600000000001</v>
      </c>
      <c r="CB103" s="147">
        <f t="shared" si="21"/>
        <v>-0.17699999999999999</v>
      </c>
      <c r="CC103" s="147">
        <f>IF(X103="BRL",'Impostos e Frete'!$B$11,'Impostos e Frete'!$B$12)</f>
        <v>9.1999999999999998E-2</v>
      </c>
      <c r="CD103" s="211">
        <f t="shared" ca="1" si="22"/>
        <v>15.256841600000001</v>
      </c>
      <c r="CE103" s="212">
        <f t="shared" ca="1" si="23"/>
        <v>1.2205473280000001</v>
      </c>
      <c r="CF103" s="213">
        <f>VLOOKUP(L103,'Impostos e Frete'!$A$3:$C$7,3,0)</f>
        <v>105</v>
      </c>
      <c r="CG103" s="213">
        <f t="shared" si="24"/>
        <v>120</v>
      </c>
      <c r="CH103" s="213">
        <f t="shared" si="25"/>
        <v>15</v>
      </c>
      <c r="CI103" s="214">
        <f t="shared" ca="1" si="26"/>
        <v>-0.11315489880561813</v>
      </c>
      <c r="CJ103" s="215">
        <f t="shared" ca="1" si="27"/>
        <v>15.143686701194383</v>
      </c>
      <c r="CK103" s="216">
        <f t="shared" ca="1" si="28"/>
        <v>1.2114949360955507</v>
      </c>
    </row>
    <row r="104" spans="1:89">
      <c r="A104" s="176">
        <v>14140</v>
      </c>
      <c r="B104" s="177">
        <v>104</v>
      </c>
      <c r="C104" s="178">
        <v>80</v>
      </c>
      <c r="D104" s="178">
        <v>1870</v>
      </c>
      <c r="E104" s="178" t="s">
        <v>50</v>
      </c>
      <c r="F104" s="179" t="s">
        <v>2</v>
      </c>
      <c r="G104" s="189" t="s">
        <v>146</v>
      </c>
      <c r="H104" s="178" t="s">
        <v>43</v>
      </c>
      <c r="I104" s="178">
        <v>32113</v>
      </c>
      <c r="J104" s="178"/>
      <c r="K104" s="178"/>
      <c r="L104" s="178" t="s">
        <v>59</v>
      </c>
      <c r="M104" s="178">
        <v>120</v>
      </c>
      <c r="N104" s="178"/>
      <c r="O104" s="178"/>
      <c r="P104" s="178"/>
      <c r="Q104" s="178"/>
      <c r="R104" s="178" t="s">
        <v>126</v>
      </c>
      <c r="S104" s="181"/>
      <c r="T104" s="181"/>
      <c r="U104" s="182"/>
      <c r="V104" s="182" t="s">
        <v>35</v>
      </c>
      <c r="W104" s="183">
        <v>200</v>
      </c>
      <c r="X104" s="182" t="s">
        <v>51</v>
      </c>
      <c r="Y104" s="184">
        <v>2530</v>
      </c>
      <c r="Z104" s="184">
        <v>2530</v>
      </c>
      <c r="AA104" s="184">
        <v>2530</v>
      </c>
      <c r="AB104" s="184">
        <v>2430</v>
      </c>
      <c r="AC104" s="184">
        <v>2430</v>
      </c>
      <c r="AD104" s="184">
        <v>2430</v>
      </c>
      <c r="AE104" s="184">
        <v>2210</v>
      </c>
      <c r="AF104" s="184">
        <v>2210</v>
      </c>
      <c r="AG104" s="184">
        <v>2210</v>
      </c>
      <c r="AH104" s="184">
        <v>2090</v>
      </c>
      <c r="AI104" s="184">
        <v>2090</v>
      </c>
      <c r="AJ104" s="184">
        <v>2090</v>
      </c>
      <c r="AK104" s="184">
        <v>2090</v>
      </c>
      <c r="AL104" s="146">
        <f>40+(AL101-40)</f>
        <v>2160</v>
      </c>
      <c r="AM104" s="146">
        <f>40+(AM101-40)</f>
        <v>2160</v>
      </c>
      <c r="AN104" s="146">
        <f>40+(AN101-40)</f>
        <v>2160</v>
      </c>
      <c r="AO104" s="184">
        <v>2260</v>
      </c>
      <c r="AP104" s="184">
        <v>2260</v>
      </c>
      <c r="AQ104" s="184">
        <v>2260</v>
      </c>
      <c r="AR104" s="184">
        <v>2260</v>
      </c>
      <c r="AS104" s="184">
        <v>2260</v>
      </c>
      <c r="AT104" s="184">
        <v>2260</v>
      </c>
      <c r="AU104" s="184">
        <v>2180</v>
      </c>
      <c r="AV104" s="184">
        <v>2180</v>
      </c>
      <c r="AW104" s="146">
        <f>AW101-40</f>
        <v>2140</v>
      </c>
      <c r="AX104" s="146">
        <f>AX101-40</f>
        <v>2140</v>
      </c>
      <c r="AY104" s="146">
        <f>AY101-40</f>
        <v>2140</v>
      </c>
      <c r="AZ104" s="184">
        <v>2220</v>
      </c>
      <c r="BA104" s="184">
        <v>2220</v>
      </c>
      <c r="BB104" s="184">
        <v>2220</v>
      </c>
      <c r="BC104" s="184">
        <v>2220</v>
      </c>
      <c r="BD104" s="184">
        <v>2220</v>
      </c>
      <c r="BE104" s="184">
        <v>2220</v>
      </c>
      <c r="BF104" s="184">
        <v>2120</v>
      </c>
      <c r="BG104" s="184">
        <v>2120</v>
      </c>
      <c r="BH104" s="184">
        <v>2120</v>
      </c>
      <c r="BI104" s="184">
        <v>2120</v>
      </c>
      <c r="BJ104" s="184">
        <v>2120</v>
      </c>
      <c r="BK104" s="184">
        <v>2120</v>
      </c>
      <c r="BL104" s="184">
        <v>2210</v>
      </c>
      <c r="BM104" s="184">
        <v>2210</v>
      </c>
      <c r="BN104" s="184">
        <v>2210</v>
      </c>
      <c r="BO104" s="184">
        <v>2290</v>
      </c>
      <c r="BP104" s="184">
        <v>2290</v>
      </c>
      <c r="BQ104" s="184">
        <v>2290</v>
      </c>
      <c r="BR104" s="184"/>
      <c r="BS104" s="184"/>
      <c r="BT104" s="184"/>
      <c r="BU104" s="146" cm="1">
        <f t="array" ref="BU104">LOOKUP(2,1/(Y104:BT104&lt;&gt;""),Y104:BH104)</f>
        <v>2290</v>
      </c>
      <c r="BV104" s="145" cm="1">
        <f t="array" aca="1" ref="BV104" ca="1">_xlfn.LET(
    _xlpm.last_col_idx, LOOKUP(2, 1/(Y104:BT104&lt;&gt;""), COLUMN(Y104:BT104) - COLUMN(Y104) + 1),
    _xlpm.header_val, INDEX($Y$3:$BT$3, 1, _xlpm.last_col_idx),
    _xlpm.header_date, IF(ISNUMBER(_xlpm.header_val), _xlpm.header_val, DATEVALUE(_xlpm.header_val)),
    IF(_xlpm.header_date &gt; TODAY(), TODAY(), _xlpm.header_date)
)</f>
        <v>46212</v>
      </c>
      <c r="BW104" s="209" cm="1">
        <f t="array" ref="BW104">(LOOKUP(2,1/(BH104:BT104&lt;&gt;""),BH104:BT104))/(INDEX(BH104:BT104,MATCH(TRUE,INDEX((BH104:BT104&lt;&gt;0),0),0)))-1</f>
        <v>8.0188679245283057E-2</v>
      </c>
      <c r="BX104" s="210">
        <f t="shared" si="19"/>
        <v>2.29</v>
      </c>
      <c r="BY104" s="210">
        <f t="shared" si="20"/>
        <v>13.511000000000001</v>
      </c>
      <c r="BZ104" s="210">
        <f ca="1">IF(L104="BR",'Impostos e Frete'!$F$6,IF(L104="EU",'Impostos e Frete'!$I$3,IF(L104="CN",'Impostos e Frete'!$I$4,IF(L104="JP",'Impostos e Frete'!$I$5,IF(L104="RU",'Impostos e Frete'!$I$7,"ERRO")))))</f>
        <v>0.1410816</v>
      </c>
      <c r="CA104" s="210">
        <f>VLOOKUP(L104,'Impostos e Frete'!$A$3:$B$7,2,0)*'Preços e Condições'!BY104</f>
        <v>1.7564300000000002</v>
      </c>
      <c r="CB104" s="147">
        <f t="shared" si="21"/>
        <v>-0.17699999999999999</v>
      </c>
      <c r="CC104" s="147">
        <f>IF(X104="BRL",'Impostos e Frete'!$B$11,'Impostos e Frete'!$B$12)</f>
        <v>9.1999999999999998E-2</v>
      </c>
      <c r="CD104" s="211">
        <f t="shared" ca="1" si="22"/>
        <v>15.323511600000002</v>
      </c>
      <c r="CE104" s="212">
        <f t="shared" ca="1" si="23"/>
        <v>1.225880928</v>
      </c>
      <c r="CF104" s="213">
        <f>VLOOKUP(L104,'Impostos e Frete'!$A$3:$C$7,3,0)</f>
        <v>105</v>
      </c>
      <c r="CG104" s="213">
        <f t="shared" si="24"/>
        <v>120</v>
      </c>
      <c r="CH104" s="213">
        <f t="shared" si="25"/>
        <v>15</v>
      </c>
      <c r="CI104" s="214">
        <f t="shared" ca="1" si="26"/>
        <v>-0.11364936792977609</v>
      </c>
      <c r="CJ104" s="215">
        <f t="shared" ca="1" si="27"/>
        <v>15.209862232070225</v>
      </c>
      <c r="CK104" s="216">
        <f t="shared" ca="1" si="28"/>
        <v>1.2167889785656181</v>
      </c>
    </row>
    <row r="105" spans="1:89">
      <c r="A105" s="176">
        <v>14140</v>
      </c>
      <c r="B105" s="177">
        <v>104</v>
      </c>
      <c r="C105" s="178">
        <v>80</v>
      </c>
      <c r="D105" s="178">
        <v>1870</v>
      </c>
      <c r="E105" s="178" t="s">
        <v>50</v>
      </c>
      <c r="F105" s="179" t="s">
        <v>2</v>
      </c>
      <c r="G105" s="189" t="s">
        <v>146</v>
      </c>
      <c r="H105" s="178" t="s">
        <v>43</v>
      </c>
      <c r="I105" s="178">
        <v>32113</v>
      </c>
      <c r="J105" s="178"/>
      <c r="K105" s="178"/>
      <c r="L105" s="178" t="s">
        <v>59</v>
      </c>
      <c r="M105" s="178">
        <v>120</v>
      </c>
      <c r="N105" s="178"/>
      <c r="O105" s="178"/>
      <c r="P105" s="178"/>
      <c r="Q105" s="178"/>
      <c r="R105" s="178" t="s">
        <v>126</v>
      </c>
      <c r="S105" s="181"/>
      <c r="T105" s="181"/>
      <c r="U105" s="182"/>
      <c r="V105" s="182" t="s">
        <v>35</v>
      </c>
      <c r="W105" s="183">
        <v>150</v>
      </c>
      <c r="X105" s="182" t="s">
        <v>51</v>
      </c>
      <c r="Y105" s="184">
        <v>2550</v>
      </c>
      <c r="Z105" s="184">
        <v>2550</v>
      </c>
      <c r="AA105" s="184">
        <v>2550</v>
      </c>
      <c r="AB105" s="184">
        <v>2450</v>
      </c>
      <c r="AC105" s="184">
        <v>2450</v>
      </c>
      <c r="AD105" s="184">
        <v>2450</v>
      </c>
      <c r="AE105" s="184">
        <v>2230</v>
      </c>
      <c r="AF105" s="184">
        <v>2230</v>
      </c>
      <c r="AG105" s="184">
        <v>2230</v>
      </c>
      <c r="AH105" s="184">
        <v>2110</v>
      </c>
      <c r="AI105" s="184">
        <v>2110</v>
      </c>
      <c r="AJ105" s="184">
        <v>2110</v>
      </c>
      <c r="AK105" s="184">
        <v>2110</v>
      </c>
      <c r="AL105" s="146">
        <f>40+(AL101-20)</f>
        <v>2180</v>
      </c>
      <c r="AM105" s="146">
        <f>40+(AM101-20)</f>
        <v>2180</v>
      </c>
      <c r="AN105" s="146">
        <f>40+(AN101-20)</f>
        <v>2180</v>
      </c>
      <c r="AO105" s="184">
        <v>2260</v>
      </c>
      <c r="AP105" s="184">
        <v>2260</v>
      </c>
      <c r="AQ105" s="184">
        <v>2260</v>
      </c>
      <c r="AR105" s="184">
        <v>2260</v>
      </c>
      <c r="AS105" s="184">
        <v>2260</v>
      </c>
      <c r="AT105" s="184">
        <v>2260</v>
      </c>
      <c r="AU105" s="184">
        <v>2200</v>
      </c>
      <c r="AV105" s="184">
        <v>2200</v>
      </c>
      <c r="AW105" s="146">
        <f>AW101-20</f>
        <v>2160</v>
      </c>
      <c r="AX105" s="146">
        <f>AX101-20</f>
        <v>2160</v>
      </c>
      <c r="AY105" s="146">
        <f>AY101-20</f>
        <v>2160</v>
      </c>
      <c r="AZ105" s="184">
        <v>2240</v>
      </c>
      <c r="BA105" s="184">
        <v>2240</v>
      </c>
      <c r="BB105" s="184">
        <v>2240</v>
      </c>
      <c r="BC105" s="184">
        <v>2240</v>
      </c>
      <c r="BD105" s="184">
        <v>2240</v>
      </c>
      <c r="BE105" s="184">
        <v>2240</v>
      </c>
      <c r="BF105" s="184">
        <v>2140</v>
      </c>
      <c r="BG105" s="184">
        <v>2140</v>
      </c>
      <c r="BH105" s="184">
        <v>2140</v>
      </c>
      <c r="BI105" s="184">
        <v>2140</v>
      </c>
      <c r="BJ105" s="184">
        <v>2140</v>
      </c>
      <c r="BK105" s="184">
        <v>2140</v>
      </c>
      <c r="BL105" s="184">
        <v>2230</v>
      </c>
      <c r="BM105" s="184">
        <v>2230</v>
      </c>
      <c r="BN105" s="184">
        <v>2230</v>
      </c>
      <c r="BO105" s="184">
        <v>2310</v>
      </c>
      <c r="BP105" s="184">
        <v>2310</v>
      </c>
      <c r="BQ105" s="184">
        <v>2310</v>
      </c>
      <c r="BR105" s="184"/>
      <c r="BS105" s="184"/>
      <c r="BT105" s="184"/>
      <c r="BU105" s="146" cm="1">
        <f t="array" ref="BU105">LOOKUP(2,1/(Y105:BT105&lt;&gt;""),Y105:BH105)</f>
        <v>2310</v>
      </c>
      <c r="BV105" s="145" cm="1">
        <f t="array" aca="1" ref="BV105" ca="1">_xlfn.LET(
    _xlpm.last_col_idx, LOOKUP(2, 1/(Y105:BT105&lt;&gt;""), COLUMN(Y105:BT105) - COLUMN(Y105) + 1),
    _xlpm.header_val, INDEX($Y$3:$BT$3, 1, _xlpm.last_col_idx),
    _xlpm.header_date, IF(ISNUMBER(_xlpm.header_val), _xlpm.header_val, DATEVALUE(_xlpm.header_val)),
    IF(_xlpm.header_date &gt; TODAY(), TODAY(), _xlpm.header_date)
)</f>
        <v>46212</v>
      </c>
      <c r="BW105" s="209" cm="1">
        <f t="array" ref="BW105">(LOOKUP(2,1/(BH105:BT105&lt;&gt;""),BH105:BT105))/(INDEX(BH105:BT105,MATCH(TRUE,INDEX((BH105:BT105&lt;&gt;0),0),0)))-1</f>
        <v>7.9439252336448662E-2</v>
      </c>
      <c r="BX105" s="210">
        <f t="shared" si="19"/>
        <v>2.31</v>
      </c>
      <c r="BY105" s="210">
        <f t="shared" si="20"/>
        <v>13.629000000000001</v>
      </c>
      <c r="BZ105" s="210">
        <f ca="1">IF(L105="BR",'Impostos e Frete'!$F$6,IF(L105="EU",'Impostos e Frete'!$I$3,IF(L105="CN",'Impostos e Frete'!$I$4,IF(L105="JP",'Impostos e Frete'!$I$5,IF(L105="RU",'Impostos e Frete'!$I$7,"ERRO")))))</f>
        <v>0.1410816</v>
      </c>
      <c r="CA105" s="210">
        <f>VLOOKUP(L105,'Impostos e Frete'!$A$3:$B$7,2,0)*'Preços e Condições'!BY105</f>
        <v>1.7717700000000003</v>
      </c>
      <c r="CB105" s="147">
        <f t="shared" si="21"/>
        <v>-0.17699999999999999</v>
      </c>
      <c r="CC105" s="147">
        <f>IF(X105="BRL",'Impostos e Frete'!$B$11,'Impostos e Frete'!$B$12)</f>
        <v>9.1999999999999998E-2</v>
      </c>
      <c r="CD105" s="211">
        <f t="shared" ca="1" si="22"/>
        <v>15.456851600000002</v>
      </c>
      <c r="CE105" s="212">
        <f t="shared" ca="1" si="23"/>
        <v>1.2365481280000001</v>
      </c>
      <c r="CF105" s="213">
        <f>VLOOKUP(L105,'Impostos e Frete'!$A$3:$C$7,3,0)</f>
        <v>105</v>
      </c>
      <c r="CG105" s="213">
        <f t="shared" si="24"/>
        <v>120</v>
      </c>
      <c r="CH105" s="213">
        <f t="shared" si="25"/>
        <v>15</v>
      </c>
      <c r="CI105" s="214">
        <f t="shared" ca="1" si="26"/>
        <v>-0.11463830617809201</v>
      </c>
      <c r="CJ105" s="215">
        <f t="shared" ca="1" si="27"/>
        <v>15.34221329382191</v>
      </c>
      <c r="CK105" s="216">
        <f t="shared" ca="1" si="28"/>
        <v>1.2273770635057528</v>
      </c>
    </row>
    <row r="106" spans="1:89">
      <c r="A106" s="176">
        <v>14140</v>
      </c>
      <c r="B106" s="177">
        <v>104</v>
      </c>
      <c r="C106" s="178">
        <v>80</v>
      </c>
      <c r="D106" s="178">
        <v>1870</v>
      </c>
      <c r="E106" s="178" t="s">
        <v>50</v>
      </c>
      <c r="F106" s="179" t="s">
        <v>2</v>
      </c>
      <c r="G106" s="189" t="s">
        <v>146</v>
      </c>
      <c r="H106" s="178" t="s">
        <v>43</v>
      </c>
      <c r="I106" s="178">
        <v>32113</v>
      </c>
      <c r="J106" s="178"/>
      <c r="K106" s="178"/>
      <c r="L106" s="178" t="s">
        <v>59</v>
      </c>
      <c r="M106" s="178">
        <v>120</v>
      </c>
      <c r="N106" s="178"/>
      <c r="O106" s="178"/>
      <c r="P106" s="178"/>
      <c r="Q106" s="178"/>
      <c r="R106" s="178" t="s">
        <v>126</v>
      </c>
      <c r="S106" s="181"/>
      <c r="T106" s="181"/>
      <c r="U106" s="182"/>
      <c r="V106" s="182" t="s">
        <v>35</v>
      </c>
      <c r="W106" s="183">
        <v>70</v>
      </c>
      <c r="X106" s="182" t="s">
        <v>51</v>
      </c>
      <c r="Y106" s="184">
        <v>2590</v>
      </c>
      <c r="Z106" s="184">
        <v>2590</v>
      </c>
      <c r="AA106" s="184">
        <v>2590</v>
      </c>
      <c r="AB106" s="184">
        <v>2490</v>
      </c>
      <c r="AC106" s="184">
        <v>2490</v>
      </c>
      <c r="AD106" s="184">
        <v>2490</v>
      </c>
      <c r="AE106" s="184">
        <v>2270</v>
      </c>
      <c r="AF106" s="184">
        <v>2270</v>
      </c>
      <c r="AG106" s="184">
        <v>2270</v>
      </c>
      <c r="AH106" s="184">
        <v>2150</v>
      </c>
      <c r="AI106" s="184">
        <v>2150</v>
      </c>
      <c r="AJ106" s="184">
        <v>2150</v>
      </c>
      <c r="AK106" s="184">
        <v>2150</v>
      </c>
      <c r="AL106" s="146">
        <f>40+(AL101+20)</f>
        <v>2220</v>
      </c>
      <c r="AM106" s="146">
        <f>40+(AM101+20)</f>
        <v>2220</v>
      </c>
      <c r="AN106" s="146">
        <f>40+(AN101+20)</f>
        <v>2220</v>
      </c>
      <c r="AO106" s="184">
        <v>2300</v>
      </c>
      <c r="AP106" s="184">
        <v>2300</v>
      </c>
      <c r="AQ106" s="184">
        <v>2300</v>
      </c>
      <c r="AR106" s="184">
        <v>2300</v>
      </c>
      <c r="AS106" s="184">
        <v>2300</v>
      </c>
      <c r="AT106" s="184">
        <v>2300</v>
      </c>
      <c r="AU106" s="184">
        <v>2240</v>
      </c>
      <c r="AV106" s="184">
        <v>2240</v>
      </c>
      <c r="AW106" s="146">
        <f>AW101+20</f>
        <v>2200</v>
      </c>
      <c r="AX106" s="146">
        <f>AX101+20</f>
        <v>2200</v>
      </c>
      <c r="AY106" s="146">
        <f>AY101+20</f>
        <v>2200</v>
      </c>
      <c r="AZ106" s="184">
        <v>2280</v>
      </c>
      <c r="BA106" s="184">
        <v>2280</v>
      </c>
      <c r="BB106" s="184">
        <v>2280</v>
      </c>
      <c r="BC106" s="184">
        <v>2280</v>
      </c>
      <c r="BD106" s="184">
        <v>2280</v>
      </c>
      <c r="BE106" s="184">
        <v>2280</v>
      </c>
      <c r="BF106" s="184">
        <v>2180</v>
      </c>
      <c r="BG106" s="184">
        <v>2180</v>
      </c>
      <c r="BH106" s="184">
        <v>2180</v>
      </c>
      <c r="BI106" s="184">
        <v>2180</v>
      </c>
      <c r="BJ106" s="184">
        <v>2180</v>
      </c>
      <c r="BK106" s="184">
        <v>2180</v>
      </c>
      <c r="BL106" s="184">
        <v>2270</v>
      </c>
      <c r="BM106" s="184">
        <v>2270</v>
      </c>
      <c r="BN106" s="184">
        <v>2270</v>
      </c>
      <c r="BO106" s="184">
        <v>2350</v>
      </c>
      <c r="BP106" s="184">
        <v>2350</v>
      </c>
      <c r="BQ106" s="184">
        <v>2350</v>
      </c>
      <c r="BR106" s="184"/>
      <c r="BS106" s="184"/>
      <c r="BT106" s="184"/>
      <c r="BU106" s="146" cm="1">
        <f t="array" ref="BU106">LOOKUP(2,1/(Y106:BT106&lt;&gt;""),Y106:BH106)</f>
        <v>2350</v>
      </c>
      <c r="BV106" s="145" cm="1">
        <f t="array" aca="1" ref="BV106" ca="1">_xlfn.LET(
    _xlpm.last_col_idx, LOOKUP(2, 1/(Y106:BT106&lt;&gt;""), COLUMN(Y106:BT106) - COLUMN(Y106) + 1),
    _xlpm.header_val, INDEX($Y$3:$BT$3, 1, _xlpm.last_col_idx),
    _xlpm.header_date, IF(ISNUMBER(_xlpm.header_val), _xlpm.header_val, DATEVALUE(_xlpm.header_val)),
    IF(_xlpm.header_date &gt; TODAY(), TODAY(), _xlpm.header_date)
)</f>
        <v>46212</v>
      </c>
      <c r="BW106" s="209" cm="1">
        <f t="array" ref="BW106">(LOOKUP(2,1/(BH106:BT106&lt;&gt;""),BH106:BT106))/(INDEX(BH106:BT106,MATCH(TRUE,INDEX((BH106:BT106&lt;&gt;0),0),0)))-1</f>
        <v>7.7981651376146877E-2</v>
      </c>
      <c r="BX106" s="210">
        <f t="shared" si="19"/>
        <v>2.35</v>
      </c>
      <c r="BY106" s="210">
        <f t="shared" si="20"/>
        <v>13.865000000000002</v>
      </c>
      <c r="BZ106" s="210">
        <f ca="1">IF(L106="BR",'Impostos e Frete'!$F$6,IF(L106="EU",'Impostos e Frete'!$I$3,IF(L106="CN",'Impostos e Frete'!$I$4,IF(L106="JP",'Impostos e Frete'!$I$5,IF(L106="RU",'Impostos e Frete'!$I$7,"ERRO")))))</f>
        <v>0.1410816</v>
      </c>
      <c r="CA106" s="210">
        <f>VLOOKUP(L106,'Impostos e Frete'!$A$3:$B$7,2,0)*'Preços e Condições'!BY106</f>
        <v>1.8024500000000003</v>
      </c>
      <c r="CB106" s="147">
        <f t="shared" si="21"/>
        <v>-0.17699999999999999</v>
      </c>
      <c r="CC106" s="147">
        <f>IF(X106="BRL",'Impostos e Frete'!$B$11,'Impostos e Frete'!$B$12)</f>
        <v>9.1999999999999998E-2</v>
      </c>
      <c r="CD106" s="211">
        <f t="shared" ca="1" si="22"/>
        <v>15.723531600000003</v>
      </c>
      <c r="CE106" s="212">
        <f t="shared" ca="1" si="23"/>
        <v>1.2578825280000003</v>
      </c>
      <c r="CF106" s="213">
        <f>VLOOKUP(L106,'Impostos e Frete'!$A$3:$C$7,3,0)</f>
        <v>105</v>
      </c>
      <c r="CG106" s="213">
        <f t="shared" si="24"/>
        <v>120</v>
      </c>
      <c r="CH106" s="213">
        <f t="shared" si="25"/>
        <v>15</v>
      </c>
      <c r="CI106" s="214">
        <f t="shared" ca="1" si="26"/>
        <v>-0.11661618267472562</v>
      </c>
      <c r="CJ106" s="215">
        <f t="shared" ca="1" si="27"/>
        <v>15.606915417325277</v>
      </c>
      <c r="CK106" s="216">
        <f t="shared" ca="1" si="28"/>
        <v>1.2485532333860223</v>
      </c>
    </row>
    <row r="107" spans="1:89">
      <c r="A107" s="176">
        <v>14140</v>
      </c>
      <c r="B107" s="177">
        <v>104</v>
      </c>
      <c r="C107" s="178">
        <v>80</v>
      </c>
      <c r="D107" s="178">
        <v>1870</v>
      </c>
      <c r="E107" s="178" t="s">
        <v>50</v>
      </c>
      <c r="F107" s="179" t="s">
        <v>2</v>
      </c>
      <c r="G107" s="189" t="s">
        <v>146</v>
      </c>
      <c r="H107" s="178" t="s">
        <v>43</v>
      </c>
      <c r="I107" s="178">
        <v>32113</v>
      </c>
      <c r="J107" s="178"/>
      <c r="K107" s="178"/>
      <c r="L107" s="178" t="s">
        <v>59</v>
      </c>
      <c r="M107" s="178">
        <v>120</v>
      </c>
      <c r="N107" s="178"/>
      <c r="O107" s="178"/>
      <c r="P107" s="178"/>
      <c r="Q107" s="178"/>
      <c r="R107" s="178" t="s">
        <v>126</v>
      </c>
      <c r="S107" s="181"/>
      <c r="T107" s="181"/>
      <c r="U107" s="182"/>
      <c r="V107" s="182" t="s">
        <v>35</v>
      </c>
      <c r="W107" s="183">
        <v>50</v>
      </c>
      <c r="X107" s="182" t="s">
        <v>51</v>
      </c>
      <c r="Y107" s="184">
        <v>2620</v>
      </c>
      <c r="Z107" s="184">
        <v>2620</v>
      </c>
      <c r="AA107" s="184">
        <v>2620</v>
      </c>
      <c r="AB107" s="184">
        <v>2520</v>
      </c>
      <c r="AC107" s="184">
        <v>2520</v>
      </c>
      <c r="AD107" s="184">
        <v>2520</v>
      </c>
      <c r="AE107" s="184">
        <v>2300</v>
      </c>
      <c r="AF107" s="184">
        <v>2300</v>
      </c>
      <c r="AG107" s="184">
        <v>2300</v>
      </c>
      <c r="AH107" s="184">
        <v>2180</v>
      </c>
      <c r="AI107" s="184">
        <v>2180</v>
      </c>
      <c r="AJ107" s="184">
        <v>2180</v>
      </c>
      <c r="AK107" s="184">
        <v>2180</v>
      </c>
      <c r="AL107" s="146">
        <f>40+(AL101+50)</f>
        <v>2250</v>
      </c>
      <c r="AM107" s="146">
        <f>40+(AM101+50)</f>
        <v>2250</v>
      </c>
      <c r="AN107" s="146">
        <f>40+(AN101+50)</f>
        <v>2250</v>
      </c>
      <c r="AO107" s="184">
        <v>2330</v>
      </c>
      <c r="AP107" s="184">
        <v>2330</v>
      </c>
      <c r="AQ107" s="184">
        <v>2330</v>
      </c>
      <c r="AR107" s="184">
        <v>2330</v>
      </c>
      <c r="AS107" s="184">
        <v>2330</v>
      </c>
      <c r="AT107" s="184">
        <v>2330</v>
      </c>
      <c r="AU107" s="184">
        <v>2270</v>
      </c>
      <c r="AV107" s="184">
        <v>2270</v>
      </c>
      <c r="AW107" s="146">
        <f>AW101+50</f>
        <v>2230</v>
      </c>
      <c r="AX107" s="146">
        <f>AX101+50</f>
        <v>2230</v>
      </c>
      <c r="AY107" s="146">
        <f>AY101+50</f>
        <v>2230</v>
      </c>
      <c r="AZ107" s="184">
        <v>2310</v>
      </c>
      <c r="BA107" s="184">
        <v>2310</v>
      </c>
      <c r="BB107" s="184">
        <v>2310</v>
      </c>
      <c r="BC107" s="184">
        <v>2310</v>
      </c>
      <c r="BD107" s="184">
        <v>2310</v>
      </c>
      <c r="BE107" s="184">
        <v>2310</v>
      </c>
      <c r="BF107" s="184">
        <v>2210</v>
      </c>
      <c r="BG107" s="184">
        <v>2210</v>
      </c>
      <c r="BH107" s="184">
        <v>2210</v>
      </c>
      <c r="BI107" s="184">
        <v>2210</v>
      </c>
      <c r="BJ107" s="184">
        <v>2210</v>
      </c>
      <c r="BK107" s="184">
        <v>2210</v>
      </c>
      <c r="BL107" s="184">
        <v>2300</v>
      </c>
      <c r="BM107" s="184">
        <v>2300</v>
      </c>
      <c r="BN107" s="184">
        <v>2300</v>
      </c>
      <c r="BO107" s="184">
        <v>2380</v>
      </c>
      <c r="BP107" s="184">
        <v>2380</v>
      </c>
      <c r="BQ107" s="184">
        <v>2380</v>
      </c>
      <c r="BR107" s="184"/>
      <c r="BS107" s="184"/>
      <c r="BT107" s="184"/>
      <c r="BU107" s="146" cm="1">
        <f t="array" ref="BU107">LOOKUP(2,1/(Y107:BT107&lt;&gt;""),Y107:BH107)</f>
        <v>2380</v>
      </c>
      <c r="BV107" s="145" cm="1">
        <f t="array" aca="1" ref="BV107" ca="1">_xlfn.LET(
    _xlpm.last_col_idx, LOOKUP(2, 1/(Y107:BT107&lt;&gt;""), COLUMN(Y107:BT107) - COLUMN(Y107) + 1),
    _xlpm.header_val, INDEX($Y$3:$BT$3, 1, _xlpm.last_col_idx),
    _xlpm.header_date, IF(ISNUMBER(_xlpm.header_val), _xlpm.header_val, DATEVALUE(_xlpm.header_val)),
    IF(_xlpm.header_date &gt; TODAY(), TODAY(), _xlpm.header_date)
)</f>
        <v>46212</v>
      </c>
      <c r="BW107" s="209" cm="1">
        <f t="array" ref="BW107">(LOOKUP(2,1/(BH107:BT107&lt;&gt;""),BH107:BT107))/(INDEX(BH107:BT107,MATCH(TRUE,INDEX((BH107:BT107&lt;&gt;0),0),0)))-1</f>
        <v>7.6923076923076872E-2</v>
      </c>
      <c r="BX107" s="210">
        <f t="shared" si="19"/>
        <v>2.38</v>
      </c>
      <c r="BY107" s="210">
        <f t="shared" si="20"/>
        <v>14.042</v>
      </c>
      <c r="BZ107" s="210">
        <f ca="1">IF(L107="BR",'Impostos e Frete'!$F$6,IF(L107="EU",'Impostos e Frete'!$I$3,IF(L107="CN",'Impostos e Frete'!$I$4,IF(L107="JP",'Impostos e Frete'!$I$5,IF(L107="RU",'Impostos e Frete'!$I$7,"ERRO")))))</f>
        <v>0.1410816</v>
      </c>
      <c r="CA107" s="210">
        <f>VLOOKUP(L107,'Impostos e Frete'!$A$3:$B$7,2,0)*'Preços e Condições'!BY107</f>
        <v>1.8254600000000001</v>
      </c>
      <c r="CB107" s="147">
        <f t="shared" si="21"/>
        <v>-0.17699999999999999</v>
      </c>
      <c r="CC107" s="147">
        <f>IF(X107="BRL",'Impostos e Frete'!$B$11,'Impostos e Frete'!$B$12)</f>
        <v>9.1999999999999998E-2</v>
      </c>
      <c r="CD107" s="211">
        <f t="shared" ca="1" si="22"/>
        <v>15.923541600000002</v>
      </c>
      <c r="CE107" s="212">
        <f t="shared" ca="1" si="23"/>
        <v>1.2738833280000001</v>
      </c>
      <c r="CF107" s="213">
        <f>VLOOKUP(L107,'Impostos e Frete'!$A$3:$C$7,3,0)</f>
        <v>105</v>
      </c>
      <c r="CG107" s="213">
        <f t="shared" si="24"/>
        <v>120</v>
      </c>
      <c r="CH107" s="213">
        <f t="shared" si="25"/>
        <v>15</v>
      </c>
      <c r="CI107" s="214">
        <f t="shared" ca="1" si="26"/>
        <v>-0.1180995900471995</v>
      </c>
      <c r="CJ107" s="215">
        <f t="shared" ca="1" si="27"/>
        <v>15.805442009952802</v>
      </c>
      <c r="CK107" s="216">
        <f t="shared" ca="1" si="28"/>
        <v>1.2644353607962242</v>
      </c>
    </row>
    <row r="108" spans="1:89">
      <c r="A108" s="176">
        <v>14140</v>
      </c>
      <c r="B108" s="177">
        <v>104</v>
      </c>
      <c r="C108" s="178">
        <v>80</v>
      </c>
      <c r="D108" s="178">
        <v>1870</v>
      </c>
      <c r="E108" s="178" t="s">
        <v>50</v>
      </c>
      <c r="F108" s="179" t="s">
        <v>2</v>
      </c>
      <c r="G108" s="189" t="s">
        <v>146</v>
      </c>
      <c r="H108" s="178" t="s">
        <v>43</v>
      </c>
      <c r="I108" s="178">
        <v>32113</v>
      </c>
      <c r="J108" s="178"/>
      <c r="K108" s="178"/>
      <c r="L108" s="178" t="s">
        <v>59</v>
      </c>
      <c r="M108" s="178">
        <v>120</v>
      </c>
      <c r="N108" s="178"/>
      <c r="O108" s="178"/>
      <c r="P108" s="178"/>
      <c r="Q108" s="178"/>
      <c r="R108" s="178" t="s">
        <v>126</v>
      </c>
      <c r="S108" s="181"/>
      <c r="T108" s="181"/>
      <c r="U108" s="182"/>
      <c r="V108" s="182" t="s">
        <v>35</v>
      </c>
      <c r="W108" s="183">
        <v>30</v>
      </c>
      <c r="X108" s="182" t="s">
        <v>51</v>
      </c>
      <c r="Y108" s="184">
        <v>2670</v>
      </c>
      <c r="Z108" s="184">
        <v>2670</v>
      </c>
      <c r="AA108" s="184">
        <v>2670</v>
      </c>
      <c r="AB108" s="184">
        <v>2570</v>
      </c>
      <c r="AC108" s="184">
        <v>2570</v>
      </c>
      <c r="AD108" s="184">
        <v>2570</v>
      </c>
      <c r="AE108" s="184">
        <v>2350</v>
      </c>
      <c r="AF108" s="184">
        <v>2350</v>
      </c>
      <c r="AG108" s="184">
        <v>2350</v>
      </c>
      <c r="AH108" s="184">
        <v>2230</v>
      </c>
      <c r="AI108" s="184">
        <v>2230</v>
      </c>
      <c r="AJ108" s="184">
        <v>2230</v>
      </c>
      <c r="AK108" s="184">
        <v>2230</v>
      </c>
      <c r="AL108" s="146">
        <f>40+(AL101+100)</f>
        <v>2300</v>
      </c>
      <c r="AM108" s="146">
        <f>40+(AM101+100)</f>
        <v>2300</v>
      </c>
      <c r="AN108" s="146">
        <f>40+(AN101+100)</f>
        <v>2300</v>
      </c>
      <c r="AO108" s="184">
        <v>2380</v>
      </c>
      <c r="AP108" s="184">
        <v>2380</v>
      </c>
      <c r="AQ108" s="184">
        <v>2380</v>
      </c>
      <c r="AR108" s="184">
        <v>2380</v>
      </c>
      <c r="AS108" s="184">
        <v>2380</v>
      </c>
      <c r="AT108" s="184">
        <v>2380</v>
      </c>
      <c r="AU108" s="184">
        <v>2320</v>
      </c>
      <c r="AV108" s="184">
        <v>2320</v>
      </c>
      <c r="AW108" s="146">
        <f>AW101+100</f>
        <v>2280</v>
      </c>
      <c r="AX108" s="146">
        <f>AX101+100</f>
        <v>2280</v>
      </c>
      <c r="AY108" s="146">
        <f>AY101+100</f>
        <v>2280</v>
      </c>
      <c r="AZ108" s="184">
        <v>2360</v>
      </c>
      <c r="BA108" s="184">
        <v>2360</v>
      </c>
      <c r="BB108" s="184">
        <v>2360</v>
      </c>
      <c r="BC108" s="184">
        <v>2360</v>
      </c>
      <c r="BD108" s="184">
        <v>2360</v>
      </c>
      <c r="BE108" s="184">
        <v>2360</v>
      </c>
      <c r="BF108" s="184">
        <v>2260</v>
      </c>
      <c r="BG108" s="184">
        <v>2260</v>
      </c>
      <c r="BH108" s="184">
        <v>2260</v>
      </c>
      <c r="BI108" s="184">
        <v>2260</v>
      </c>
      <c r="BJ108" s="184">
        <v>2260</v>
      </c>
      <c r="BK108" s="184">
        <v>2260</v>
      </c>
      <c r="BL108" s="184">
        <v>2350</v>
      </c>
      <c r="BM108" s="184">
        <v>2350</v>
      </c>
      <c r="BN108" s="184">
        <v>2350</v>
      </c>
      <c r="BO108" s="184">
        <v>2430</v>
      </c>
      <c r="BP108" s="184">
        <v>2430</v>
      </c>
      <c r="BQ108" s="184">
        <v>2430</v>
      </c>
      <c r="BR108" s="184"/>
      <c r="BS108" s="184"/>
      <c r="BT108" s="184"/>
      <c r="BU108" s="146" cm="1">
        <f t="array" ref="BU108">LOOKUP(2,1/(Y108:BT108&lt;&gt;""),Y108:BH108)</f>
        <v>2430</v>
      </c>
      <c r="BV108" s="145" cm="1">
        <f t="array" aca="1" ref="BV108" ca="1">_xlfn.LET(
    _xlpm.last_col_idx, LOOKUP(2, 1/(Y108:BT108&lt;&gt;""), COLUMN(Y108:BT108) - COLUMN(Y108) + 1),
    _xlpm.header_val, INDEX($Y$3:$BT$3, 1, _xlpm.last_col_idx),
    _xlpm.header_date, IF(ISNUMBER(_xlpm.header_val), _xlpm.header_val, DATEVALUE(_xlpm.header_val)),
    IF(_xlpm.header_date &gt; TODAY(), TODAY(), _xlpm.header_date)
)</f>
        <v>46212</v>
      </c>
      <c r="BW108" s="209" cm="1">
        <f t="array" ref="BW108">(LOOKUP(2,1/(BH108:BT108&lt;&gt;""),BH108:BT108))/(INDEX(BH108:BT108,MATCH(TRUE,INDEX((BH108:BT108&lt;&gt;0),0),0)))-1</f>
        <v>7.5221238938053103E-2</v>
      </c>
      <c r="BX108" s="210">
        <f t="shared" si="19"/>
        <v>2.4300000000000002</v>
      </c>
      <c r="BY108" s="210">
        <f t="shared" si="20"/>
        <v>14.337000000000002</v>
      </c>
      <c r="BZ108" s="210">
        <f ca="1">IF(L108="BR",'Impostos e Frete'!$F$6,IF(L108="EU",'Impostos e Frete'!$I$3,IF(L108="CN",'Impostos e Frete'!$I$4,IF(L108="JP",'Impostos e Frete'!$I$5,IF(L108="RU",'Impostos e Frete'!$I$7,"ERRO")))))</f>
        <v>0.1410816</v>
      </c>
      <c r="CA108" s="210">
        <f>VLOOKUP(L108,'Impostos e Frete'!$A$3:$B$7,2,0)*'Preços e Condições'!BY108</f>
        <v>1.8638100000000002</v>
      </c>
      <c r="CB108" s="147">
        <f t="shared" si="21"/>
        <v>-0.17699999999999999</v>
      </c>
      <c r="CC108" s="147">
        <f>IF(X108="BRL",'Impostos e Frete'!$B$11,'Impostos e Frete'!$B$12)</f>
        <v>9.1999999999999998E-2</v>
      </c>
      <c r="CD108" s="211">
        <f t="shared" ca="1" si="22"/>
        <v>16.256891599999999</v>
      </c>
      <c r="CE108" s="212">
        <f t="shared" ca="1" si="23"/>
        <v>1.3005513280000001</v>
      </c>
      <c r="CF108" s="213">
        <f>VLOOKUP(L108,'Impostos e Frete'!$A$3:$C$7,3,0)</f>
        <v>105</v>
      </c>
      <c r="CG108" s="213">
        <f t="shared" si="24"/>
        <v>120</v>
      </c>
      <c r="CH108" s="213">
        <f t="shared" si="25"/>
        <v>15</v>
      </c>
      <c r="CI108" s="214">
        <f t="shared" ca="1" si="26"/>
        <v>-0.12057193566798929</v>
      </c>
      <c r="CJ108" s="215">
        <f t="shared" ca="1" si="27"/>
        <v>16.13631966433201</v>
      </c>
      <c r="CK108" s="216">
        <f t="shared" ca="1" si="28"/>
        <v>1.2909055731465608</v>
      </c>
    </row>
    <row r="109" spans="1:89">
      <c r="A109" s="176">
        <v>14143</v>
      </c>
      <c r="B109" s="177">
        <v>8269</v>
      </c>
      <c r="C109" s="178">
        <v>68</v>
      </c>
      <c r="D109" s="178">
        <v>2120</v>
      </c>
      <c r="E109" s="178" t="s">
        <v>50</v>
      </c>
      <c r="F109" s="179" t="s">
        <v>2</v>
      </c>
      <c r="G109" s="189" t="s">
        <v>85</v>
      </c>
      <c r="H109" s="178" t="s">
        <v>42</v>
      </c>
      <c r="I109" s="178">
        <v>32102</v>
      </c>
      <c r="J109" s="178"/>
      <c r="K109" s="178"/>
      <c r="L109" s="178" t="s">
        <v>59</v>
      </c>
      <c r="M109" s="178">
        <v>120</v>
      </c>
      <c r="N109" s="178"/>
      <c r="O109" s="178"/>
      <c r="P109" s="178"/>
      <c r="Q109" s="178"/>
      <c r="R109" s="178" t="s">
        <v>126</v>
      </c>
      <c r="S109" s="181"/>
      <c r="T109" s="181"/>
      <c r="U109" s="182"/>
      <c r="V109" s="182" t="s">
        <v>35</v>
      </c>
      <c r="W109" s="183">
        <v>100</v>
      </c>
      <c r="X109" s="182" t="s">
        <v>51</v>
      </c>
      <c r="Y109" s="184">
        <v>2470</v>
      </c>
      <c r="Z109" s="184">
        <v>2470</v>
      </c>
      <c r="AA109" s="184">
        <v>2470</v>
      </c>
      <c r="AB109" s="184">
        <v>2380</v>
      </c>
      <c r="AC109" s="184">
        <v>2380</v>
      </c>
      <c r="AD109" s="184">
        <v>2380</v>
      </c>
      <c r="AE109" s="184">
        <v>2170</v>
      </c>
      <c r="AF109" s="184">
        <v>2170</v>
      </c>
      <c r="AG109" s="184">
        <v>2170</v>
      </c>
      <c r="AH109" s="184">
        <v>2060</v>
      </c>
      <c r="AI109" s="184">
        <v>2060</v>
      </c>
      <c r="AJ109" s="184">
        <v>2060</v>
      </c>
      <c r="AK109" s="184">
        <v>2060</v>
      </c>
      <c r="AL109" s="184">
        <v>2090</v>
      </c>
      <c r="AM109" s="184">
        <v>2090</v>
      </c>
      <c r="AN109" s="184">
        <v>2090</v>
      </c>
      <c r="AO109" s="184">
        <v>2150</v>
      </c>
      <c r="AP109" s="184">
        <v>2150</v>
      </c>
      <c r="AQ109" s="184">
        <v>2150</v>
      </c>
      <c r="AR109" s="184">
        <v>2150</v>
      </c>
      <c r="AS109" s="184">
        <v>2150</v>
      </c>
      <c r="AT109" s="184">
        <v>2150</v>
      </c>
      <c r="AU109" s="184">
        <v>2080</v>
      </c>
      <c r="AV109" s="184">
        <v>2080</v>
      </c>
      <c r="AW109" s="184">
        <v>2040</v>
      </c>
      <c r="AX109" s="184">
        <v>2040</v>
      </c>
      <c r="AY109" s="184">
        <v>2040</v>
      </c>
      <c r="AZ109" s="184">
        <v>2120</v>
      </c>
      <c r="BA109" s="184">
        <v>2120</v>
      </c>
      <c r="BB109" s="184">
        <v>2120</v>
      </c>
      <c r="BC109" s="184">
        <v>2120</v>
      </c>
      <c r="BD109" s="184">
        <v>2120</v>
      </c>
      <c r="BE109" s="184">
        <v>2120</v>
      </c>
      <c r="BF109" s="184">
        <v>2020</v>
      </c>
      <c r="BG109" s="184">
        <v>2020</v>
      </c>
      <c r="BH109" s="184">
        <v>2020</v>
      </c>
      <c r="BI109" s="184">
        <v>2020</v>
      </c>
      <c r="BJ109" s="184">
        <v>2020</v>
      </c>
      <c r="BK109" s="184">
        <v>2020</v>
      </c>
      <c r="BL109" s="184">
        <v>2100</v>
      </c>
      <c r="BM109" s="184">
        <v>2100</v>
      </c>
      <c r="BN109" s="184">
        <v>2100</v>
      </c>
      <c r="BO109" s="184">
        <v>2180</v>
      </c>
      <c r="BP109" s="184">
        <v>2180</v>
      </c>
      <c r="BQ109" s="184">
        <v>2180</v>
      </c>
      <c r="BR109" s="184"/>
      <c r="BS109" s="184"/>
      <c r="BT109" s="184"/>
      <c r="BU109" s="146" cm="1">
        <f t="array" ref="BU109">LOOKUP(2,1/(Y109:BT109&lt;&gt;""),Y109:BH109)</f>
        <v>2180</v>
      </c>
      <c r="BV109" s="145" cm="1">
        <f t="array" aca="1" ref="BV109" ca="1">_xlfn.LET(
    _xlpm.last_col_idx, LOOKUP(2, 1/(Y109:BT109&lt;&gt;""), COLUMN(Y109:BT109) - COLUMN(Y109) + 1),
    _xlpm.header_val, INDEX($Y$3:$BT$3, 1, _xlpm.last_col_idx),
    _xlpm.header_date, IF(ISNUMBER(_xlpm.header_val), _xlpm.header_val, DATEVALUE(_xlpm.header_val)),
    IF(_xlpm.header_date &gt; TODAY(), TODAY(), _xlpm.header_date)
)</f>
        <v>46212</v>
      </c>
      <c r="BW109" s="209" cm="1">
        <f t="array" ref="BW109">(LOOKUP(2,1/(BH109:BT109&lt;&gt;""),BH109:BT109))/(INDEX(BH109:BT109,MATCH(TRUE,INDEX((BH109:BT109&lt;&gt;0),0),0)))-1</f>
        <v>7.9207920792079278E-2</v>
      </c>
      <c r="BX109" s="210">
        <f t="shared" si="19"/>
        <v>2.1800000000000002</v>
      </c>
      <c r="BY109" s="210">
        <f t="shared" si="20"/>
        <v>12.862000000000002</v>
      </c>
      <c r="BZ109" s="210">
        <f ca="1">IF(L109="BR",'Impostos e Frete'!$F$6,IF(L109="EU",'Impostos e Frete'!$I$3,IF(L109="CN",'Impostos e Frete'!$I$4,IF(L109="JP",'Impostos e Frete'!$I$5,IF(L109="RU",'Impostos e Frete'!$I$7,"ERRO")))))</f>
        <v>0.1410816</v>
      </c>
      <c r="CA109" s="210">
        <f>VLOOKUP(L109,'Impostos e Frete'!$A$3:$B$7,2,0)*'Preços e Condições'!BY109</f>
        <v>1.6720600000000003</v>
      </c>
      <c r="CB109" s="147">
        <f t="shared" si="21"/>
        <v>-0.17699999999999999</v>
      </c>
      <c r="CC109" s="147">
        <f>IF(X109="BRL",'Impostos e Frete'!$B$11,'Impostos e Frete'!$B$12)</f>
        <v>9.1999999999999998E-2</v>
      </c>
      <c r="CD109" s="211">
        <f t="shared" ca="1" si="22"/>
        <v>14.590141600000003</v>
      </c>
      <c r="CE109" s="212">
        <f t="shared" ca="1" si="23"/>
        <v>0.99212962880000011</v>
      </c>
      <c r="CF109" s="213">
        <f>VLOOKUP(L109,'Impostos e Frete'!$A$3:$C$7,3,0)</f>
        <v>105</v>
      </c>
      <c r="CG109" s="213">
        <f t="shared" si="24"/>
        <v>120</v>
      </c>
      <c r="CH109" s="213">
        <f t="shared" si="25"/>
        <v>15</v>
      </c>
      <c r="CI109" s="214">
        <f t="shared" ca="1" si="26"/>
        <v>-0.10821020756403676</v>
      </c>
      <c r="CJ109" s="215">
        <f t="shared" ca="1" si="27"/>
        <v>14.481931392435966</v>
      </c>
      <c r="CK109" s="216">
        <f t="shared" ca="1" si="28"/>
        <v>0.98477133468564571</v>
      </c>
    </row>
    <row r="110" spans="1:89">
      <c r="A110" s="176">
        <v>14143</v>
      </c>
      <c r="B110" s="177">
        <v>8269</v>
      </c>
      <c r="C110" s="178">
        <v>68</v>
      </c>
      <c r="D110" s="178">
        <v>2120</v>
      </c>
      <c r="E110" s="178" t="s">
        <v>50</v>
      </c>
      <c r="F110" s="179" t="s">
        <v>2</v>
      </c>
      <c r="G110" s="189" t="s">
        <v>85</v>
      </c>
      <c r="H110" s="178" t="s">
        <v>42</v>
      </c>
      <c r="I110" s="178">
        <v>32102</v>
      </c>
      <c r="J110" s="178"/>
      <c r="K110" s="178"/>
      <c r="L110" s="178" t="s">
        <v>59</v>
      </c>
      <c r="M110" s="178">
        <v>120</v>
      </c>
      <c r="N110" s="178"/>
      <c r="O110" s="178"/>
      <c r="P110" s="178"/>
      <c r="Q110" s="178"/>
      <c r="R110" s="178" t="s">
        <v>126</v>
      </c>
      <c r="S110" s="181"/>
      <c r="T110" s="181"/>
      <c r="U110" s="182"/>
      <c r="V110" s="182" t="s">
        <v>35</v>
      </c>
      <c r="W110" s="183">
        <v>70</v>
      </c>
      <c r="X110" s="182" t="s">
        <v>51</v>
      </c>
      <c r="Y110" s="184">
        <v>2490</v>
      </c>
      <c r="Z110" s="184">
        <v>2490</v>
      </c>
      <c r="AA110" s="184">
        <v>2490</v>
      </c>
      <c r="AB110" s="184">
        <v>2400</v>
      </c>
      <c r="AC110" s="184">
        <v>2400</v>
      </c>
      <c r="AD110" s="184">
        <v>2400</v>
      </c>
      <c r="AE110" s="184">
        <v>2190</v>
      </c>
      <c r="AF110" s="184">
        <v>2190</v>
      </c>
      <c r="AG110" s="184">
        <v>2190</v>
      </c>
      <c r="AH110" s="184">
        <v>2080</v>
      </c>
      <c r="AI110" s="184">
        <v>2080</v>
      </c>
      <c r="AJ110" s="184">
        <v>2080</v>
      </c>
      <c r="AK110" s="184">
        <v>2080</v>
      </c>
      <c r="AL110" s="146">
        <f>40+(AL109+20)</f>
        <v>2150</v>
      </c>
      <c r="AM110" s="146">
        <f>40+(AM109+20)</f>
        <v>2150</v>
      </c>
      <c r="AN110" s="146">
        <f>40+(AN109+20)</f>
        <v>2150</v>
      </c>
      <c r="AO110" s="184">
        <v>2170</v>
      </c>
      <c r="AP110" s="184">
        <v>2170</v>
      </c>
      <c r="AQ110" s="184">
        <v>2170</v>
      </c>
      <c r="AR110" s="184">
        <v>2170</v>
      </c>
      <c r="AS110" s="184">
        <v>2170</v>
      </c>
      <c r="AT110" s="184">
        <v>2170</v>
      </c>
      <c r="AU110" s="184">
        <v>2100</v>
      </c>
      <c r="AV110" s="184">
        <v>2100</v>
      </c>
      <c r="AW110" s="146">
        <f>AW109+20</f>
        <v>2060</v>
      </c>
      <c r="AX110" s="146">
        <f>AX109+20</f>
        <v>2060</v>
      </c>
      <c r="AY110" s="146">
        <f>AY109+20</f>
        <v>2060</v>
      </c>
      <c r="AZ110" s="184">
        <v>2140</v>
      </c>
      <c r="BA110" s="184">
        <v>2140</v>
      </c>
      <c r="BB110" s="184">
        <v>2140</v>
      </c>
      <c r="BC110" s="184">
        <v>2140</v>
      </c>
      <c r="BD110" s="184">
        <v>2140</v>
      </c>
      <c r="BE110" s="184">
        <v>2140</v>
      </c>
      <c r="BF110" s="184">
        <v>2040</v>
      </c>
      <c r="BG110" s="184">
        <v>2040</v>
      </c>
      <c r="BH110" s="184">
        <v>2040</v>
      </c>
      <c r="BI110" s="184">
        <v>2040</v>
      </c>
      <c r="BJ110" s="184">
        <v>2040</v>
      </c>
      <c r="BK110" s="184">
        <v>2040</v>
      </c>
      <c r="BL110" s="184">
        <v>2120</v>
      </c>
      <c r="BM110" s="184">
        <v>2120</v>
      </c>
      <c r="BN110" s="184">
        <v>2120</v>
      </c>
      <c r="BO110" s="184">
        <v>2200</v>
      </c>
      <c r="BP110" s="184">
        <v>2200</v>
      </c>
      <c r="BQ110" s="184">
        <v>2200</v>
      </c>
      <c r="BR110" s="184"/>
      <c r="BS110" s="184"/>
      <c r="BT110" s="184"/>
      <c r="BU110" s="146" cm="1">
        <f t="array" ref="BU110">LOOKUP(2,1/(Y110:BT110&lt;&gt;""),Y110:BH110)</f>
        <v>2200</v>
      </c>
      <c r="BV110" s="145" cm="1">
        <f t="array" aca="1" ref="BV110" ca="1">_xlfn.LET(
    _xlpm.last_col_idx, LOOKUP(2, 1/(Y110:BT110&lt;&gt;""), COLUMN(Y110:BT110) - COLUMN(Y110) + 1),
    _xlpm.header_val, INDEX($Y$3:$BT$3, 1, _xlpm.last_col_idx),
    _xlpm.header_date, IF(ISNUMBER(_xlpm.header_val), _xlpm.header_val, DATEVALUE(_xlpm.header_val)),
    IF(_xlpm.header_date &gt; TODAY(), TODAY(), _xlpm.header_date)
)</f>
        <v>46212</v>
      </c>
      <c r="BW110" s="209" cm="1">
        <f t="array" ref="BW110">(LOOKUP(2,1/(BH110:BT110&lt;&gt;""),BH110:BT110))/(INDEX(BH110:BT110,MATCH(TRUE,INDEX((BH110:BT110&lt;&gt;0),0),0)))-1</f>
        <v>7.8431372549019551E-2</v>
      </c>
      <c r="BX110" s="210">
        <f t="shared" si="19"/>
        <v>2.2000000000000002</v>
      </c>
      <c r="BY110" s="210">
        <f t="shared" si="20"/>
        <v>12.980000000000002</v>
      </c>
      <c r="BZ110" s="210">
        <f ca="1">IF(L110="BR",'Impostos e Frete'!$F$6,IF(L110="EU",'Impostos e Frete'!$I$3,IF(L110="CN",'Impostos e Frete'!$I$4,IF(L110="JP",'Impostos e Frete'!$I$5,IF(L110="RU",'Impostos e Frete'!$I$7,"ERRO")))))</f>
        <v>0.1410816</v>
      </c>
      <c r="CA110" s="210">
        <f>VLOOKUP(L110,'Impostos e Frete'!$A$3:$B$7,2,0)*'Preços e Condições'!BY110</f>
        <v>1.6874000000000002</v>
      </c>
      <c r="CB110" s="147">
        <f t="shared" si="21"/>
        <v>-0.17699999999999999</v>
      </c>
      <c r="CC110" s="147">
        <f>IF(X110="BRL",'Impostos e Frete'!$B$11,'Impostos e Frete'!$B$12)</f>
        <v>9.1999999999999998E-2</v>
      </c>
      <c r="CD110" s="211">
        <f t="shared" ca="1" si="22"/>
        <v>14.723481600000003</v>
      </c>
      <c r="CE110" s="212">
        <f t="shared" ca="1" si="23"/>
        <v>1.0011967488000002</v>
      </c>
      <c r="CF110" s="213">
        <f>VLOOKUP(L110,'Impostos e Frete'!$A$3:$C$7,3,0)</f>
        <v>105</v>
      </c>
      <c r="CG110" s="213">
        <f t="shared" si="24"/>
        <v>120</v>
      </c>
      <c r="CH110" s="213">
        <f t="shared" si="25"/>
        <v>15</v>
      </c>
      <c r="CI110" s="214">
        <f t="shared" ca="1" si="26"/>
        <v>-0.10919914581235446</v>
      </c>
      <c r="CJ110" s="215">
        <f t="shared" ca="1" si="27"/>
        <v>14.614282454187649</v>
      </c>
      <c r="CK110" s="216">
        <f t="shared" ca="1" si="28"/>
        <v>0.99377120688476006</v>
      </c>
    </row>
    <row r="111" spans="1:89">
      <c r="A111" s="176">
        <v>14143</v>
      </c>
      <c r="B111" s="177">
        <v>8269</v>
      </c>
      <c r="C111" s="178">
        <v>68</v>
      </c>
      <c r="D111" s="178">
        <v>2120</v>
      </c>
      <c r="E111" s="178" t="s">
        <v>50</v>
      </c>
      <c r="F111" s="179" t="s">
        <v>2</v>
      </c>
      <c r="G111" s="189" t="s">
        <v>85</v>
      </c>
      <c r="H111" s="178" t="s">
        <v>42</v>
      </c>
      <c r="I111" s="178">
        <v>32102</v>
      </c>
      <c r="J111" s="178"/>
      <c r="K111" s="178"/>
      <c r="L111" s="178" t="s">
        <v>59</v>
      </c>
      <c r="M111" s="178">
        <v>120</v>
      </c>
      <c r="N111" s="178"/>
      <c r="O111" s="178"/>
      <c r="P111" s="178"/>
      <c r="Q111" s="178"/>
      <c r="R111" s="178" t="s">
        <v>126</v>
      </c>
      <c r="S111" s="181"/>
      <c r="T111" s="181"/>
      <c r="U111" s="182"/>
      <c r="V111" s="182" t="s">
        <v>35</v>
      </c>
      <c r="W111" s="183">
        <v>50</v>
      </c>
      <c r="X111" s="182" t="s">
        <v>51</v>
      </c>
      <c r="Y111" s="184">
        <v>2520</v>
      </c>
      <c r="Z111" s="184">
        <v>2520</v>
      </c>
      <c r="AA111" s="184">
        <v>2520</v>
      </c>
      <c r="AB111" s="184">
        <v>2430</v>
      </c>
      <c r="AC111" s="184">
        <v>2430</v>
      </c>
      <c r="AD111" s="184">
        <v>2430</v>
      </c>
      <c r="AE111" s="184">
        <v>2220</v>
      </c>
      <c r="AF111" s="184">
        <v>2220</v>
      </c>
      <c r="AG111" s="184">
        <v>2220</v>
      </c>
      <c r="AH111" s="184">
        <v>2110</v>
      </c>
      <c r="AI111" s="184">
        <v>2110</v>
      </c>
      <c r="AJ111" s="184">
        <v>2110</v>
      </c>
      <c r="AK111" s="184">
        <v>2110</v>
      </c>
      <c r="AL111" s="146">
        <f>40+(AL109+50)</f>
        <v>2180</v>
      </c>
      <c r="AM111" s="146">
        <f>40+(AM109+50)</f>
        <v>2180</v>
      </c>
      <c r="AN111" s="146">
        <f>40+(AN109+50)</f>
        <v>2180</v>
      </c>
      <c r="AO111" s="184">
        <v>2200</v>
      </c>
      <c r="AP111" s="184">
        <v>2200</v>
      </c>
      <c r="AQ111" s="184">
        <v>2200</v>
      </c>
      <c r="AR111" s="184">
        <v>2200</v>
      </c>
      <c r="AS111" s="184">
        <v>2200</v>
      </c>
      <c r="AT111" s="184">
        <v>2200</v>
      </c>
      <c r="AU111" s="184">
        <v>2130</v>
      </c>
      <c r="AV111" s="184">
        <v>2130</v>
      </c>
      <c r="AW111" s="184">
        <v>2090</v>
      </c>
      <c r="AX111" s="146">
        <f>AX109+50</f>
        <v>2090</v>
      </c>
      <c r="AY111" s="146">
        <f>AY109+50</f>
        <v>2090</v>
      </c>
      <c r="AZ111" s="184">
        <v>2170</v>
      </c>
      <c r="BA111" s="184">
        <v>2170</v>
      </c>
      <c r="BB111" s="184">
        <v>2170</v>
      </c>
      <c r="BC111" s="184">
        <v>2170</v>
      </c>
      <c r="BD111" s="184">
        <v>2170</v>
      </c>
      <c r="BE111" s="184">
        <v>2170</v>
      </c>
      <c r="BF111" s="184">
        <v>2070</v>
      </c>
      <c r="BG111" s="184">
        <v>2070</v>
      </c>
      <c r="BH111" s="184">
        <v>2070</v>
      </c>
      <c r="BI111" s="184">
        <v>2070</v>
      </c>
      <c r="BJ111" s="184">
        <v>2070</v>
      </c>
      <c r="BK111" s="184">
        <v>2070</v>
      </c>
      <c r="BL111" s="184">
        <v>2150</v>
      </c>
      <c r="BM111" s="184">
        <v>2150</v>
      </c>
      <c r="BN111" s="184">
        <v>2150</v>
      </c>
      <c r="BO111" s="184">
        <v>2230</v>
      </c>
      <c r="BP111" s="184">
        <v>2230</v>
      </c>
      <c r="BQ111" s="184">
        <v>2230</v>
      </c>
      <c r="BR111" s="184"/>
      <c r="BS111" s="184"/>
      <c r="BT111" s="184"/>
      <c r="BU111" s="146" cm="1">
        <f t="array" ref="BU111">LOOKUP(2,1/(Y111:BT111&lt;&gt;""),Y111:BH111)</f>
        <v>2230</v>
      </c>
      <c r="BV111" s="145" cm="1">
        <f t="array" aca="1" ref="BV111" ca="1">_xlfn.LET(
    _xlpm.last_col_idx, LOOKUP(2, 1/(Y111:BT111&lt;&gt;""), COLUMN(Y111:BT111) - COLUMN(Y111) + 1),
    _xlpm.header_val, INDEX($Y$3:$BT$3, 1, _xlpm.last_col_idx),
    _xlpm.header_date, IF(ISNUMBER(_xlpm.header_val), _xlpm.header_val, DATEVALUE(_xlpm.header_val)),
    IF(_xlpm.header_date &gt; TODAY(), TODAY(), _xlpm.header_date)
)</f>
        <v>46212</v>
      </c>
      <c r="BW111" s="209" cm="1">
        <f t="array" ref="BW111">(LOOKUP(2,1/(BH111:BT111&lt;&gt;""),BH111:BT111))/(INDEX(BH111:BT111,MATCH(TRUE,INDEX((BH111:BT111&lt;&gt;0),0),0)))-1</f>
        <v>7.7294685990338063E-2</v>
      </c>
      <c r="BX111" s="210">
        <f t="shared" si="19"/>
        <v>2.23</v>
      </c>
      <c r="BY111" s="210">
        <f t="shared" si="20"/>
        <v>13.157</v>
      </c>
      <c r="BZ111" s="210">
        <f ca="1">IF(L111="BR",'Impostos e Frete'!$F$6,IF(L111="EU",'Impostos e Frete'!$I$3,IF(L111="CN",'Impostos e Frete'!$I$4,IF(L111="JP",'Impostos e Frete'!$I$5,IF(L111="RU",'Impostos e Frete'!$I$7,"ERRO")))))</f>
        <v>0.1410816</v>
      </c>
      <c r="CA111" s="210">
        <f>VLOOKUP(L111,'Impostos e Frete'!$A$3:$B$7,2,0)*'Preços e Condições'!BY111</f>
        <v>1.71041</v>
      </c>
      <c r="CB111" s="147">
        <f t="shared" si="21"/>
        <v>-0.17699999999999999</v>
      </c>
      <c r="CC111" s="147">
        <f>IF(X111="BRL",'Impostos e Frete'!$B$11,'Impostos e Frete'!$B$12)</f>
        <v>9.1999999999999998E-2</v>
      </c>
      <c r="CD111" s="211">
        <f t="shared" ca="1" si="22"/>
        <v>14.9234916</v>
      </c>
      <c r="CE111" s="212">
        <f t="shared" ca="1" si="23"/>
        <v>1.0147974287999999</v>
      </c>
      <c r="CF111" s="213">
        <f>VLOOKUP(L111,'Impostos e Frete'!$A$3:$C$7,3,0)</f>
        <v>105</v>
      </c>
      <c r="CG111" s="213">
        <f t="shared" si="24"/>
        <v>120</v>
      </c>
      <c r="CH111" s="213">
        <f t="shared" si="25"/>
        <v>15</v>
      </c>
      <c r="CI111" s="214">
        <f t="shared" ca="1" si="26"/>
        <v>-0.11068255318482834</v>
      </c>
      <c r="CJ111" s="215">
        <f t="shared" ca="1" si="27"/>
        <v>14.812809046815172</v>
      </c>
      <c r="CK111" s="216">
        <f t="shared" ca="1" si="28"/>
        <v>1.0072710151834317</v>
      </c>
    </row>
    <row r="112" spans="1:89">
      <c r="A112" s="176">
        <v>14143</v>
      </c>
      <c r="B112" s="177">
        <v>8269</v>
      </c>
      <c r="C112" s="178">
        <v>68</v>
      </c>
      <c r="D112" s="178">
        <v>2120</v>
      </c>
      <c r="E112" s="178" t="s">
        <v>50</v>
      </c>
      <c r="F112" s="179" t="s">
        <v>2</v>
      </c>
      <c r="G112" s="189" t="s">
        <v>85</v>
      </c>
      <c r="H112" s="178" t="s">
        <v>42</v>
      </c>
      <c r="I112" s="178">
        <v>32102</v>
      </c>
      <c r="J112" s="178"/>
      <c r="K112" s="178"/>
      <c r="L112" s="178" t="s">
        <v>59</v>
      </c>
      <c r="M112" s="178">
        <v>120</v>
      </c>
      <c r="N112" s="178"/>
      <c r="O112" s="178"/>
      <c r="P112" s="178"/>
      <c r="Q112" s="178"/>
      <c r="R112" s="178" t="s">
        <v>126</v>
      </c>
      <c r="S112" s="181"/>
      <c r="T112" s="181"/>
      <c r="U112" s="182"/>
      <c r="V112" s="182" t="s">
        <v>35</v>
      </c>
      <c r="W112" s="183">
        <v>30</v>
      </c>
      <c r="X112" s="182" t="s">
        <v>51</v>
      </c>
      <c r="Y112" s="184">
        <v>2570</v>
      </c>
      <c r="Z112" s="184">
        <v>2570</v>
      </c>
      <c r="AA112" s="184">
        <v>2570</v>
      </c>
      <c r="AB112" s="184">
        <v>2480</v>
      </c>
      <c r="AC112" s="184">
        <v>2480</v>
      </c>
      <c r="AD112" s="184">
        <v>2480</v>
      </c>
      <c r="AE112" s="184">
        <v>2270</v>
      </c>
      <c r="AF112" s="184">
        <v>2270</v>
      </c>
      <c r="AG112" s="184">
        <v>2270</v>
      </c>
      <c r="AH112" s="184">
        <v>2160</v>
      </c>
      <c r="AI112" s="184">
        <v>2160</v>
      </c>
      <c r="AJ112" s="184">
        <v>2160</v>
      </c>
      <c r="AK112" s="184">
        <v>2160</v>
      </c>
      <c r="AL112" s="146">
        <f>40+(AL109+100)</f>
        <v>2230</v>
      </c>
      <c r="AM112" s="146">
        <f>40+(AM109+100)</f>
        <v>2230</v>
      </c>
      <c r="AN112" s="146">
        <f>40+(AN109+100)</f>
        <v>2230</v>
      </c>
      <c r="AO112" s="184">
        <v>2250</v>
      </c>
      <c r="AP112" s="184">
        <v>2250</v>
      </c>
      <c r="AQ112" s="184">
        <v>2250</v>
      </c>
      <c r="AR112" s="184">
        <v>2250</v>
      </c>
      <c r="AS112" s="184">
        <v>2250</v>
      </c>
      <c r="AT112" s="184">
        <v>2250</v>
      </c>
      <c r="AU112" s="184">
        <v>2180</v>
      </c>
      <c r="AV112" s="184">
        <v>2180</v>
      </c>
      <c r="AW112" s="146">
        <f>AW109+100</f>
        <v>2140</v>
      </c>
      <c r="AX112" s="146">
        <f>AX109+100</f>
        <v>2140</v>
      </c>
      <c r="AY112" s="146">
        <f>AY109+100</f>
        <v>2140</v>
      </c>
      <c r="AZ112" s="184">
        <v>2220</v>
      </c>
      <c r="BA112" s="184">
        <v>2220</v>
      </c>
      <c r="BB112" s="184">
        <v>2220</v>
      </c>
      <c r="BC112" s="184">
        <v>2220</v>
      </c>
      <c r="BD112" s="184">
        <v>2220</v>
      </c>
      <c r="BE112" s="184">
        <v>2220</v>
      </c>
      <c r="BF112" s="184">
        <v>2120</v>
      </c>
      <c r="BG112" s="184">
        <v>2120</v>
      </c>
      <c r="BH112" s="184">
        <v>2120</v>
      </c>
      <c r="BI112" s="184">
        <v>2120</v>
      </c>
      <c r="BJ112" s="184">
        <v>2120</v>
      </c>
      <c r="BK112" s="184">
        <v>2120</v>
      </c>
      <c r="BL112" s="184">
        <v>2200</v>
      </c>
      <c r="BM112" s="184">
        <v>2200</v>
      </c>
      <c r="BN112" s="184">
        <v>2200</v>
      </c>
      <c r="BO112" s="184">
        <v>2280</v>
      </c>
      <c r="BP112" s="184">
        <v>2280</v>
      </c>
      <c r="BQ112" s="184">
        <v>2280</v>
      </c>
      <c r="BR112" s="184"/>
      <c r="BS112" s="184"/>
      <c r="BT112" s="184"/>
      <c r="BU112" s="146" cm="1">
        <f t="array" ref="BU112">LOOKUP(2,1/(Y112:BT112&lt;&gt;""),Y112:BH112)</f>
        <v>2280</v>
      </c>
      <c r="BV112" s="145" cm="1">
        <f t="array" aca="1" ref="BV112" ca="1">_xlfn.LET(
    _xlpm.last_col_idx, LOOKUP(2, 1/(Y112:BT112&lt;&gt;""), COLUMN(Y112:BT112) - COLUMN(Y112) + 1),
    _xlpm.header_val, INDEX($Y$3:$BT$3, 1, _xlpm.last_col_idx),
    _xlpm.header_date, IF(ISNUMBER(_xlpm.header_val), _xlpm.header_val, DATEVALUE(_xlpm.header_val)),
    IF(_xlpm.header_date &gt; TODAY(), TODAY(), _xlpm.header_date)
)</f>
        <v>46212</v>
      </c>
      <c r="BW112" s="209" cm="1">
        <f t="array" ref="BW112">(LOOKUP(2,1/(BH112:BT112&lt;&gt;""),BH112:BT112))/(INDEX(BH112:BT112,MATCH(TRUE,INDEX((BH112:BT112&lt;&gt;0),0),0)))-1</f>
        <v>7.547169811320753E-2</v>
      </c>
      <c r="BX112" s="210">
        <f t="shared" si="19"/>
        <v>2.2799999999999998</v>
      </c>
      <c r="BY112" s="210">
        <f t="shared" si="20"/>
        <v>13.452</v>
      </c>
      <c r="BZ112" s="210">
        <f ca="1">IF(L112="BR",'Impostos e Frete'!$F$6,IF(L112="EU",'Impostos e Frete'!$I$3,IF(L112="CN",'Impostos e Frete'!$I$4,IF(L112="JP",'Impostos e Frete'!$I$5,IF(L112="RU",'Impostos e Frete'!$I$7,"ERRO")))))</f>
        <v>0.1410816</v>
      </c>
      <c r="CA112" s="210">
        <f>VLOOKUP(L112,'Impostos e Frete'!$A$3:$B$7,2,0)*'Preços e Condições'!BY112</f>
        <v>1.7487600000000001</v>
      </c>
      <c r="CB112" s="147">
        <f t="shared" si="21"/>
        <v>-0.17699999999999999</v>
      </c>
      <c r="CC112" s="147">
        <f>IF(X112="BRL",'Impostos e Frete'!$B$11,'Impostos e Frete'!$B$12)</f>
        <v>9.1999999999999998E-2</v>
      </c>
      <c r="CD112" s="211">
        <f t="shared" ca="1" si="22"/>
        <v>15.256841600000001</v>
      </c>
      <c r="CE112" s="212">
        <f t="shared" ca="1" si="23"/>
        <v>1.0374652288000001</v>
      </c>
      <c r="CF112" s="213">
        <f>VLOOKUP(L112,'Impostos e Frete'!$A$3:$C$7,3,0)</f>
        <v>105</v>
      </c>
      <c r="CG112" s="213">
        <f t="shared" si="24"/>
        <v>120</v>
      </c>
      <c r="CH112" s="213">
        <f t="shared" si="25"/>
        <v>15</v>
      </c>
      <c r="CI112" s="214">
        <f t="shared" ca="1" si="26"/>
        <v>-0.11315489880561813</v>
      </c>
      <c r="CJ112" s="215">
        <f t="shared" ca="1" si="27"/>
        <v>15.143686701194383</v>
      </c>
      <c r="CK112" s="216">
        <f t="shared" ca="1" si="28"/>
        <v>1.029770695681218</v>
      </c>
    </row>
    <row r="113" spans="1:89">
      <c r="A113" s="176">
        <v>14144</v>
      </c>
      <c r="B113" s="177">
        <v>248</v>
      </c>
      <c r="C113" s="178">
        <v>65</v>
      </c>
      <c r="D113" s="178">
        <v>1870</v>
      </c>
      <c r="E113" s="178" t="s">
        <v>50</v>
      </c>
      <c r="F113" s="179" t="s">
        <v>2</v>
      </c>
      <c r="G113" s="189" t="s">
        <v>90</v>
      </c>
      <c r="H113" s="178" t="s">
        <v>63</v>
      </c>
      <c r="I113" s="178">
        <v>32153</v>
      </c>
      <c r="J113" s="178"/>
      <c r="K113" s="178"/>
      <c r="L113" s="178" t="s">
        <v>59</v>
      </c>
      <c r="M113" s="178">
        <v>120</v>
      </c>
      <c r="N113" s="178"/>
      <c r="O113" s="178"/>
      <c r="P113" s="178"/>
      <c r="Q113" s="178"/>
      <c r="R113" s="178" t="s">
        <v>126</v>
      </c>
      <c r="S113" s="181"/>
      <c r="T113" s="181"/>
      <c r="U113" s="182"/>
      <c r="V113" s="182" t="s">
        <v>35</v>
      </c>
      <c r="W113" s="183">
        <v>100</v>
      </c>
      <c r="X113" s="182" t="s">
        <v>51</v>
      </c>
      <c r="Y113" s="184">
        <v>2740</v>
      </c>
      <c r="Z113" s="184">
        <v>2740</v>
      </c>
      <c r="AA113" s="184">
        <v>2740</v>
      </c>
      <c r="AB113" s="184">
        <v>2650</v>
      </c>
      <c r="AC113" s="184">
        <v>2650</v>
      </c>
      <c r="AD113" s="184">
        <v>2650</v>
      </c>
      <c r="AE113" s="184">
        <v>2440</v>
      </c>
      <c r="AF113" s="184">
        <v>2440</v>
      </c>
      <c r="AG113" s="184">
        <v>2440</v>
      </c>
      <c r="AH113" s="184">
        <v>2330</v>
      </c>
      <c r="AI113" s="184">
        <v>2330</v>
      </c>
      <c r="AJ113" s="184">
        <v>2330</v>
      </c>
      <c r="AK113" s="184">
        <v>2330</v>
      </c>
      <c r="AL113" s="184">
        <v>2360</v>
      </c>
      <c r="AM113" s="184">
        <v>2360</v>
      </c>
      <c r="AN113" s="184">
        <v>2360</v>
      </c>
      <c r="AO113" s="184">
        <v>2380</v>
      </c>
      <c r="AP113" s="184">
        <v>2380</v>
      </c>
      <c r="AQ113" s="184">
        <v>2380</v>
      </c>
      <c r="AR113" s="184">
        <v>2380</v>
      </c>
      <c r="AS113" s="184">
        <v>2380</v>
      </c>
      <c r="AT113" s="184">
        <v>2380</v>
      </c>
      <c r="AU113" s="184">
        <v>2330</v>
      </c>
      <c r="AV113" s="184">
        <v>2330</v>
      </c>
      <c r="AW113" s="184">
        <v>2290</v>
      </c>
      <c r="AX113" s="184">
        <v>2290</v>
      </c>
      <c r="AY113" s="184">
        <v>2290</v>
      </c>
      <c r="AZ113" s="184">
        <v>2370</v>
      </c>
      <c r="BA113" s="184">
        <v>2370</v>
      </c>
      <c r="BB113" s="184">
        <v>2370</v>
      </c>
      <c r="BC113" s="184">
        <v>2370</v>
      </c>
      <c r="BD113" s="184">
        <v>2370</v>
      </c>
      <c r="BE113" s="184">
        <v>2370</v>
      </c>
      <c r="BF113" s="184">
        <v>2270</v>
      </c>
      <c r="BG113" s="184">
        <v>2270</v>
      </c>
      <c r="BH113" s="184">
        <v>2270</v>
      </c>
      <c r="BI113" s="184">
        <v>2270</v>
      </c>
      <c r="BJ113" s="184">
        <v>2270</v>
      </c>
      <c r="BK113" s="184">
        <v>2270</v>
      </c>
      <c r="BL113" s="184">
        <v>2350</v>
      </c>
      <c r="BM113" s="184">
        <v>2350</v>
      </c>
      <c r="BN113" s="184">
        <v>2350</v>
      </c>
      <c r="BO113" s="184"/>
      <c r="BP113" s="184"/>
      <c r="BQ113" s="184"/>
      <c r="BR113" s="184"/>
      <c r="BS113" s="184"/>
      <c r="BT113" s="184"/>
      <c r="BU113" s="146" cm="1">
        <f t="array" ref="BU113">LOOKUP(2,1/(Y113:BT113&lt;&gt;""),Y113:BH113)</f>
        <v>2350</v>
      </c>
      <c r="BV113" s="145" cm="1">
        <f t="array" aca="1" ref="BV113" ca="1">_xlfn.LET(
    _xlpm.last_col_idx, LOOKUP(2, 1/(Y113:BT113&lt;&gt;""), COLUMN(Y113:BT113) - COLUMN(Y113) + 1),
    _xlpm.header_val, INDEX($Y$3:$BT$3, 1, _xlpm.last_col_idx),
    _xlpm.header_date, IF(ISNUMBER(_xlpm.header_val), _xlpm.header_val, DATEVALUE(_xlpm.header_val)),
    IF(_xlpm.header_date &gt; TODAY(), TODAY(), _xlpm.header_date)
)</f>
        <v>46174</v>
      </c>
      <c r="BW113" s="209" cm="1">
        <f t="array" ref="BW113">(LOOKUP(2,1/(BH113:BT113&lt;&gt;""),BH113:BT113))/(INDEX(BH113:BT113,MATCH(TRUE,INDEX((BH113:BT113&lt;&gt;0),0),0)))-1</f>
        <v>3.524229074889873E-2</v>
      </c>
      <c r="BX113" s="210">
        <f t="shared" si="19"/>
        <v>2.35</v>
      </c>
      <c r="BY113" s="210">
        <f t="shared" si="20"/>
        <v>13.865000000000002</v>
      </c>
      <c r="BZ113" s="210">
        <f ca="1">IF(L113="BR",'Impostos e Frete'!$F$6,IF(L113="EU",'Impostos e Frete'!$I$3,IF(L113="CN",'Impostos e Frete'!$I$4,IF(L113="JP",'Impostos e Frete'!$I$5,IF(L113="RU",'Impostos e Frete'!$I$7,"ERRO")))))</f>
        <v>0.1410816</v>
      </c>
      <c r="CA113" s="210">
        <f>VLOOKUP(L113,'Impostos e Frete'!$A$3:$B$7,2,0)*'Preços e Condições'!BY113</f>
        <v>1.8024500000000003</v>
      </c>
      <c r="CB113" s="147">
        <f t="shared" si="21"/>
        <v>-0.17699999999999999</v>
      </c>
      <c r="CC113" s="147">
        <f>IF(X113="BRL",'Impostos e Frete'!$B$11,'Impostos e Frete'!$B$12)</f>
        <v>9.1999999999999998E-2</v>
      </c>
      <c r="CD113" s="211">
        <f t="shared" ca="1" si="22"/>
        <v>15.723531600000003</v>
      </c>
      <c r="CE113" s="212">
        <f t="shared" ca="1" si="23"/>
        <v>1.0220295540000002</v>
      </c>
      <c r="CF113" s="213">
        <f>VLOOKUP(L113,'Impostos e Frete'!$A$3:$C$7,3,0)</f>
        <v>105</v>
      </c>
      <c r="CG113" s="213">
        <f t="shared" si="24"/>
        <v>120</v>
      </c>
      <c r="CH113" s="213">
        <f t="shared" si="25"/>
        <v>15</v>
      </c>
      <c r="CI113" s="214">
        <f t="shared" ca="1" si="26"/>
        <v>-0.11661618267472562</v>
      </c>
      <c r="CJ113" s="215">
        <f t="shared" ca="1" si="27"/>
        <v>15.606915417325277</v>
      </c>
      <c r="CK113" s="216">
        <f t="shared" ca="1" si="28"/>
        <v>1.014449502126143</v>
      </c>
    </row>
    <row r="114" spans="1:89">
      <c r="A114" s="176">
        <v>14144</v>
      </c>
      <c r="B114" s="177">
        <v>248</v>
      </c>
      <c r="C114" s="178">
        <v>65</v>
      </c>
      <c r="D114" s="178">
        <v>1870</v>
      </c>
      <c r="E114" s="178" t="s">
        <v>50</v>
      </c>
      <c r="F114" s="179" t="s">
        <v>2</v>
      </c>
      <c r="G114" s="189" t="s">
        <v>90</v>
      </c>
      <c r="H114" s="178" t="s">
        <v>63</v>
      </c>
      <c r="I114" s="178">
        <v>32153</v>
      </c>
      <c r="J114" s="178"/>
      <c r="K114" s="178"/>
      <c r="L114" s="178" t="s">
        <v>59</v>
      </c>
      <c r="M114" s="178">
        <v>120</v>
      </c>
      <c r="N114" s="178"/>
      <c r="O114" s="178"/>
      <c r="P114" s="178"/>
      <c r="Q114" s="178"/>
      <c r="R114" s="178" t="s">
        <v>126</v>
      </c>
      <c r="S114" s="181"/>
      <c r="T114" s="181"/>
      <c r="U114" s="182"/>
      <c r="V114" s="182" t="s">
        <v>35</v>
      </c>
      <c r="W114" s="183">
        <v>70</v>
      </c>
      <c r="X114" s="182" t="s">
        <v>51</v>
      </c>
      <c r="Y114" s="184">
        <v>2760</v>
      </c>
      <c r="Z114" s="184">
        <v>2760</v>
      </c>
      <c r="AA114" s="184">
        <v>2760</v>
      </c>
      <c r="AB114" s="184">
        <v>2670</v>
      </c>
      <c r="AC114" s="184">
        <v>2670</v>
      </c>
      <c r="AD114" s="184">
        <v>2670</v>
      </c>
      <c r="AE114" s="184">
        <v>2460</v>
      </c>
      <c r="AF114" s="184">
        <v>2460</v>
      </c>
      <c r="AG114" s="184">
        <v>2460</v>
      </c>
      <c r="AH114" s="184">
        <v>2350</v>
      </c>
      <c r="AI114" s="184">
        <v>2350</v>
      </c>
      <c r="AJ114" s="184">
        <v>2350</v>
      </c>
      <c r="AK114" s="184">
        <v>2350</v>
      </c>
      <c r="AL114" s="146">
        <f>40+(AL113+20)</f>
        <v>2420</v>
      </c>
      <c r="AM114" s="146">
        <f>40+(AM113+20)</f>
        <v>2420</v>
      </c>
      <c r="AN114" s="146">
        <f>40+(AN113+20)</f>
        <v>2420</v>
      </c>
      <c r="AO114" s="184">
        <v>2400</v>
      </c>
      <c r="AP114" s="184">
        <v>2400</v>
      </c>
      <c r="AQ114" s="184">
        <v>2400</v>
      </c>
      <c r="AR114" s="184">
        <v>2400</v>
      </c>
      <c r="AS114" s="184">
        <v>2400</v>
      </c>
      <c r="AT114" s="184">
        <v>2400</v>
      </c>
      <c r="AU114" s="184">
        <v>2350</v>
      </c>
      <c r="AV114" s="184">
        <v>2350</v>
      </c>
      <c r="AW114" s="146">
        <f>AW113+20</f>
        <v>2310</v>
      </c>
      <c r="AX114" s="146">
        <f>AX113+20</f>
        <v>2310</v>
      </c>
      <c r="AY114" s="146">
        <f>AY113+20</f>
        <v>2310</v>
      </c>
      <c r="AZ114" s="184">
        <v>2390</v>
      </c>
      <c r="BA114" s="184">
        <v>2390</v>
      </c>
      <c r="BB114" s="184">
        <v>2390</v>
      </c>
      <c r="BC114" s="184">
        <v>2390</v>
      </c>
      <c r="BD114" s="184">
        <v>2390</v>
      </c>
      <c r="BE114" s="184">
        <v>2390</v>
      </c>
      <c r="BF114" s="184">
        <v>2290</v>
      </c>
      <c r="BG114" s="184">
        <v>2290</v>
      </c>
      <c r="BH114" s="184">
        <v>2290</v>
      </c>
      <c r="BI114" s="184">
        <v>2290</v>
      </c>
      <c r="BJ114" s="184">
        <v>2290</v>
      </c>
      <c r="BK114" s="184">
        <v>2290</v>
      </c>
      <c r="BL114" s="184">
        <v>2370</v>
      </c>
      <c r="BM114" s="184">
        <v>2370</v>
      </c>
      <c r="BN114" s="184">
        <v>2370</v>
      </c>
      <c r="BO114" s="184"/>
      <c r="BP114" s="184"/>
      <c r="BQ114" s="184"/>
      <c r="BR114" s="184"/>
      <c r="BS114" s="184"/>
      <c r="BT114" s="184"/>
      <c r="BU114" s="146" cm="1">
        <f t="array" ref="BU114">LOOKUP(2,1/(Y114:BT114&lt;&gt;""),Y114:BH114)</f>
        <v>2370</v>
      </c>
      <c r="BV114" s="145" cm="1">
        <f t="array" aca="1" ref="BV114" ca="1">_xlfn.LET(
    _xlpm.last_col_idx, LOOKUP(2, 1/(Y114:BT114&lt;&gt;""), COLUMN(Y114:BT114) - COLUMN(Y114) + 1),
    _xlpm.header_val, INDEX($Y$3:$BT$3, 1, _xlpm.last_col_idx),
    _xlpm.header_date, IF(ISNUMBER(_xlpm.header_val), _xlpm.header_val, DATEVALUE(_xlpm.header_val)),
    IF(_xlpm.header_date &gt; TODAY(), TODAY(), _xlpm.header_date)
)</f>
        <v>46174</v>
      </c>
      <c r="BW114" s="209" cm="1">
        <f t="array" ref="BW114">(LOOKUP(2,1/(BH114:BT114&lt;&gt;""),BH114:BT114))/(INDEX(BH114:BT114,MATCH(TRUE,INDEX((BH114:BT114&lt;&gt;0),0),0)))-1</f>
        <v>3.4934497816593968E-2</v>
      </c>
      <c r="BX114" s="210">
        <f t="shared" si="19"/>
        <v>2.37</v>
      </c>
      <c r="BY114" s="210">
        <f t="shared" si="20"/>
        <v>13.983000000000002</v>
      </c>
      <c r="BZ114" s="210">
        <f ca="1">IF(L114="BR",'Impostos e Frete'!$F$6,IF(L114="EU",'Impostos e Frete'!$I$3,IF(L114="CN",'Impostos e Frete'!$I$4,IF(L114="JP",'Impostos e Frete'!$I$5,IF(L114="RU",'Impostos e Frete'!$I$7,"ERRO")))))</f>
        <v>0.1410816</v>
      </c>
      <c r="CA114" s="210">
        <f>VLOOKUP(L114,'Impostos e Frete'!$A$3:$B$7,2,0)*'Preços e Condições'!BY114</f>
        <v>1.8177900000000005</v>
      </c>
      <c r="CB114" s="147">
        <f t="shared" si="21"/>
        <v>-0.17699999999999999</v>
      </c>
      <c r="CC114" s="147">
        <f>IF(X114="BRL",'Impostos e Frete'!$B$11,'Impostos e Frete'!$B$12)</f>
        <v>9.1999999999999998E-2</v>
      </c>
      <c r="CD114" s="211">
        <f t="shared" ca="1" si="22"/>
        <v>15.856871600000003</v>
      </c>
      <c r="CE114" s="212">
        <f t="shared" ca="1" si="23"/>
        <v>1.0306966540000002</v>
      </c>
      <c r="CF114" s="213">
        <f>VLOOKUP(L114,'Impostos e Frete'!$A$3:$C$7,3,0)</f>
        <v>105</v>
      </c>
      <c r="CG114" s="213">
        <f t="shared" si="24"/>
        <v>120</v>
      </c>
      <c r="CH114" s="213">
        <f t="shared" si="25"/>
        <v>15</v>
      </c>
      <c r="CI114" s="214">
        <f t="shared" ca="1" si="26"/>
        <v>-0.11760512092304154</v>
      </c>
      <c r="CJ114" s="215">
        <f t="shared" ca="1" si="27"/>
        <v>15.739266479076962</v>
      </c>
      <c r="CK114" s="216">
        <f t="shared" ca="1" si="28"/>
        <v>1.0230523211400024</v>
      </c>
    </row>
    <row r="115" spans="1:89">
      <c r="A115" s="176">
        <v>14144</v>
      </c>
      <c r="B115" s="177">
        <v>248</v>
      </c>
      <c r="C115" s="178">
        <v>65</v>
      </c>
      <c r="D115" s="178">
        <v>1870</v>
      </c>
      <c r="E115" s="178" t="s">
        <v>50</v>
      </c>
      <c r="F115" s="179" t="s">
        <v>2</v>
      </c>
      <c r="G115" s="189" t="s">
        <v>90</v>
      </c>
      <c r="H115" s="178" t="s">
        <v>63</v>
      </c>
      <c r="I115" s="178">
        <v>32153</v>
      </c>
      <c r="J115" s="178"/>
      <c r="K115" s="178"/>
      <c r="L115" s="178" t="s">
        <v>59</v>
      </c>
      <c r="M115" s="178">
        <v>120</v>
      </c>
      <c r="N115" s="178"/>
      <c r="O115" s="178"/>
      <c r="P115" s="178"/>
      <c r="Q115" s="178"/>
      <c r="R115" s="178" t="s">
        <v>126</v>
      </c>
      <c r="S115" s="181"/>
      <c r="T115" s="181"/>
      <c r="U115" s="182"/>
      <c r="V115" s="182" t="s">
        <v>35</v>
      </c>
      <c r="W115" s="183">
        <v>50</v>
      </c>
      <c r="X115" s="182" t="s">
        <v>51</v>
      </c>
      <c r="Y115" s="184">
        <v>2790</v>
      </c>
      <c r="Z115" s="184">
        <v>2790</v>
      </c>
      <c r="AA115" s="184">
        <v>2790</v>
      </c>
      <c r="AB115" s="184">
        <v>2700</v>
      </c>
      <c r="AC115" s="184">
        <v>2700</v>
      </c>
      <c r="AD115" s="184">
        <v>2700</v>
      </c>
      <c r="AE115" s="184">
        <v>2490</v>
      </c>
      <c r="AF115" s="184">
        <v>2490</v>
      </c>
      <c r="AG115" s="184">
        <v>2490</v>
      </c>
      <c r="AH115" s="184">
        <v>2380</v>
      </c>
      <c r="AI115" s="184">
        <v>2380</v>
      </c>
      <c r="AJ115" s="184">
        <v>2380</v>
      </c>
      <c r="AK115" s="184">
        <v>2380</v>
      </c>
      <c r="AL115" s="146">
        <f>40+(AL113+50)</f>
        <v>2450</v>
      </c>
      <c r="AM115" s="146">
        <f>40+(AM113+50)</f>
        <v>2450</v>
      </c>
      <c r="AN115" s="146">
        <f>40+(AN113+50)</f>
        <v>2450</v>
      </c>
      <c r="AO115" s="184">
        <v>2430</v>
      </c>
      <c r="AP115" s="184">
        <v>2430</v>
      </c>
      <c r="AQ115" s="184">
        <v>2430</v>
      </c>
      <c r="AR115" s="184">
        <v>2430</v>
      </c>
      <c r="AS115" s="184">
        <v>2430</v>
      </c>
      <c r="AT115" s="184">
        <v>2430</v>
      </c>
      <c r="AU115" s="184">
        <v>2380</v>
      </c>
      <c r="AV115" s="184">
        <v>2380</v>
      </c>
      <c r="AW115" s="146">
        <f>AW113+50</f>
        <v>2340</v>
      </c>
      <c r="AX115" s="146">
        <f>AX113+50</f>
        <v>2340</v>
      </c>
      <c r="AY115" s="146">
        <f>AY113+50</f>
        <v>2340</v>
      </c>
      <c r="AZ115" s="184">
        <v>2420</v>
      </c>
      <c r="BA115" s="184">
        <v>2420</v>
      </c>
      <c r="BB115" s="184">
        <v>2420</v>
      </c>
      <c r="BC115" s="184">
        <v>2420</v>
      </c>
      <c r="BD115" s="184">
        <v>2420</v>
      </c>
      <c r="BE115" s="184">
        <v>2420</v>
      </c>
      <c r="BF115" s="184">
        <v>2320</v>
      </c>
      <c r="BG115" s="184">
        <v>2320</v>
      </c>
      <c r="BH115" s="184">
        <v>2320</v>
      </c>
      <c r="BI115" s="184">
        <v>2320</v>
      </c>
      <c r="BJ115" s="184">
        <v>2320</v>
      </c>
      <c r="BK115" s="184">
        <v>2320</v>
      </c>
      <c r="BL115" s="184">
        <v>2400</v>
      </c>
      <c r="BM115" s="184">
        <v>2400</v>
      </c>
      <c r="BN115" s="184">
        <v>2400</v>
      </c>
      <c r="BO115" s="184"/>
      <c r="BP115" s="184"/>
      <c r="BQ115" s="184"/>
      <c r="BR115" s="184"/>
      <c r="BS115" s="184"/>
      <c r="BT115" s="184"/>
      <c r="BU115" s="146" cm="1">
        <f t="array" ref="BU115">LOOKUP(2,1/(Y115:BT115&lt;&gt;""),Y115:BH115)</f>
        <v>2400</v>
      </c>
      <c r="BV115" s="145" cm="1">
        <f t="array" aca="1" ref="BV115" ca="1">_xlfn.LET(
    _xlpm.last_col_idx, LOOKUP(2, 1/(Y115:BT115&lt;&gt;""), COLUMN(Y115:BT115) - COLUMN(Y115) + 1),
    _xlpm.header_val, INDEX($Y$3:$BT$3, 1, _xlpm.last_col_idx),
    _xlpm.header_date, IF(ISNUMBER(_xlpm.header_val), _xlpm.header_val, DATEVALUE(_xlpm.header_val)),
    IF(_xlpm.header_date &gt; TODAY(), TODAY(), _xlpm.header_date)
)</f>
        <v>46174</v>
      </c>
      <c r="BW115" s="209" cm="1">
        <f t="array" ref="BW115">(LOOKUP(2,1/(BH115:BT115&lt;&gt;""),BH115:BT115))/(INDEX(BH115:BT115,MATCH(TRUE,INDEX((BH115:BT115&lt;&gt;0),0),0)))-1</f>
        <v>3.4482758620689724E-2</v>
      </c>
      <c r="BX115" s="210">
        <f t="shared" si="19"/>
        <v>2.4</v>
      </c>
      <c r="BY115" s="210">
        <f t="shared" si="20"/>
        <v>14.16</v>
      </c>
      <c r="BZ115" s="210">
        <f ca="1">IF(L115="BR",'Impostos e Frete'!$F$6,IF(L115="EU",'Impostos e Frete'!$I$3,IF(L115="CN",'Impostos e Frete'!$I$4,IF(L115="JP",'Impostos e Frete'!$I$5,IF(L115="RU",'Impostos e Frete'!$I$7,"ERRO")))))</f>
        <v>0.1410816</v>
      </c>
      <c r="CA115" s="210">
        <f>VLOOKUP(L115,'Impostos e Frete'!$A$3:$B$7,2,0)*'Preços e Condições'!BY115</f>
        <v>1.8408</v>
      </c>
      <c r="CB115" s="147">
        <f t="shared" si="21"/>
        <v>-0.17699999999999999</v>
      </c>
      <c r="CC115" s="147">
        <f>IF(X115="BRL",'Impostos e Frete'!$B$11,'Impostos e Frete'!$B$12)</f>
        <v>9.1999999999999998E-2</v>
      </c>
      <c r="CD115" s="211">
        <f t="shared" ca="1" si="22"/>
        <v>16.056881600000001</v>
      </c>
      <c r="CE115" s="212">
        <f t="shared" ca="1" si="23"/>
        <v>1.0436973039999999</v>
      </c>
      <c r="CF115" s="213">
        <f>VLOOKUP(L115,'Impostos e Frete'!$A$3:$C$7,3,0)</f>
        <v>105</v>
      </c>
      <c r="CG115" s="213">
        <f t="shared" si="24"/>
        <v>120</v>
      </c>
      <c r="CH115" s="213">
        <f t="shared" si="25"/>
        <v>15</v>
      </c>
      <c r="CI115" s="214">
        <f t="shared" ca="1" si="26"/>
        <v>-0.11908852829551542</v>
      </c>
      <c r="CJ115" s="215">
        <f t="shared" ca="1" si="27"/>
        <v>15.937793071704485</v>
      </c>
      <c r="CK115" s="216">
        <f t="shared" ca="1" si="28"/>
        <v>1.0359565496607914</v>
      </c>
    </row>
    <row r="116" spans="1:89">
      <c r="A116" s="176">
        <v>14144</v>
      </c>
      <c r="B116" s="177">
        <v>248</v>
      </c>
      <c r="C116" s="178">
        <v>65</v>
      </c>
      <c r="D116" s="178">
        <v>1870</v>
      </c>
      <c r="E116" s="178" t="s">
        <v>50</v>
      </c>
      <c r="F116" s="179" t="s">
        <v>2</v>
      </c>
      <c r="G116" s="189" t="s">
        <v>90</v>
      </c>
      <c r="H116" s="178" t="s">
        <v>63</v>
      </c>
      <c r="I116" s="178">
        <v>32153</v>
      </c>
      <c r="J116" s="178"/>
      <c r="K116" s="178"/>
      <c r="L116" s="178" t="s">
        <v>59</v>
      </c>
      <c r="M116" s="178">
        <v>120</v>
      </c>
      <c r="N116" s="178"/>
      <c r="O116" s="178"/>
      <c r="P116" s="178"/>
      <c r="Q116" s="178"/>
      <c r="R116" s="178" t="s">
        <v>126</v>
      </c>
      <c r="S116" s="181"/>
      <c r="T116" s="181"/>
      <c r="U116" s="182"/>
      <c r="V116" s="182" t="s">
        <v>35</v>
      </c>
      <c r="W116" s="183">
        <v>30</v>
      </c>
      <c r="X116" s="182" t="s">
        <v>51</v>
      </c>
      <c r="Y116" s="184">
        <v>2840</v>
      </c>
      <c r="Z116" s="184">
        <v>2840</v>
      </c>
      <c r="AA116" s="184">
        <v>2840</v>
      </c>
      <c r="AB116" s="184">
        <v>2750</v>
      </c>
      <c r="AC116" s="184">
        <v>2750</v>
      </c>
      <c r="AD116" s="184">
        <v>2750</v>
      </c>
      <c r="AE116" s="184">
        <v>2540</v>
      </c>
      <c r="AF116" s="184">
        <v>2540</v>
      </c>
      <c r="AG116" s="184">
        <v>2540</v>
      </c>
      <c r="AH116" s="184">
        <v>2430</v>
      </c>
      <c r="AI116" s="184">
        <v>2430</v>
      </c>
      <c r="AJ116" s="184">
        <v>2430</v>
      </c>
      <c r="AK116" s="184">
        <v>2430</v>
      </c>
      <c r="AL116" s="146">
        <f>40+(AL113+100)</f>
        <v>2500</v>
      </c>
      <c r="AM116" s="146">
        <f>40+(AM113+100)</f>
        <v>2500</v>
      </c>
      <c r="AN116" s="146">
        <f>40+(AN113+100)</f>
        <v>2500</v>
      </c>
      <c r="AO116" s="184">
        <v>2480</v>
      </c>
      <c r="AP116" s="184">
        <v>2480</v>
      </c>
      <c r="AQ116" s="184">
        <v>2480</v>
      </c>
      <c r="AR116" s="184">
        <v>2480</v>
      </c>
      <c r="AS116" s="184">
        <v>2480</v>
      </c>
      <c r="AT116" s="184">
        <v>2480</v>
      </c>
      <c r="AU116" s="184">
        <v>2430</v>
      </c>
      <c r="AV116" s="184">
        <v>2430</v>
      </c>
      <c r="AW116" s="146">
        <f>AW113+100</f>
        <v>2390</v>
      </c>
      <c r="AX116" s="146">
        <f>AX113+100</f>
        <v>2390</v>
      </c>
      <c r="AY116" s="146">
        <f>AY113+100</f>
        <v>2390</v>
      </c>
      <c r="AZ116" s="184">
        <v>2470</v>
      </c>
      <c r="BA116" s="184">
        <v>2470</v>
      </c>
      <c r="BB116" s="184">
        <v>2470</v>
      </c>
      <c r="BC116" s="184">
        <v>2470</v>
      </c>
      <c r="BD116" s="184">
        <v>2470</v>
      </c>
      <c r="BE116" s="184">
        <v>2470</v>
      </c>
      <c r="BF116" s="184">
        <v>2370</v>
      </c>
      <c r="BG116" s="184">
        <v>2370</v>
      </c>
      <c r="BH116" s="184">
        <v>2370</v>
      </c>
      <c r="BI116" s="184">
        <v>2370</v>
      </c>
      <c r="BJ116" s="184">
        <v>2370</v>
      </c>
      <c r="BK116" s="184">
        <v>2370</v>
      </c>
      <c r="BL116" s="184">
        <v>2450</v>
      </c>
      <c r="BM116" s="184">
        <v>2450</v>
      </c>
      <c r="BN116" s="184">
        <v>2450</v>
      </c>
      <c r="BO116" s="184"/>
      <c r="BP116" s="184"/>
      <c r="BQ116" s="184"/>
      <c r="BR116" s="184"/>
      <c r="BS116" s="184"/>
      <c r="BT116" s="184"/>
      <c r="BU116" s="146" cm="1">
        <f t="array" ref="BU116">LOOKUP(2,1/(Y116:BT116&lt;&gt;""),Y116:BH116)</f>
        <v>2450</v>
      </c>
      <c r="BV116" s="145" cm="1">
        <f t="array" aca="1" ref="BV116" ca="1">_xlfn.LET(
    _xlpm.last_col_idx, LOOKUP(2, 1/(Y116:BT116&lt;&gt;""), COLUMN(Y116:BT116) - COLUMN(Y116) + 1),
    _xlpm.header_val, INDEX($Y$3:$BT$3, 1, _xlpm.last_col_idx),
    _xlpm.header_date, IF(ISNUMBER(_xlpm.header_val), _xlpm.header_val, DATEVALUE(_xlpm.header_val)),
    IF(_xlpm.header_date &gt; TODAY(), TODAY(), _xlpm.header_date)
)</f>
        <v>46174</v>
      </c>
      <c r="BW116" s="209" cm="1">
        <f t="array" ref="BW116">(LOOKUP(2,1/(BH116:BT116&lt;&gt;""),BH116:BT116))/(INDEX(BH116:BT116,MATCH(TRUE,INDEX((BH116:BT116&lt;&gt;0),0),0)))-1</f>
        <v>3.3755274261603407E-2</v>
      </c>
      <c r="BX116" s="210">
        <f t="shared" si="19"/>
        <v>2.4500000000000002</v>
      </c>
      <c r="BY116" s="210">
        <f t="shared" si="20"/>
        <v>14.455000000000002</v>
      </c>
      <c r="BZ116" s="210">
        <f ca="1">IF(L116="BR",'Impostos e Frete'!$F$6,IF(L116="EU",'Impostos e Frete'!$I$3,IF(L116="CN",'Impostos e Frete'!$I$4,IF(L116="JP",'Impostos e Frete'!$I$5,IF(L116="RU",'Impostos e Frete'!$I$7,"ERRO")))))</f>
        <v>0.1410816</v>
      </c>
      <c r="CA116" s="210">
        <f>VLOOKUP(L116,'Impostos e Frete'!$A$3:$B$7,2,0)*'Preços e Condições'!BY116</f>
        <v>1.8791500000000003</v>
      </c>
      <c r="CB116" s="147">
        <f t="shared" si="21"/>
        <v>-0.17699999999999999</v>
      </c>
      <c r="CC116" s="147">
        <f>IF(X116="BRL",'Impostos e Frete'!$B$11,'Impostos e Frete'!$B$12)</f>
        <v>9.1999999999999998E-2</v>
      </c>
      <c r="CD116" s="211">
        <f t="shared" ca="1" si="22"/>
        <v>16.3902316</v>
      </c>
      <c r="CE116" s="212">
        <f t="shared" ca="1" si="23"/>
        <v>1.0653650539999999</v>
      </c>
      <c r="CF116" s="213">
        <f>VLOOKUP(L116,'Impostos e Frete'!$A$3:$C$7,3,0)</f>
        <v>105</v>
      </c>
      <c r="CG116" s="213">
        <f t="shared" si="24"/>
        <v>120</v>
      </c>
      <c r="CH116" s="213">
        <f t="shared" si="25"/>
        <v>15</v>
      </c>
      <c r="CI116" s="214">
        <f t="shared" ca="1" si="26"/>
        <v>-0.12156087391630521</v>
      </c>
      <c r="CJ116" s="215">
        <f t="shared" ca="1" si="27"/>
        <v>16.268670726083695</v>
      </c>
      <c r="CK116" s="216">
        <f t="shared" ca="1" si="28"/>
        <v>1.0574635971954403</v>
      </c>
    </row>
    <row r="117" spans="1:89">
      <c r="A117" s="176">
        <v>14145</v>
      </c>
      <c r="B117" s="177">
        <v>244</v>
      </c>
      <c r="C117" s="178">
        <v>65</v>
      </c>
      <c r="D117" s="178">
        <v>1870</v>
      </c>
      <c r="E117" s="178" t="s">
        <v>50</v>
      </c>
      <c r="F117" s="179" t="s">
        <v>2</v>
      </c>
      <c r="G117" s="189" t="s">
        <v>89</v>
      </c>
      <c r="H117" s="178" t="s">
        <v>42</v>
      </c>
      <c r="I117" s="178">
        <v>32150</v>
      </c>
      <c r="J117" s="178"/>
      <c r="K117" s="178"/>
      <c r="L117" s="178" t="s">
        <v>59</v>
      </c>
      <c r="M117" s="178">
        <v>120</v>
      </c>
      <c r="N117" s="178"/>
      <c r="O117" s="178"/>
      <c r="P117" s="178"/>
      <c r="Q117" s="178"/>
      <c r="R117" s="178" t="s">
        <v>126</v>
      </c>
      <c r="S117" s="181"/>
      <c r="T117" s="181"/>
      <c r="U117" s="182"/>
      <c r="V117" s="182" t="s">
        <v>35</v>
      </c>
      <c r="W117" s="183">
        <v>100</v>
      </c>
      <c r="X117" s="182" t="s">
        <v>51</v>
      </c>
      <c r="Y117" s="184">
        <v>2470</v>
      </c>
      <c r="Z117" s="184">
        <v>2470</v>
      </c>
      <c r="AA117" s="184">
        <v>2470</v>
      </c>
      <c r="AB117" s="184">
        <v>2380</v>
      </c>
      <c r="AC117" s="184">
        <v>2380</v>
      </c>
      <c r="AD117" s="184">
        <v>2380</v>
      </c>
      <c r="AE117" s="184">
        <v>2170</v>
      </c>
      <c r="AF117" s="184">
        <v>2170</v>
      </c>
      <c r="AG117" s="184">
        <v>2170</v>
      </c>
      <c r="AH117" s="184">
        <v>2060</v>
      </c>
      <c r="AI117" s="184">
        <v>2060</v>
      </c>
      <c r="AJ117" s="184">
        <v>2060</v>
      </c>
      <c r="AK117" s="184">
        <v>2060</v>
      </c>
      <c r="AL117" s="184">
        <v>2090</v>
      </c>
      <c r="AM117" s="184">
        <v>2090</v>
      </c>
      <c r="AN117" s="184">
        <v>2090</v>
      </c>
      <c r="AO117" s="184">
        <v>2240</v>
      </c>
      <c r="AP117" s="184">
        <v>2240</v>
      </c>
      <c r="AQ117" s="184">
        <v>2240</v>
      </c>
      <c r="AR117" s="184">
        <v>2240</v>
      </c>
      <c r="AS117" s="184">
        <v>2240</v>
      </c>
      <c r="AT117" s="184">
        <v>2240</v>
      </c>
      <c r="AU117" s="184">
        <v>2170</v>
      </c>
      <c r="AV117" s="184">
        <v>2170</v>
      </c>
      <c r="AW117" s="184">
        <v>2130</v>
      </c>
      <c r="AX117" s="184">
        <v>2130</v>
      </c>
      <c r="AY117" s="184">
        <v>2130</v>
      </c>
      <c r="AZ117" s="184">
        <v>2210</v>
      </c>
      <c r="BA117" s="184">
        <v>2210</v>
      </c>
      <c r="BB117" s="184">
        <v>2210</v>
      </c>
      <c r="BC117" s="184">
        <v>2210</v>
      </c>
      <c r="BD117" s="184">
        <v>2210</v>
      </c>
      <c r="BE117" s="184">
        <v>2210</v>
      </c>
      <c r="BF117" s="184">
        <v>2110</v>
      </c>
      <c r="BG117" s="184">
        <v>2110</v>
      </c>
      <c r="BH117" s="184">
        <v>2110</v>
      </c>
      <c r="BI117" s="184">
        <v>2110</v>
      </c>
      <c r="BJ117" s="184">
        <v>2110</v>
      </c>
      <c r="BK117" s="184">
        <v>2110</v>
      </c>
      <c r="BL117" s="184">
        <v>2190</v>
      </c>
      <c r="BM117" s="184">
        <v>2190</v>
      </c>
      <c r="BN117" s="184">
        <v>2190</v>
      </c>
      <c r="BO117" s="184">
        <v>2270</v>
      </c>
      <c r="BP117" s="184">
        <v>2270</v>
      </c>
      <c r="BQ117" s="184">
        <v>2270</v>
      </c>
      <c r="BR117" s="184"/>
      <c r="BS117" s="184"/>
      <c r="BT117" s="184"/>
      <c r="BU117" s="146" cm="1">
        <f t="array" ref="BU117">LOOKUP(2,1/(Y117:BT117&lt;&gt;""),Y117:BH117)</f>
        <v>2270</v>
      </c>
      <c r="BV117" s="145" cm="1">
        <f t="array" aca="1" ref="BV117" ca="1">_xlfn.LET(
    _xlpm.last_col_idx, LOOKUP(2, 1/(Y117:BT117&lt;&gt;""), COLUMN(Y117:BT117) - COLUMN(Y117) + 1),
    _xlpm.header_val, INDEX($Y$3:$BT$3, 1, _xlpm.last_col_idx),
    _xlpm.header_date, IF(ISNUMBER(_xlpm.header_val), _xlpm.header_val, DATEVALUE(_xlpm.header_val)),
    IF(_xlpm.header_date &gt; TODAY(), TODAY(), _xlpm.header_date)
)</f>
        <v>46212</v>
      </c>
      <c r="BW117" s="209" cm="1">
        <f t="array" ref="BW117">(LOOKUP(2,1/(BH117:BT117&lt;&gt;""),BH117:BT117))/(INDEX(BH117:BT117,MATCH(TRUE,INDEX((BH117:BT117&lt;&gt;0),0),0)))-1</f>
        <v>7.5829383886255819E-2</v>
      </c>
      <c r="BX117" s="210">
        <f t="shared" si="19"/>
        <v>2.27</v>
      </c>
      <c r="BY117" s="210">
        <f t="shared" si="20"/>
        <v>13.393000000000001</v>
      </c>
      <c r="BZ117" s="210">
        <f ca="1">IF(L117="BR",'Impostos e Frete'!$F$6,IF(L117="EU",'Impostos e Frete'!$I$3,IF(L117="CN",'Impostos e Frete'!$I$4,IF(L117="JP",'Impostos e Frete'!$I$5,IF(L117="RU",'Impostos e Frete'!$I$7,"ERRO")))))</f>
        <v>0.1410816</v>
      </c>
      <c r="CA117" s="210">
        <f>VLOOKUP(L117,'Impostos e Frete'!$A$3:$B$7,2,0)*'Preços e Condições'!BY117</f>
        <v>1.7410900000000002</v>
      </c>
      <c r="CB117" s="147">
        <f t="shared" si="21"/>
        <v>-0.17699999999999999</v>
      </c>
      <c r="CC117" s="147">
        <f>IF(X117="BRL",'Impostos e Frete'!$B$11,'Impostos e Frete'!$B$12)</f>
        <v>9.1999999999999998E-2</v>
      </c>
      <c r="CD117" s="211">
        <f t="shared" ca="1" si="22"/>
        <v>15.190171600000001</v>
      </c>
      <c r="CE117" s="212">
        <f t="shared" ca="1" si="23"/>
        <v>0.98736115400000013</v>
      </c>
      <c r="CF117" s="213">
        <f>VLOOKUP(L117,'Impostos e Frete'!$A$3:$C$7,3,0)</f>
        <v>105</v>
      </c>
      <c r="CG117" s="213">
        <f t="shared" si="24"/>
        <v>120</v>
      </c>
      <c r="CH117" s="213">
        <f t="shared" si="25"/>
        <v>15</v>
      </c>
      <c r="CI117" s="214">
        <f t="shared" ca="1" si="26"/>
        <v>-0.11266042968146017</v>
      </c>
      <c r="CJ117" s="215">
        <f t="shared" ca="1" si="27"/>
        <v>15.077511170318541</v>
      </c>
      <c r="CK117" s="216">
        <f t="shared" ca="1" si="28"/>
        <v>0.98003822607070512</v>
      </c>
    </row>
    <row r="118" spans="1:89">
      <c r="A118" s="176">
        <v>14145</v>
      </c>
      <c r="B118" s="177">
        <v>244</v>
      </c>
      <c r="C118" s="178">
        <v>65</v>
      </c>
      <c r="D118" s="178">
        <v>1870</v>
      </c>
      <c r="E118" s="178" t="s">
        <v>50</v>
      </c>
      <c r="F118" s="179" t="s">
        <v>2</v>
      </c>
      <c r="G118" s="189" t="s">
        <v>89</v>
      </c>
      <c r="H118" s="178" t="s">
        <v>42</v>
      </c>
      <c r="I118" s="178">
        <v>32150</v>
      </c>
      <c r="J118" s="178"/>
      <c r="K118" s="178"/>
      <c r="L118" s="178" t="s">
        <v>59</v>
      </c>
      <c r="M118" s="178">
        <v>120</v>
      </c>
      <c r="N118" s="178"/>
      <c r="O118" s="178"/>
      <c r="P118" s="178"/>
      <c r="Q118" s="178"/>
      <c r="R118" s="178" t="s">
        <v>126</v>
      </c>
      <c r="S118" s="181"/>
      <c r="T118" s="181"/>
      <c r="U118" s="182"/>
      <c r="V118" s="182" t="s">
        <v>35</v>
      </c>
      <c r="W118" s="183">
        <v>70</v>
      </c>
      <c r="X118" s="182" t="s">
        <v>51</v>
      </c>
      <c r="Y118" s="184">
        <v>2490</v>
      </c>
      <c r="Z118" s="184">
        <v>2490</v>
      </c>
      <c r="AA118" s="184">
        <v>2490</v>
      </c>
      <c r="AB118" s="184">
        <v>2400</v>
      </c>
      <c r="AC118" s="184">
        <v>2400</v>
      </c>
      <c r="AD118" s="184">
        <v>2400</v>
      </c>
      <c r="AE118" s="184">
        <v>2190</v>
      </c>
      <c r="AF118" s="184">
        <v>2190</v>
      </c>
      <c r="AG118" s="184">
        <v>2190</v>
      </c>
      <c r="AH118" s="184">
        <v>2080</v>
      </c>
      <c r="AI118" s="184">
        <v>2080</v>
      </c>
      <c r="AJ118" s="184">
        <v>2080</v>
      </c>
      <c r="AK118" s="184">
        <v>2080</v>
      </c>
      <c r="AL118" s="146">
        <f>40+(AL117+20)</f>
        <v>2150</v>
      </c>
      <c r="AM118" s="146">
        <f>40+(AM117+20)</f>
        <v>2150</v>
      </c>
      <c r="AN118" s="146">
        <f>40+(AN117+20)</f>
        <v>2150</v>
      </c>
      <c r="AO118" s="184">
        <v>2260</v>
      </c>
      <c r="AP118" s="184">
        <v>2260</v>
      </c>
      <c r="AQ118" s="184">
        <v>2260</v>
      </c>
      <c r="AR118" s="184">
        <v>2260</v>
      </c>
      <c r="AS118" s="184">
        <v>2260</v>
      </c>
      <c r="AT118" s="184">
        <v>2260</v>
      </c>
      <c r="AU118" s="184">
        <v>2190</v>
      </c>
      <c r="AV118" s="184">
        <v>2190</v>
      </c>
      <c r="AW118" s="146">
        <f>AW117+20</f>
        <v>2150</v>
      </c>
      <c r="AX118" s="146">
        <f>AX117+20</f>
        <v>2150</v>
      </c>
      <c r="AY118" s="146">
        <f>AY117+20</f>
        <v>2150</v>
      </c>
      <c r="AZ118" s="184">
        <v>2230</v>
      </c>
      <c r="BA118" s="184">
        <v>2230</v>
      </c>
      <c r="BB118" s="184">
        <v>2230</v>
      </c>
      <c r="BC118" s="184">
        <v>2230</v>
      </c>
      <c r="BD118" s="184">
        <v>2230</v>
      </c>
      <c r="BE118" s="184">
        <v>2230</v>
      </c>
      <c r="BF118" s="184">
        <v>2130</v>
      </c>
      <c r="BG118" s="184">
        <v>2130</v>
      </c>
      <c r="BH118" s="184">
        <v>2130</v>
      </c>
      <c r="BI118" s="184">
        <v>2130</v>
      </c>
      <c r="BJ118" s="184">
        <v>2130</v>
      </c>
      <c r="BK118" s="184">
        <v>2130</v>
      </c>
      <c r="BL118" s="184">
        <v>2210</v>
      </c>
      <c r="BM118" s="184">
        <v>2210</v>
      </c>
      <c r="BN118" s="184">
        <v>2210</v>
      </c>
      <c r="BO118" s="184">
        <v>2290</v>
      </c>
      <c r="BP118" s="184">
        <v>2290</v>
      </c>
      <c r="BQ118" s="184">
        <v>2290</v>
      </c>
      <c r="BR118" s="184"/>
      <c r="BS118" s="184"/>
      <c r="BT118" s="184"/>
      <c r="BU118" s="146" cm="1">
        <f t="array" ref="BU118">LOOKUP(2,1/(Y118:BT118&lt;&gt;""),Y118:BH118)</f>
        <v>2290</v>
      </c>
      <c r="BV118" s="145" cm="1">
        <f t="array" aca="1" ref="BV118" ca="1">_xlfn.LET(
    _xlpm.last_col_idx, LOOKUP(2, 1/(Y118:BT118&lt;&gt;""), COLUMN(Y118:BT118) - COLUMN(Y118) + 1),
    _xlpm.header_val, INDEX($Y$3:$BT$3, 1, _xlpm.last_col_idx),
    _xlpm.header_date, IF(ISNUMBER(_xlpm.header_val), _xlpm.header_val, DATEVALUE(_xlpm.header_val)),
    IF(_xlpm.header_date &gt; TODAY(), TODAY(), _xlpm.header_date)
)</f>
        <v>46212</v>
      </c>
      <c r="BW118" s="209" cm="1">
        <f t="array" ref="BW118">(LOOKUP(2,1/(BH118:BT118&lt;&gt;""),BH118:BT118))/(INDEX(BH118:BT118,MATCH(TRUE,INDEX((BH118:BT118&lt;&gt;0),0),0)))-1</f>
        <v>7.5117370892018753E-2</v>
      </c>
      <c r="BX118" s="210">
        <f t="shared" si="19"/>
        <v>2.29</v>
      </c>
      <c r="BY118" s="210">
        <f t="shared" si="20"/>
        <v>13.511000000000001</v>
      </c>
      <c r="BZ118" s="210">
        <f ca="1">IF(L118="BR",'Impostos e Frete'!$F$6,IF(L118="EU",'Impostos e Frete'!$I$3,IF(L118="CN",'Impostos e Frete'!$I$4,IF(L118="JP",'Impostos e Frete'!$I$5,IF(L118="RU",'Impostos e Frete'!$I$7,"ERRO")))))</f>
        <v>0.1410816</v>
      </c>
      <c r="CA118" s="210">
        <f>VLOOKUP(L118,'Impostos e Frete'!$A$3:$B$7,2,0)*'Preços e Condições'!BY118</f>
        <v>1.7564300000000002</v>
      </c>
      <c r="CB118" s="147">
        <f t="shared" si="21"/>
        <v>-0.17699999999999999</v>
      </c>
      <c r="CC118" s="147">
        <f>IF(X118="BRL",'Impostos e Frete'!$B$11,'Impostos e Frete'!$B$12)</f>
        <v>9.1999999999999998E-2</v>
      </c>
      <c r="CD118" s="211">
        <f t="shared" ca="1" si="22"/>
        <v>15.323511600000002</v>
      </c>
      <c r="CE118" s="212">
        <f t="shared" ca="1" si="23"/>
        <v>0.99602825400000006</v>
      </c>
      <c r="CF118" s="213">
        <f>VLOOKUP(L118,'Impostos e Frete'!$A$3:$C$7,3,0)</f>
        <v>105</v>
      </c>
      <c r="CG118" s="213">
        <f t="shared" si="24"/>
        <v>120</v>
      </c>
      <c r="CH118" s="213">
        <f t="shared" si="25"/>
        <v>15</v>
      </c>
      <c r="CI118" s="214">
        <f t="shared" ca="1" si="26"/>
        <v>-0.11364936792977609</v>
      </c>
      <c r="CJ118" s="215">
        <f t="shared" ca="1" si="27"/>
        <v>15.209862232070225</v>
      </c>
      <c r="CK118" s="216">
        <f t="shared" ca="1" si="28"/>
        <v>0.98864104508456463</v>
      </c>
    </row>
    <row r="119" spans="1:89">
      <c r="A119" s="176">
        <v>14145</v>
      </c>
      <c r="B119" s="177">
        <v>244</v>
      </c>
      <c r="C119" s="178">
        <v>65</v>
      </c>
      <c r="D119" s="178">
        <v>1870</v>
      </c>
      <c r="E119" s="178" t="s">
        <v>50</v>
      </c>
      <c r="F119" s="179" t="s">
        <v>2</v>
      </c>
      <c r="G119" s="189" t="s">
        <v>89</v>
      </c>
      <c r="H119" s="178" t="s">
        <v>42</v>
      </c>
      <c r="I119" s="178">
        <v>32150</v>
      </c>
      <c r="J119" s="178"/>
      <c r="K119" s="178"/>
      <c r="L119" s="178" t="s">
        <v>59</v>
      </c>
      <c r="M119" s="178">
        <v>120</v>
      </c>
      <c r="N119" s="178"/>
      <c r="O119" s="178"/>
      <c r="P119" s="178"/>
      <c r="Q119" s="178"/>
      <c r="R119" s="178" t="s">
        <v>126</v>
      </c>
      <c r="S119" s="181"/>
      <c r="T119" s="181"/>
      <c r="U119" s="182"/>
      <c r="V119" s="182" t="s">
        <v>35</v>
      </c>
      <c r="W119" s="183">
        <v>50</v>
      </c>
      <c r="X119" s="182" t="s">
        <v>51</v>
      </c>
      <c r="Y119" s="184">
        <v>2520</v>
      </c>
      <c r="Z119" s="184">
        <v>2520</v>
      </c>
      <c r="AA119" s="184">
        <v>2520</v>
      </c>
      <c r="AB119" s="184">
        <v>2430</v>
      </c>
      <c r="AC119" s="184">
        <v>2430</v>
      </c>
      <c r="AD119" s="184">
        <v>2430</v>
      </c>
      <c r="AE119" s="184">
        <v>2220</v>
      </c>
      <c r="AF119" s="184">
        <v>2220</v>
      </c>
      <c r="AG119" s="184">
        <v>2220</v>
      </c>
      <c r="AH119" s="184">
        <v>2110</v>
      </c>
      <c r="AI119" s="184">
        <v>2110</v>
      </c>
      <c r="AJ119" s="184">
        <v>2110</v>
      </c>
      <c r="AK119" s="184">
        <v>2110</v>
      </c>
      <c r="AL119" s="146">
        <f>40+(AL117+50)</f>
        <v>2180</v>
      </c>
      <c r="AM119" s="146">
        <f>40+(AM117+50)</f>
        <v>2180</v>
      </c>
      <c r="AN119" s="146">
        <f>40+(AN117+50)</f>
        <v>2180</v>
      </c>
      <c r="AO119" s="184">
        <v>2290</v>
      </c>
      <c r="AP119" s="184">
        <v>2290</v>
      </c>
      <c r="AQ119" s="184">
        <v>2290</v>
      </c>
      <c r="AR119" s="184">
        <v>2290</v>
      </c>
      <c r="AS119" s="184">
        <v>2290</v>
      </c>
      <c r="AT119" s="184">
        <v>2290</v>
      </c>
      <c r="AU119" s="184">
        <v>2220</v>
      </c>
      <c r="AV119" s="184">
        <v>2220</v>
      </c>
      <c r="AW119" s="146">
        <f>AW117+50</f>
        <v>2180</v>
      </c>
      <c r="AX119" s="146">
        <f>AX117+50</f>
        <v>2180</v>
      </c>
      <c r="AY119" s="146">
        <f>AY117+50</f>
        <v>2180</v>
      </c>
      <c r="AZ119" s="184">
        <v>2260</v>
      </c>
      <c r="BA119" s="184">
        <v>2260</v>
      </c>
      <c r="BB119" s="184">
        <v>2260</v>
      </c>
      <c r="BC119" s="184">
        <v>2260</v>
      </c>
      <c r="BD119" s="184">
        <v>2260</v>
      </c>
      <c r="BE119" s="184">
        <v>2260</v>
      </c>
      <c r="BF119" s="184">
        <v>2160</v>
      </c>
      <c r="BG119" s="184">
        <v>2160</v>
      </c>
      <c r="BH119" s="184">
        <v>2160</v>
      </c>
      <c r="BI119" s="184">
        <v>2160</v>
      </c>
      <c r="BJ119" s="184">
        <v>2160</v>
      </c>
      <c r="BK119" s="184">
        <v>2160</v>
      </c>
      <c r="BL119" s="184">
        <v>2240</v>
      </c>
      <c r="BM119" s="184">
        <v>2240</v>
      </c>
      <c r="BN119" s="184">
        <v>2240</v>
      </c>
      <c r="BO119" s="184">
        <v>2320</v>
      </c>
      <c r="BP119" s="184">
        <v>2320</v>
      </c>
      <c r="BQ119" s="184">
        <v>2320</v>
      </c>
      <c r="BR119" s="184"/>
      <c r="BS119" s="184"/>
      <c r="BT119" s="184"/>
      <c r="BU119" s="146" cm="1">
        <f t="array" ref="BU119">LOOKUP(2,1/(Y119:BT119&lt;&gt;""),Y119:BH119)</f>
        <v>2320</v>
      </c>
      <c r="BV119" s="145" cm="1">
        <f t="array" aca="1" ref="BV119" ca="1">_xlfn.LET(
    _xlpm.last_col_idx, LOOKUP(2, 1/(Y119:BT119&lt;&gt;""), COLUMN(Y119:BT119) - COLUMN(Y119) + 1),
    _xlpm.header_val, INDEX($Y$3:$BT$3, 1, _xlpm.last_col_idx),
    _xlpm.header_date, IF(ISNUMBER(_xlpm.header_val), _xlpm.header_val, DATEVALUE(_xlpm.header_val)),
    IF(_xlpm.header_date &gt; TODAY(), TODAY(), _xlpm.header_date)
)</f>
        <v>46212</v>
      </c>
      <c r="BW119" s="209" cm="1">
        <f t="array" ref="BW119">(LOOKUP(2,1/(BH119:BT119&lt;&gt;""),BH119:BT119))/(INDEX(BH119:BT119,MATCH(TRUE,INDEX((BH119:BT119&lt;&gt;0),0),0)))-1</f>
        <v>7.4074074074074181E-2</v>
      </c>
      <c r="BX119" s="210">
        <f t="shared" si="19"/>
        <v>2.3199999999999998</v>
      </c>
      <c r="BY119" s="210">
        <f t="shared" si="20"/>
        <v>13.688000000000001</v>
      </c>
      <c r="BZ119" s="210">
        <f ca="1">IF(L119="BR",'Impostos e Frete'!$F$6,IF(L119="EU",'Impostos e Frete'!$I$3,IF(L119="CN",'Impostos e Frete'!$I$4,IF(L119="JP",'Impostos e Frete'!$I$5,IF(L119="RU",'Impostos e Frete'!$I$7,"ERRO")))))</f>
        <v>0.1410816</v>
      </c>
      <c r="CA119" s="210">
        <f>VLOOKUP(L119,'Impostos e Frete'!$A$3:$B$7,2,0)*'Preços e Condições'!BY119</f>
        <v>1.7794400000000001</v>
      </c>
      <c r="CB119" s="147">
        <f t="shared" si="21"/>
        <v>-0.17699999999999999</v>
      </c>
      <c r="CC119" s="147">
        <f>IF(X119="BRL",'Impostos e Frete'!$B$11,'Impostos e Frete'!$B$12)</f>
        <v>9.1999999999999998E-2</v>
      </c>
      <c r="CD119" s="211">
        <f t="shared" ca="1" si="22"/>
        <v>15.5235216</v>
      </c>
      <c r="CE119" s="212">
        <f t="shared" ca="1" si="23"/>
        <v>1.009028904</v>
      </c>
      <c r="CF119" s="213">
        <f>VLOOKUP(L119,'Impostos e Frete'!$A$3:$C$7,3,0)</f>
        <v>105</v>
      </c>
      <c r="CG119" s="213">
        <f t="shared" si="24"/>
        <v>120</v>
      </c>
      <c r="CH119" s="213">
        <f t="shared" si="25"/>
        <v>15</v>
      </c>
      <c r="CI119" s="214">
        <f t="shared" ca="1" si="26"/>
        <v>-0.11513277530224997</v>
      </c>
      <c r="CJ119" s="215">
        <f t="shared" ca="1" si="27"/>
        <v>15.408388824697751</v>
      </c>
      <c r="CK119" s="216">
        <f t="shared" ca="1" si="28"/>
        <v>1.0015452736053538</v>
      </c>
    </row>
    <row r="120" spans="1:89">
      <c r="A120" s="176">
        <v>14145</v>
      </c>
      <c r="B120" s="177">
        <v>244</v>
      </c>
      <c r="C120" s="178">
        <v>65</v>
      </c>
      <c r="D120" s="178">
        <v>1870</v>
      </c>
      <c r="E120" s="178" t="s">
        <v>50</v>
      </c>
      <c r="F120" s="179" t="s">
        <v>2</v>
      </c>
      <c r="G120" s="189" t="s">
        <v>89</v>
      </c>
      <c r="H120" s="178" t="s">
        <v>42</v>
      </c>
      <c r="I120" s="178">
        <v>32150</v>
      </c>
      <c r="J120" s="178"/>
      <c r="K120" s="178"/>
      <c r="L120" s="178" t="s">
        <v>59</v>
      </c>
      <c r="M120" s="178">
        <v>120</v>
      </c>
      <c r="N120" s="178"/>
      <c r="O120" s="178"/>
      <c r="P120" s="178"/>
      <c r="Q120" s="178"/>
      <c r="R120" s="178" t="s">
        <v>126</v>
      </c>
      <c r="S120" s="181"/>
      <c r="T120" s="181"/>
      <c r="U120" s="182"/>
      <c r="V120" s="182" t="s">
        <v>35</v>
      </c>
      <c r="W120" s="183">
        <v>30</v>
      </c>
      <c r="X120" s="182" t="s">
        <v>51</v>
      </c>
      <c r="Y120" s="184">
        <v>2570</v>
      </c>
      <c r="Z120" s="184">
        <v>2570</v>
      </c>
      <c r="AA120" s="184">
        <v>2570</v>
      </c>
      <c r="AB120" s="184">
        <v>2480</v>
      </c>
      <c r="AC120" s="184">
        <v>2480</v>
      </c>
      <c r="AD120" s="184">
        <v>2480</v>
      </c>
      <c r="AE120" s="184">
        <v>2270</v>
      </c>
      <c r="AF120" s="184">
        <v>2270</v>
      </c>
      <c r="AG120" s="184">
        <v>2270</v>
      </c>
      <c r="AH120" s="184">
        <v>2160</v>
      </c>
      <c r="AI120" s="184">
        <v>2160</v>
      </c>
      <c r="AJ120" s="184">
        <v>2160</v>
      </c>
      <c r="AK120" s="184">
        <v>2160</v>
      </c>
      <c r="AL120" s="146">
        <f>40+(AL117+100)</f>
        <v>2230</v>
      </c>
      <c r="AM120" s="146">
        <f>40+(AM117+100)</f>
        <v>2230</v>
      </c>
      <c r="AN120" s="146">
        <f>40+(AN117+100)</f>
        <v>2230</v>
      </c>
      <c r="AO120" s="184">
        <v>2340</v>
      </c>
      <c r="AP120" s="184">
        <v>2340</v>
      </c>
      <c r="AQ120" s="184">
        <v>2340</v>
      </c>
      <c r="AR120" s="184">
        <v>2340</v>
      </c>
      <c r="AS120" s="184">
        <v>2340</v>
      </c>
      <c r="AT120" s="184">
        <v>2340</v>
      </c>
      <c r="AU120" s="184">
        <v>2270</v>
      </c>
      <c r="AV120" s="184">
        <v>2270</v>
      </c>
      <c r="AW120" s="146">
        <f>AW117+100</f>
        <v>2230</v>
      </c>
      <c r="AX120" s="146">
        <f>AX117+100</f>
        <v>2230</v>
      </c>
      <c r="AY120" s="146">
        <f>AY117+100</f>
        <v>2230</v>
      </c>
      <c r="AZ120" s="184">
        <v>2310</v>
      </c>
      <c r="BA120" s="184">
        <v>2310</v>
      </c>
      <c r="BB120" s="184">
        <v>2310</v>
      </c>
      <c r="BC120" s="184">
        <v>2310</v>
      </c>
      <c r="BD120" s="184">
        <v>2310</v>
      </c>
      <c r="BE120" s="184">
        <v>2310</v>
      </c>
      <c r="BF120" s="184">
        <v>2210</v>
      </c>
      <c r="BG120" s="184">
        <v>2210</v>
      </c>
      <c r="BH120" s="184">
        <v>2210</v>
      </c>
      <c r="BI120" s="184">
        <v>2210</v>
      </c>
      <c r="BJ120" s="184">
        <v>2210</v>
      </c>
      <c r="BK120" s="184">
        <v>2210</v>
      </c>
      <c r="BL120" s="184">
        <v>2290</v>
      </c>
      <c r="BM120" s="184">
        <v>2290</v>
      </c>
      <c r="BN120" s="184">
        <v>2290</v>
      </c>
      <c r="BO120" s="184">
        <v>2370</v>
      </c>
      <c r="BP120" s="184">
        <v>2370</v>
      </c>
      <c r="BQ120" s="184">
        <v>2370</v>
      </c>
      <c r="BR120" s="184"/>
      <c r="BS120" s="184"/>
      <c r="BT120" s="184"/>
      <c r="BU120" s="146" cm="1">
        <f t="array" ref="BU120">LOOKUP(2,1/(Y120:BT120&lt;&gt;""),Y120:BH120)</f>
        <v>2370</v>
      </c>
      <c r="BV120" s="145" cm="1">
        <f t="array" aca="1" ref="BV120" ca="1">_xlfn.LET(
    _xlpm.last_col_idx, LOOKUP(2, 1/(Y120:BT120&lt;&gt;""), COLUMN(Y120:BT120) - COLUMN(Y120) + 1),
    _xlpm.header_val, INDEX($Y$3:$BT$3, 1, _xlpm.last_col_idx),
    _xlpm.header_date, IF(ISNUMBER(_xlpm.header_val), _xlpm.header_val, DATEVALUE(_xlpm.header_val)),
    IF(_xlpm.header_date &gt; TODAY(), TODAY(), _xlpm.header_date)
)</f>
        <v>46212</v>
      </c>
      <c r="BW120" s="209" cm="1">
        <f t="array" ref="BW120">(LOOKUP(2,1/(BH120:BT120&lt;&gt;""),BH120:BT120))/(INDEX(BH120:BT120,MATCH(TRUE,INDEX((BH120:BT120&lt;&gt;0),0),0)))-1</f>
        <v>7.2398190045248834E-2</v>
      </c>
      <c r="BX120" s="210">
        <f t="shared" si="19"/>
        <v>2.37</v>
      </c>
      <c r="BY120" s="210">
        <f t="shared" si="20"/>
        <v>13.983000000000002</v>
      </c>
      <c r="BZ120" s="210">
        <f ca="1">IF(L120="BR",'Impostos e Frete'!$F$6,IF(L120="EU",'Impostos e Frete'!$I$3,IF(L120="CN",'Impostos e Frete'!$I$4,IF(L120="JP",'Impostos e Frete'!$I$5,IF(L120="RU",'Impostos e Frete'!$I$7,"ERRO")))))</f>
        <v>0.1410816</v>
      </c>
      <c r="CA120" s="210">
        <f>VLOOKUP(L120,'Impostos e Frete'!$A$3:$B$7,2,0)*'Preços e Condições'!BY120</f>
        <v>1.8177900000000005</v>
      </c>
      <c r="CB120" s="147">
        <f t="shared" si="21"/>
        <v>-0.17699999999999999</v>
      </c>
      <c r="CC120" s="147">
        <f>IF(X120="BRL",'Impostos e Frete'!$B$11,'Impostos e Frete'!$B$12)</f>
        <v>9.1999999999999998E-2</v>
      </c>
      <c r="CD120" s="211">
        <f t="shared" ca="1" si="22"/>
        <v>15.856871600000003</v>
      </c>
      <c r="CE120" s="212">
        <f t="shared" ca="1" si="23"/>
        <v>1.0306966540000002</v>
      </c>
      <c r="CF120" s="213">
        <f>VLOOKUP(L120,'Impostos e Frete'!$A$3:$C$7,3,0)</f>
        <v>105</v>
      </c>
      <c r="CG120" s="213">
        <f t="shared" si="24"/>
        <v>120</v>
      </c>
      <c r="CH120" s="213">
        <f t="shared" si="25"/>
        <v>15</v>
      </c>
      <c r="CI120" s="214">
        <f t="shared" ca="1" si="26"/>
        <v>-0.11760512092304154</v>
      </c>
      <c r="CJ120" s="215">
        <f t="shared" ca="1" si="27"/>
        <v>15.739266479076962</v>
      </c>
      <c r="CK120" s="216">
        <f t="shared" ca="1" si="28"/>
        <v>1.0230523211400024</v>
      </c>
    </row>
    <row r="121" spans="1:89">
      <c r="A121" s="176">
        <v>15432</v>
      </c>
      <c r="B121" s="177">
        <v>2638</v>
      </c>
      <c r="C121" s="190">
        <v>67</v>
      </c>
      <c r="D121" s="183">
        <v>1870</v>
      </c>
      <c r="E121" s="178" t="s">
        <v>50</v>
      </c>
      <c r="F121" s="191" t="s">
        <v>1</v>
      </c>
      <c r="G121" s="192" t="s">
        <v>13</v>
      </c>
      <c r="H121" s="178" t="s">
        <v>42</v>
      </c>
      <c r="I121" s="178">
        <v>752</v>
      </c>
      <c r="J121" s="183"/>
      <c r="K121" s="183"/>
      <c r="L121" s="183" t="s">
        <v>58</v>
      </c>
      <c r="M121" s="183">
        <v>0</v>
      </c>
      <c r="N121" s="183"/>
      <c r="O121" s="183"/>
      <c r="P121" s="183">
        <v>3</v>
      </c>
      <c r="Q121" s="183" t="s">
        <v>27</v>
      </c>
      <c r="R121" s="183" t="s">
        <v>19</v>
      </c>
      <c r="S121" s="181">
        <v>0.12</v>
      </c>
      <c r="T121" s="181" t="s">
        <v>210</v>
      </c>
      <c r="U121" s="182">
        <v>9.2499999999999999E-2</v>
      </c>
      <c r="V121" s="182" t="s">
        <v>35</v>
      </c>
      <c r="W121" s="183">
        <v>50</v>
      </c>
      <c r="X121" s="182" t="s">
        <v>46</v>
      </c>
      <c r="Y121" s="146">
        <f>21810.44</f>
        <v>21810.44</v>
      </c>
      <c r="Z121" s="146">
        <f>21810.44</f>
        <v>21810.44</v>
      </c>
      <c r="AA121" s="146">
        <f>21810.44</f>
        <v>21810.44</v>
      </c>
      <c r="AB121" s="146">
        <f>17000</f>
        <v>17000</v>
      </c>
      <c r="AC121" s="146">
        <f>17000</f>
        <v>17000</v>
      </c>
      <c r="AD121" s="146">
        <f>17000</f>
        <v>17000</v>
      </c>
      <c r="AE121" s="146">
        <f>16320</f>
        <v>16320</v>
      </c>
      <c r="AF121" s="146">
        <f>16320</f>
        <v>16320</v>
      </c>
      <c r="AG121" s="146">
        <f>16320</f>
        <v>16320</v>
      </c>
      <c r="AH121" s="146">
        <f>15505</f>
        <v>15505</v>
      </c>
      <c r="AI121" s="146">
        <f>15505</f>
        <v>15505</v>
      </c>
      <c r="AJ121" s="146">
        <f>15505</f>
        <v>15505</v>
      </c>
      <c r="AK121" s="146">
        <f>15040</f>
        <v>15040</v>
      </c>
      <c r="AL121" s="146">
        <f>15040</f>
        <v>15040</v>
      </c>
      <c r="AM121" s="146">
        <f>15040</f>
        <v>15040</v>
      </c>
      <c r="AN121" s="146">
        <f>15040</f>
        <v>15040</v>
      </c>
      <c r="AO121" s="146">
        <f>15040</f>
        <v>15040</v>
      </c>
      <c r="AP121" s="146">
        <f>15040</f>
        <v>15040</v>
      </c>
      <c r="AQ121" s="146">
        <f>16303</f>
        <v>16303</v>
      </c>
      <c r="AR121" s="146">
        <f>16303</f>
        <v>16303</v>
      </c>
      <c r="AS121" s="146">
        <f>16303</f>
        <v>16303</v>
      </c>
      <c r="AT121" s="184">
        <v>16792</v>
      </c>
      <c r="AU121" s="184">
        <v>17118</v>
      </c>
      <c r="AV121" s="184">
        <v>17118</v>
      </c>
      <c r="AW121" s="184">
        <v>17118</v>
      </c>
      <c r="AX121" s="184">
        <v>17118</v>
      </c>
      <c r="AY121" s="184">
        <v>17118</v>
      </c>
      <c r="AZ121" s="184">
        <v>17118</v>
      </c>
      <c r="BA121" s="184">
        <v>17118</v>
      </c>
      <c r="BB121" s="184">
        <v>17118</v>
      </c>
      <c r="BC121" s="184">
        <v>17118</v>
      </c>
      <c r="BD121" s="184">
        <v>17118</v>
      </c>
      <c r="BE121" s="184">
        <v>17118</v>
      </c>
      <c r="BF121" s="184">
        <v>17118</v>
      </c>
      <c r="BG121" s="184">
        <v>17118</v>
      </c>
      <c r="BH121" s="184">
        <v>17118</v>
      </c>
      <c r="BI121" s="184">
        <v>17118</v>
      </c>
      <c r="BJ121" s="184">
        <v>17118</v>
      </c>
      <c r="BK121" s="184">
        <v>17118</v>
      </c>
      <c r="BL121" s="184">
        <v>18111</v>
      </c>
      <c r="BM121" s="184">
        <v>18111</v>
      </c>
      <c r="BN121" s="184">
        <v>18111</v>
      </c>
      <c r="BO121" s="184">
        <v>18889</v>
      </c>
      <c r="BP121" s="184">
        <v>18889</v>
      </c>
      <c r="BQ121" s="184">
        <v>18889</v>
      </c>
      <c r="BR121" s="184"/>
      <c r="BS121" s="184"/>
      <c r="BT121" s="184"/>
      <c r="BU121" s="146" cm="1">
        <f t="array" ref="BU121">LOOKUP(2,1/(Y121:BT121&lt;&gt;""),Y121:BH121)</f>
        <v>18889</v>
      </c>
      <c r="BV121" s="145" cm="1">
        <f t="array" aca="1" ref="BV121" ca="1">_xlfn.LET(
    _xlpm.last_col_idx, LOOKUP(2, 1/(Y121:BT121&lt;&gt;""), COLUMN(Y121:BT121) - COLUMN(Y121) + 1),
    _xlpm.header_val, INDEX($Y$3:$BT$3, 1, _xlpm.last_col_idx),
    _xlpm.header_date, IF(ISNUMBER(_xlpm.header_val), _xlpm.header_val, DATEVALUE(_xlpm.header_val)),
    IF(_xlpm.header_date &gt; TODAY(), TODAY(), _xlpm.header_date)
)</f>
        <v>46212</v>
      </c>
      <c r="BW121" s="209" cm="1">
        <f t="array" ref="BW121">(LOOKUP(2,1/(BH121:BT121&lt;&gt;""),BH121:BT121))/(INDEX(BH121:BT121,MATCH(TRUE,INDEX((BH121:BT121&lt;&gt;0),0),0)))-1</f>
        <v>0.10345834793784325</v>
      </c>
      <c r="BX121" s="210">
        <f t="shared" si="19"/>
        <v>18.888999999999999</v>
      </c>
      <c r="BY121" s="210">
        <f t="shared" si="20"/>
        <v>18.888999999999999</v>
      </c>
      <c r="BZ121" s="210">
        <f>IF(L121="BR",'Impostos e Frete'!$F$6,IF(L121="EU",'Impostos e Frete'!$I$3,IF(L121="CN",'Impostos e Frete'!$I$4,IF(L121="JP",'Impostos e Frete'!$I$5,IF(L121="RU",'Impostos e Frete'!$I$7,"ERRO")))))</f>
        <v>0</v>
      </c>
      <c r="CA121" s="210">
        <f>VLOOKUP(L121,'Impostos e Frete'!$A$3:$B$7,2,0)*'Preços e Condições'!BY121</f>
        <v>0</v>
      </c>
      <c r="CB121" s="147">
        <f t="shared" si="21"/>
        <v>0</v>
      </c>
      <c r="CC121" s="147">
        <f>IF(X121="BRL",'Impostos e Frete'!$B$11,'Impostos e Frete'!$B$12)</f>
        <v>0.2</v>
      </c>
      <c r="CD121" s="211">
        <f t="shared" si="22"/>
        <v>19.088999999999999</v>
      </c>
      <c r="CE121" s="212">
        <f t="shared" si="23"/>
        <v>1.2789629999999998</v>
      </c>
      <c r="CF121" s="213">
        <f>VLOOKUP(L121,'Impostos e Frete'!$A$3:$C$7,3,0)</f>
        <v>45</v>
      </c>
      <c r="CG121" s="213">
        <f t="shared" si="24"/>
        <v>0</v>
      </c>
      <c r="CH121" s="213">
        <f t="shared" si="25"/>
        <v>-45</v>
      </c>
      <c r="CI121" s="214">
        <f t="shared" si="26"/>
        <v>0.43110913027020459</v>
      </c>
      <c r="CJ121" s="215">
        <f t="shared" si="27"/>
        <v>19.520109130270203</v>
      </c>
      <c r="CK121" s="216">
        <f t="shared" si="28"/>
        <v>1.3078473117281035</v>
      </c>
    </row>
    <row r="122" spans="1:89">
      <c r="A122" s="176">
        <v>15434</v>
      </c>
      <c r="B122" s="177">
        <v>399</v>
      </c>
      <c r="C122" s="190">
        <v>67</v>
      </c>
      <c r="D122" s="183">
        <v>1550</v>
      </c>
      <c r="E122" s="178" t="s">
        <v>50</v>
      </c>
      <c r="F122" s="191" t="s">
        <v>1</v>
      </c>
      <c r="G122" s="192" t="s">
        <v>12</v>
      </c>
      <c r="H122" s="178" t="s">
        <v>42</v>
      </c>
      <c r="I122" s="178">
        <v>751</v>
      </c>
      <c r="J122" s="183"/>
      <c r="K122" s="183"/>
      <c r="L122" s="183" t="s">
        <v>58</v>
      </c>
      <c r="M122" s="183">
        <v>0</v>
      </c>
      <c r="N122" s="183"/>
      <c r="O122" s="183"/>
      <c r="P122" s="183">
        <v>3</v>
      </c>
      <c r="Q122" s="183" t="s">
        <v>27</v>
      </c>
      <c r="R122" s="183" t="s">
        <v>19</v>
      </c>
      <c r="S122" s="181">
        <v>0.12</v>
      </c>
      <c r="T122" s="181" t="s">
        <v>210</v>
      </c>
      <c r="U122" s="182">
        <v>9.2499999999999999E-2</v>
      </c>
      <c r="V122" s="182" t="s">
        <v>35</v>
      </c>
      <c r="W122" s="183">
        <v>50</v>
      </c>
      <c r="X122" s="182" t="s">
        <v>46</v>
      </c>
      <c r="Y122" s="146">
        <f t="shared" ref="Y122:AA123" si="29">20739.92</f>
        <v>20739.919999999998</v>
      </c>
      <c r="Z122" s="146">
        <f t="shared" si="29"/>
        <v>20739.919999999998</v>
      </c>
      <c r="AA122" s="146">
        <f t="shared" si="29"/>
        <v>20739.919999999998</v>
      </c>
      <c r="AB122" s="146">
        <f>16500</f>
        <v>16500</v>
      </c>
      <c r="AC122" s="146">
        <f>16500</f>
        <v>16500</v>
      </c>
      <c r="AD122" s="146">
        <f>16500</f>
        <v>16500</v>
      </c>
      <c r="AE122" s="146">
        <f>15840</f>
        <v>15840</v>
      </c>
      <c r="AF122" s="146">
        <f>15840</f>
        <v>15840</v>
      </c>
      <c r="AG122" s="146">
        <f>15840</f>
        <v>15840</v>
      </c>
      <c r="AH122" s="146">
        <f>15050</f>
        <v>15050</v>
      </c>
      <c r="AI122" s="146">
        <f>15050</f>
        <v>15050</v>
      </c>
      <c r="AJ122" s="146">
        <f>15050</f>
        <v>15050</v>
      </c>
      <c r="AK122" s="146">
        <f>14600</f>
        <v>14600</v>
      </c>
      <c r="AL122" s="146">
        <f>14600</f>
        <v>14600</v>
      </c>
      <c r="AM122" s="146">
        <f>14600</f>
        <v>14600</v>
      </c>
      <c r="AN122" s="146">
        <f>14600</f>
        <v>14600</v>
      </c>
      <c r="AO122" s="146">
        <f>14600</f>
        <v>14600</v>
      </c>
      <c r="AP122" s="146">
        <f>14600</f>
        <v>14600</v>
      </c>
      <c r="AQ122" s="146">
        <f>15826</f>
        <v>15826</v>
      </c>
      <c r="AR122" s="146">
        <f>15826</f>
        <v>15826</v>
      </c>
      <c r="AS122" s="146">
        <f>15826</f>
        <v>15826</v>
      </c>
      <c r="AT122" s="184">
        <v>16301</v>
      </c>
      <c r="AU122" s="184">
        <v>16617</v>
      </c>
      <c r="AV122" s="184">
        <v>16617</v>
      </c>
      <c r="AW122" s="184">
        <v>16617</v>
      </c>
      <c r="AX122" s="184">
        <v>16617</v>
      </c>
      <c r="AY122" s="184">
        <v>16617</v>
      </c>
      <c r="AZ122" s="184">
        <v>16617</v>
      </c>
      <c r="BA122" s="184">
        <v>16617</v>
      </c>
      <c r="BB122" s="184">
        <v>16617</v>
      </c>
      <c r="BC122" s="184">
        <v>16617</v>
      </c>
      <c r="BD122" s="184">
        <v>16617</v>
      </c>
      <c r="BE122" s="184">
        <v>16617</v>
      </c>
      <c r="BF122" s="184">
        <v>16617</v>
      </c>
      <c r="BG122" s="184">
        <v>16617</v>
      </c>
      <c r="BH122" s="184">
        <v>16617</v>
      </c>
      <c r="BI122" s="184">
        <v>16617</v>
      </c>
      <c r="BJ122" s="184">
        <v>16617</v>
      </c>
      <c r="BK122" s="184">
        <v>16617</v>
      </c>
      <c r="BL122" s="184">
        <v>17581</v>
      </c>
      <c r="BM122" s="184">
        <v>17581</v>
      </c>
      <c r="BN122" s="184">
        <v>17581</v>
      </c>
      <c r="BO122" s="184">
        <v>18337</v>
      </c>
      <c r="BP122" s="184">
        <v>18337</v>
      </c>
      <c r="BQ122" s="184">
        <v>18337</v>
      </c>
      <c r="BR122" s="184"/>
      <c r="BS122" s="184"/>
      <c r="BT122" s="184"/>
      <c r="BU122" s="146" cm="1">
        <f t="array" ref="BU122">LOOKUP(2,1/(Y122:BT122&lt;&gt;""),Y122:BH122)</f>
        <v>18337</v>
      </c>
      <c r="BV122" s="145" cm="1">
        <f t="array" aca="1" ref="BV122" ca="1">_xlfn.LET(
    _xlpm.last_col_idx, LOOKUP(2, 1/(Y122:BT122&lt;&gt;""), COLUMN(Y122:BT122) - COLUMN(Y122) + 1),
    _xlpm.header_val, INDEX($Y$3:$BT$3, 1, _xlpm.last_col_idx),
    _xlpm.header_date, IF(ISNUMBER(_xlpm.header_val), _xlpm.header_val, DATEVALUE(_xlpm.header_val)),
    IF(_xlpm.header_date &gt; TODAY(), TODAY(), _xlpm.header_date)
)</f>
        <v>46212</v>
      </c>
      <c r="BW122" s="209" cm="1">
        <f t="array" ref="BW122">(LOOKUP(2,1/(BH122:BT122&lt;&gt;""),BH122:BT122))/(INDEX(BH122:BT122,MATCH(TRUE,INDEX((BH122:BT122&lt;&gt;0),0),0)))-1</f>
        <v>0.10350845519648555</v>
      </c>
      <c r="BX122" s="210">
        <f t="shared" si="19"/>
        <v>18.337</v>
      </c>
      <c r="BY122" s="210">
        <f t="shared" si="20"/>
        <v>18.337</v>
      </c>
      <c r="BZ122" s="210">
        <f>IF(L122="BR",'Impostos e Frete'!$F$6,IF(L122="EU",'Impostos e Frete'!$I$3,IF(L122="CN",'Impostos e Frete'!$I$4,IF(L122="JP",'Impostos e Frete'!$I$5,IF(L122="RU",'Impostos e Frete'!$I$7,"ERRO")))))</f>
        <v>0</v>
      </c>
      <c r="CA122" s="210">
        <f>VLOOKUP(L122,'Impostos e Frete'!$A$3:$B$7,2,0)*'Preços e Condições'!BY122</f>
        <v>0</v>
      </c>
      <c r="CB122" s="147">
        <f t="shared" si="21"/>
        <v>0</v>
      </c>
      <c r="CC122" s="147">
        <f>IF(X122="BRL",'Impostos e Frete'!$B$11,'Impostos e Frete'!$B$12)</f>
        <v>0.2</v>
      </c>
      <c r="CD122" s="211">
        <f t="shared" si="22"/>
        <v>18.536999999999999</v>
      </c>
      <c r="CE122" s="212">
        <f t="shared" si="23"/>
        <v>1.2419789999999999</v>
      </c>
      <c r="CF122" s="213">
        <f>VLOOKUP(L122,'Impostos e Frete'!$A$3:$C$7,3,0)</f>
        <v>45</v>
      </c>
      <c r="CG122" s="213">
        <f t="shared" si="24"/>
        <v>0</v>
      </c>
      <c r="CH122" s="213">
        <f t="shared" si="25"/>
        <v>-45</v>
      </c>
      <c r="CI122" s="214">
        <f t="shared" si="26"/>
        <v>0.41864267105761499</v>
      </c>
      <c r="CJ122" s="215">
        <f t="shared" si="27"/>
        <v>18.955642671057614</v>
      </c>
      <c r="CK122" s="216">
        <f t="shared" si="28"/>
        <v>1.2700280589608601</v>
      </c>
    </row>
    <row r="123" spans="1:89">
      <c r="A123" s="176">
        <v>15434</v>
      </c>
      <c r="B123" s="177">
        <v>399</v>
      </c>
      <c r="C123" s="190">
        <v>67</v>
      </c>
      <c r="D123" s="183">
        <v>1870</v>
      </c>
      <c r="E123" s="178" t="s">
        <v>50</v>
      </c>
      <c r="F123" s="191" t="s">
        <v>1</v>
      </c>
      <c r="G123" s="192" t="s">
        <v>12</v>
      </c>
      <c r="H123" s="178" t="s">
        <v>42</v>
      </c>
      <c r="I123" s="178">
        <v>751</v>
      </c>
      <c r="J123" s="183"/>
      <c r="K123" s="183"/>
      <c r="L123" s="183" t="s">
        <v>58</v>
      </c>
      <c r="M123" s="183">
        <v>0</v>
      </c>
      <c r="N123" s="183"/>
      <c r="O123" s="183"/>
      <c r="P123" s="183">
        <v>3</v>
      </c>
      <c r="Q123" s="183" t="s">
        <v>27</v>
      </c>
      <c r="R123" s="183" t="s">
        <v>19</v>
      </c>
      <c r="S123" s="181">
        <v>0.12</v>
      </c>
      <c r="T123" s="181" t="s">
        <v>210</v>
      </c>
      <c r="U123" s="182">
        <v>9.2499999999999999E-2</v>
      </c>
      <c r="V123" s="182" t="s">
        <v>35</v>
      </c>
      <c r="W123" s="183">
        <v>50</v>
      </c>
      <c r="X123" s="182" t="s">
        <v>46</v>
      </c>
      <c r="Y123" s="146">
        <f t="shared" si="29"/>
        <v>20739.919999999998</v>
      </c>
      <c r="Z123" s="146">
        <f t="shared" si="29"/>
        <v>20739.919999999998</v>
      </c>
      <c r="AA123" s="146">
        <f t="shared" si="29"/>
        <v>20739.919999999998</v>
      </c>
      <c r="AB123" s="146">
        <f>16500</f>
        <v>16500</v>
      </c>
      <c r="AC123" s="146">
        <f>16500</f>
        <v>16500</v>
      </c>
      <c r="AD123" s="146">
        <f>16500</f>
        <v>16500</v>
      </c>
      <c r="AE123" s="146">
        <f>15840</f>
        <v>15840</v>
      </c>
      <c r="AF123" s="146">
        <f>15840</f>
        <v>15840</v>
      </c>
      <c r="AG123" s="146">
        <f>15840</f>
        <v>15840</v>
      </c>
      <c r="AH123" s="146">
        <f>15050</f>
        <v>15050</v>
      </c>
      <c r="AI123" s="146">
        <f>15050</f>
        <v>15050</v>
      </c>
      <c r="AJ123" s="146">
        <f>15050</f>
        <v>15050</v>
      </c>
      <c r="AK123" s="146">
        <f>14600</f>
        <v>14600</v>
      </c>
      <c r="AL123" s="146">
        <f>14600</f>
        <v>14600</v>
      </c>
      <c r="AM123" s="146">
        <f>14600</f>
        <v>14600</v>
      </c>
      <c r="AN123" s="146">
        <f>14600</f>
        <v>14600</v>
      </c>
      <c r="AO123" s="146">
        <f>14600</f>
        <v>14600</v>
      </c>
      <c r="AP123" s="146">
        <f>14600</f>
        <v>14600</v>
      </c>
      <c r="AQ123" s="146">
        <f>15826</f>
        <v>15826</v>
      </c>
      <c r="AR123" s="146">
        <f>15826</f>
        <v>15826</v>
      </c>
      <c r="AS123" s="146">
        <f>15826</f>
        <v>15826</v>
      </c>
      <c r="AT123" s="184">
        <v>16301</v>
      </c>
      <c r="AU123" s="184">
        <v>16617</v>
      </c>
      <c r="AV123" s="184">
        <v>16617</v>
      </c>
      <c r="AW123" s="184">
        <v>16617</v>
      </c>
      <c r="AX123" s="184">
        <v>16617</v>
      </c>
      <c r="AY123" s="184">
        <v>16617</v>
      </c>
      <c r="AZ123" s="184">
        <v>16617</v>
      </c>
      <c r="BA123" s="184">
        <v>16617</v>
      </c>
      <c r="BB123" s="184">
        <v>16617</v>
      </c>
      <c r="BC123" s="184">
        <v>16617</v>
      </c>
      <c r="BD123" s="184">
        <v>16617</v>
      </c>
      <c r="BE123" s="184">
        <v>16617</v>
      </c>
      <c r="BF123" s="184">
        <v>16617</v>
      </c>
      <c r="BG123" s="184">
        <v>16617</v>
      </c>
      <c r="BH123" s="184">
        <v>16617</v>
      </c>
      <c r="BI123" s="184">
        <v>16617</v>
      </c>
      <c r="BJ123" s="184">
        <v>16617</v>
      </c>
      <c r="BK123" s="184">
        <v>16617</v>
      </c>
      <c r="BL123" s="184">
        <v>17581</v>
      </c>
      <c r="BM123" s="184">
        <v>17581</v>
      </c>
      <c r="BN123" s="184">
        <v>17581</v>
      </c>
      <c r="BO123" s="184">
        <v>18337</v>
      </c>
      <c r="BP123" s="184">
        <v>18337</v>
      </c>
      <c r="BQ123" s="184">
        <v>18337</v>
      </c>
      <c r="BR123" s="184"/>
      <c r="BS123" s="184"/>
      <c r="BT123" s="184"/>
      <c r="BU123" s="146" cm="1">
        <f t="array" ref="BU123">LOOKUP(2,1/(Y123:BT123&lt;&gt;""),Y123:BH123)</f>
        <v>18337</v>
      </c>
      <c r="BV123" s="145" cm="1">
        <f t="array" aca="1" ref="BV123" ca="1">_xlfn.LET(
    _xlpm.last_col_idx, LOOKUP(2, 1/(Y123:BT123&lt;&gt;""), COLUMN(Y123:BT123) - COLUMN(Y123) + 1),
    _xlpm.header_val, INDEX($Y$3:$BT$3, 1, _xlpm.last_col_idx),
    _xlpm.header_date, IF(ISNUMBER(_xlpm.header_val), _xlpm.header_val, DATEVALUE(_xlpm.header_val)),
    IF(_xlpm.header_date &gt; TODAY(), TODAY(), _xlpm.header_date)
)</f>
        <v>46212</v>
      </c>
      <c r="BW123" s="209" cm="1">
        <f t="array" ref="BW123">(LOOKUP(2,1/(BH123:BT123&lt;&gt;""),BH123:BT123))/(INDEX(BH123:BT123,MATCH(TRUE,INDEX((BH123:BT123&lt;&gt;0),0),0)))-1</f>
        <v>0.10350845519648555</v>
      </c>
      <c r="BX123" s="210">
        <f t="shared" si="19"/>
        <v>18.337</v>
      </c>
      <c r="BY123" s="210">
        <f t="shared" si="20"/>
        <v>18.337</v>
      </c>
      <c r="BZ123" s="210">
        <f>IF(L123="BR",'Impostos e Frete'!$F$6,IF(L123="EU",'Impostos e Frete'!$I$3,IF(L123="CN",'Impostos e Frete'!$I$4,IF(L123="JP",'Impostos e Frete'!$I$5,IF(L123="RU",'Impostos e Frete'!$I$7,"ERRO")))))</f>
        <v>0</v>
      </c>
      <c r="CA123" s="210">
        <f>VLOOKUP(L123,'Impostos e Frete'!$A$3:$B$7,2,0)*'Preços e Condições'!BY123</f>
        <v>0</v>
      </c>
      <c r="CB123" s="147">
        <f t="shared" si="21"/>
        <v>0</v>
      </c>
      <c r="CC123" s="147">
        <f>IF(X123="BRL",'Impostos e Frete'!$B$11,'Impostos e Frete'!$B$12)</f>
        <v>0.2</v>
      </c>
      <c r="CD123" s="211">
        <f t="shared" si="22"/>
        <v>18.536999999999999</v>
      </c>
      <c r="CE123" s="212">
        <f t="shared" si="23"/>
        <v>1.2419789999999999</v>
      </c>
      <c r="CF123" s="213">
        <f>VLOOKUP(L123,'Impostos e Frete'!$A$3:$C$7,3,0)</f>
        <v>45</v>
      </c>
      <c r="CG123" s="213">
        <f t="shared" si="24"/>
        <v>0</v>
      </c>
      <c r="CH123" s="213">
        <f t="shared" si="25"/>
        <v>-45</v>
      </c>
      <c r="CI123" s="214">
        <f t="shared" si="26"/>
        <v>0.41864267105761499</v>
      </c>
      <c r="CJ123" s="215">
        <f t="shared" si="27"/>
        <v>18.955642671057614</v>
      </c>
      <c r="CK123" s="216">
        <f t="shared" si="28"/>
        <v>1.2700280589608601</v>
      </c>
    </row>
    <row r="124" spans="1:89">
      <c r="A124" s="176">
        <v>15440</v>
      </c>
      <c r="B124" s="177">
        <v>8269</v>
      </c>
      <c r="C124" s="190">
        <v>68</v>
      </c>
      <c r="D124" s="183">
        <v>1270</v>
      </c>
      <c r="E124" s="178" t="s">
        <v>50</v>
      </c>
      <c r="F124" s="191" t="s">
        <v>1</v>
      </c>
      <c r="G124" s="192" t="s">
        <v>14</v>
      </c>
      <c r="H124" s="178" t="s">
        <v>42</v>
      </c>
      <c r="I124" s="178">
        <v>756</v>
      </c>
      <c r="J124" s="183"/>
      <c r="K124" s="183"/>
      <c r="L124" s="183" t="s">
        <v>58</v>
      </c>
      <c r="M124" s="183">
        <v>0</v>
      </c>
      <c r="N124" s="183"/>
      <c r="O124" s="183"/>
      <c r="P124" s="183">
        <v>3</v>
      </c>
      <c r="Q124" s="183" t="s">
        <v>27</v>
      </c>
      <c r="R124" s="183" t="s">
        <v>19</v>
      </c>
      <c r="S124" s="181">
        <v>0.12</v>
      </c>
      <c r="T124" s="181" t="s">
        <v>210</v>
      </c>
      <c r="U124" s="182">
        <v>9.2499999999999999E-2</v>
      </c>
      <c r="V124" s="182" t="s">
        <v>35</v>
      </c>
      <c r="W124" s="183">
        <v>50</v>
      </c>
      <c r="X124" s="182" t="s">
        <v>46</v>
      </c>
      <c r="Y124" s="146">
        <f t="shared" ref="Y124:AA126" si="30">23019.38</f>
        <v>23019.38</v>
      </c>
      <c r="Z124" s="146">
        <f t="shared" si="30"/>
        <v>23019.38</v>
      </c>
      <c r="AA124" s="146">
        <f t="shared" si="30"/>
        <v>23019.38</v>
      </c>
      <c r="AB124" s="146">
        <f>18000</f>
        <v>18000</v>
      </c>
      <c r="AC124" s="146">
        <f>18000</f>
        <v>18000</v>
      </c>
      <c r="AD124" s="146">
        <f>18000</f>
        <v>18000</v>
      </c>
      <c r="AE124" s="146">
        <f>17280</f>
        <v>17280</v>
      </c>
      <c r="AF124" s="146">
        <f>17280</f>
        <v>17280</v>
      </c>
      <c r="AG124" s="146">
        <f>17280</f>
        <v>17280</v>
      </c>
      <c r="AH124" s="146">
        <f>16420</f>
        <v>16420</v>
      </c>
      <c r="AI124" s="146">
        <f>16420</f>
        <v>16420</v>
      </c>
      <c r="AJ124" s="146">
        <f>16420</f>
        <v>16420</v>
      </c>
      <c r="AK124" s="146">
        <f>15930</f>
        <v>15930</v>
      </c>
      <c r="AL124" s="146">
        <f>15930</f>
        <v>15930</v>
      </c>
      <c r="AM124" s="146">
        <f>15930</f>
        <v>15930</v>
      </c>
      <c r="AN124" s="146">
        <f>15930</f>
        <v>15930</v>
      </c>
      <c r="AO124" s="146">
        <f>15930</f>
        <v>15930</v>
      </c>
      <c r="AP124" s="146">
        <f>15930</f>
        <v>15930</v>
      </c>
      <c r="AQ124" s="146">
        <f>17268</f>
        <v>17268</v>
      </c>
      <c r="AR124" s="146">
        <f>17268</f>
        <v>17268</v>
      </c>
      <c r="AS124" s="146">
        <f>17268</f>
        <v>17268</v>
      </c>
      <c r="AT124" s="184">
        <v>17786</v>
      </c>
      <c r="AU124" s="184">
        <v>18131</v>
      </c>
      <c r="AV124" s="184">
        <v>18131</v>
      </c>
      <c r="AW124" s="184">
        <v>18131</v>
      </c>
      <c r="AX124" s="184">
        <v>18131</v>
      </c>
      <c r="AY124" s="184">
        <v>18131</v>
      </c>
      <c r="AZ124" s="184">
        <v>18131</v>
      </c>
      <c r="BA124" s="184">
        <v>18131</v>
      </c>
      <c r="BB124" s="184">
        <v>18131</v>
      </c>
      <c r="BC124" s="184">
        <v>18131</v>
      </c>
      <c r="BD124" s="184">
        <v>18131</v>
      </c>
      <c r="BE124" s="184">
        <v>18131</v>
      </c>
      <c r="BF124" s="184">
        <v>18131</v>
      </c>
      <c r="BG124" s="184">
        <v>18131</v>
      </c>
      <c r="BH124" s="184">
        <v>18131</v>
      </c>
      <c r="BI124" s="184">
        <v>18131</v>
      </c>
      <c r="BJ124" s="184">
        <v>18131</v>
      </c>
      <c r="BK124" s="184">
        <v>18131</v>
      </c>
      <c r="BL124" s="184">
        <v>19183</v>
      </c>
      <c r="BM124" s="184">
        <v>19183</v>
      </c>
      <c r="BN124" s="184">
        <v>19183</v>
      </c>
      <c r="BO124" s="184">
        <v>20008</v>
      </c>
      <c r="BP124" s="184">
        <v>20008</v>
      </c>
      <c r="BQ124" s="184">
        <v>20008</v>
      </c>
      <c r="BR124" s="184"/>
      <c r="BS124" s="184"/>
      <c r="BT124" s="184"/>
      <c r="BU124" s="146" cm="1">
        <f t="array" ref="BU124">LOOKUP(2,1/(Y124:BT124&lt;&gt;""),Y124:BH124)</f>
        <v>20008</v>
      </c>
      <c r="BV124" s="145" cm="1">
        <f t="array" aca="1" ref="BV124" ca="1">_xlfn.LET(
    _xlpm.last_col_idx, LOOKUP(2, 1/(Y124:BT124&lt;&gt;""), COLUMN(Y124:BT124) - COLUMN(Y124) + 1),
    _xlpm.header_val, INDEX($Y$3:$BT$3, 1, _xlpm.last_col_idx),
    _xlpm.header_date, IF(ISNUMBER(_xlpm.header_val), _xlpm.header_val, DATEVALUE(_xlpm.header_val)),
    IF(_xlpm.header_date &gt; TODAY(), TODAY(), _xlpm.header_date)
)</f>
        <v>46212</v>
      </c>
      <c r="BW124" s="209" cm="1">
        <f t="array" ref="BW124">(LOOKUP(2,1/(BH124:BT124&lt;&gt;""),BH124:BT124))/(INDEX(BH124:BT124,MATCH(TRUE,INDEX((BH124:BT124&lt;&gt;0),0),0)))-1</f>
        <v>0.10352435055981468</v>
      </c>
      <c r="BX124" s="210">
        <f t="shared" si="19"/>
        <v>20.007999999999999</v>
      </c>
      <c r="BY124" s="210">
        <f t="shared" si="20"/>
        <v>20.007999999999999</v>
      </c>
      <c r="BZ124" s="210">
        <f>IF(L124="BR",'Impostos e Frete'!$F$6,IF(L124="EU",'Impostos e Frete'!$I$3,IF(L124="CN",'Impostos e Frete'!$I$4,IF(L124="JP",'Impostos e Frete'!$I$5,IF(L124="RU",'Impostos e Frete'!$I$7,"ERRO")))))</f>
        <v>0</v>
      </c>
      <c r="CA124" s="210">
        <f>VLOOKUP(L124,'Impostos e Frete'!$A$3:$B$7,2,0)*'Preços e Condições'!BY124</f>
        <v>0</v>
      </c>
      <c r="CB124" s="147">
        <f t="shared" si="21"/>
        <v>0</v>
      </c>
      <c r="CC124" s="147">
        <f>IF(X124="BRL",'Impostos e Frete'!$B$11,'Impostos e Frete'!$B$12)</f>
        <v>0.2</v>
      </c>
      <c r="CD124" s="211">
        <f t="shared" si="22"/>
        <v>20.207999999999998</v>
      </c>
      <c r="CE124" s="212">
        <f t="shared" si="23"/>
        <v>1.3741439999999998</v>
      </c>
      <c r="CF124" s="213">
        <f>VLOOKUP(L124,'Impostos e Frete'!$A$3:$C$7,3,0)</f>
        <v>45</v>
      </c>
      <c r="CG124" s="213">
        <f t="shared" si="24"/>
        <v>0</v>
      </c>
      <c r="CH124" s="213">
        <f t="shared" si="25"/>
        <v>-45</v>
      </c>
      <c r="CI124" s="214">
        <f t="shared" si="26"/>
        <v>0.45638081117398954</v>
      </c>
      <c r="CJ124" s="215">
        <f t="shared" si="27"/>
        <v>20.664380811173988</v>
      </c>
      <c r="CK124" s="216">
        <f t="shared" si="28"/>
        <v>1.4051778951598313</v>
      </c>
    </row>
    <row r="125" spans="1:89">
      <c r="A125" s="176">
        <v>15440</v>
      </c>
      <c r="B125" s="177">
        <v>8269</v>
      </c>
      <c r="C125" s="190">
        <v>68</v>
      </c>
      <c r="D125" s="183">
        <v>1870</v>
      </c>
      <c r="E125" s="178" t="s">
        <v>50</v>
      </c>
      <c r="F125" s="191" t="s">
        <v>1</v>
      </c>
      <c r="G125" s="192" t="s">
        <v>14</v>
      </c>
      <c r="H125" s="178" t="s">
        <v>42</v>
      </c>
      <c r="I125" s="178">
        <v>756</v>
      </c>
      <c r="J125" s="183"/>
      <c r="K125" s="183"/>
      <c r="L125" s="183" t="s">
        <v>58</v>
      </c>
      <c r="M125" s="183">
        <v>0</v>
      </c>
      <c r="N125" s="183"/>
      <c r="O125" s="183"/>
      <c r="P125" s="183">
        <v>3</v>
      </c>
      <c r="Q125" s="183" t="s">
        <v>27</v>
      </c>
      <c r="R125" s="183" t="s">
        <v>19</v>
      </c>
      <c r="S125" s="181">
        <v>0.12</v>
      </c>
      <c r="T125" s="181" t="s">
        <v>210</v>
      </c>
      <c r="U125" s="182">
        <v>9.2499999999999999E-2</v>
      </c>
      <c r="V125" s="182" t="s">
        <v>35</v>
      </c>
      <c r="W125" s="183">
        <v>50</v>
      </c>
      <c r="X125" s="182" t="s">
        <v>46</v>
      </c>
      <c r="Y125" s="146">
        <f t="shared" si="30"/>
        <v>23019.38</v>
      </c>
      <c r="Z125" s="146">
        <f t="shared" si="30"/>
        <v>23019.38</v>
      </c>
      <c r="AA125" s="146">
        <f t="shared" si="30"/>
        <v>23019.38</v>
      </c>
      <c r="AB125" s="146">
        <f>18000</f>
        <v>18000</v>
      </c>
      <c r="AC125" s="146">
        <f>18000</f>
        <v>18000</v>
      </c>
      <c r="AD125" s="146">
        <f>18000</f>
        <v>18000</v>
      </c>
      <c r="AE125" s="146">
        <f>17280</f>
        <v>17280</v>
      </c>
      <c r="AF125" s="146">
        <f>17280</f>
        <v>17280</v>
      </c>
      <c r="AG125" s="146">
        <f>17280</f>
        <v>17280</v>
      </c>
      <c r="AH125" s="146">
        <f>16420</f>
        <v>16420</v>
      </c>
      <c r="AI125" s="146">
        <f>16420</f>
        <v>16420</v>
      </c>
      <c r="AJ125" s="146">
        <f>16420</f>
        <v>16420</v>
      </c>
      <c r="AK125" s="146">
        <f>15930</f>
        <v>15930</v>
      </c>
      <c r="AL125" s="146">
        <f>15930</f>
        <v>15930</v>
      </c>
      <c r="AM125" s="146">
        <f>15930</f>
        <v>15930</v>
      </c>
      <c r="AN125" s="146">
        <f>15930</f>
        <v>15930</v>
      </c>
      <c r="AO125" s="146">
        <f>15930</f>
        <v>15930</v>
      </c>
      <c r="AP125" s="146">
        <f>15930</f>
        <v>15930</v>
      </c>
      <c r="AQ125" s="146">
        <f>17268</f>
        <v>17268</v>
      </c>
      <c r="AR125" s="146">
        <f>17268</f>
        <v>17268</v>
      </c>
      <c r="AS125" s="146">
        <f>17268</f>
        <v>17268</v>
      </c>
      <c r="AT125" s="184">
        <v>17786</v>
      </c>
      <c r="AU125" s="184">
        <v>18131</v>
      </c>
      <c r="AV125" s="184">
        <v>18131</v>
      </c>
      <c r="AW125" s="184">
        <v>18131</v>
      </c>
      <c r="AX125" s="184">
        <v>18131</v>
      </c>
      <c r="AY125" s="184">
        <v>18131</v>
      </c>
      <c r="AZ125" s="184">
        <v>18131</v>
      </c>
      <c r="BA125" s="184">
        <v>18131</v>
      </c>
      <c r="BB125" s="184">
        <v>18131</v>
      </c>
      <c r="BC125" s="184">
        <v>18131</v>
      </c>
      <c r="BD125" s="184">
        <v>18131</v>
      </c>
      <c r="BE125" s="184">
        <v>18131</v>
      </c>
      <c r="BF125" s="184">
        <v>18131</v>
      </c>
      <c r="BG125" s="184">
        <v>18131</v>
      </c>
      <c r="BH125" s="184">
        <v>18131</v>
      </c>
      <c r="BI125" s="184">
        <v>18131</v>
      </c>
      <c r="BJ125" s="184">
        <v>18131</v>
      </c>
      <c r="BK125" s="184">
        <v>18131</v>
      </c>
      <c r="BL125" s="184">
        <v>19183</v>
      </c>
      <c r="BM125" s="184">
        <v>19183</v>
      </c>
      <c r="BN125" s="184">
        <v>19183</v>
      </c>
      <c r="BO125" s="184">
        <v>20008</v>
      </c>
      <c r="BP125" s="184">
        <v>20008</v>
      </c>
      <c r="BQ125" s="184">
        <v>20008</v>
      </c>
      <c r="BR125" s="184"/>
      <c r="BS125" s="184"/>
      <c r="BT125" s="184"/>
      <c r="BU125" s="146" cm="1">
        <f t="array" ref="BU125">LOOKUP(2,1/(Y125:BT125&lt;&gt;""),Y125:BH125)</f>
        <v>20008</v>
      </c>
      <c r="BV125" s="145" cm="1">
        <f t="array" aca="1" ref="BV125" ca="1">_xlfn.LET(
    _xlpm.last_col_idx, LOOKUP(2, 1/(Y125:BT125&lt;&gt;""), COLUMN(Y125:BT125) - COLUMN(Y125) + 1),
    _xlpm.header_val, INDEX($Y$3:$BT$3, 1, _xlpm.last_col_idx),
    _xlpm.header_date, IF(ISNUMBER(_xlpm.header_val), _xlpm.header_val, DATEVALUE(_xlpm.header_val)),
    IF(_xlpm.header_date &gt; TODAY(), TODAY(), _xlpm.header_date)
)</f>
        <v>46212</v>
      </c>
      <c r="BW125" s="209" cm="1">
        <f t="array" ref="BW125">(LOOKUP(2,1/(BH125:BT125&lt;&gt;""),BH125:BT125))/(INDEX(BH125:BT125,MATCH(TRUE,INDEX((BH125:BT125&lt;&gt;0),0),0)))-1</f>
        <v>0.10352435055981468</v>
      </c>
      <c r="BX125" s="210">
        <f t="shared" si="19"/>
        <v>20.007999999999999</v>
      </c>
      <c r="BY125" s="210">
        <f t="shared" si="20"/>
        <v>20.007999999999999</v>
      </c>
      <c r="BZ125" s="210">
        <f>IF(L125="BR",'Impostos e Frete'!$F$6,IF(L125="EU",'Impostos e Frete'!$I$3,IF(L125="CN",'Impostos e Frete'!$I$4,IF(L125="JP",'Impostos e Frete'!$I$5,IF(L125="RU",'Impostos e Frete'!$I$7,"ERRO")))))</f>
        <v>0</v>
      </c>
      <c r="CA125" s="210">
        <f>VLOOKUP(L125,'Impostos e Frete'!$A$3:$B$7,2,0)*'Preços e Condições'!BY125</f>
        <v>0</v>
      </c>
      <c r="CB125" s="147">
        <f t="shared" si="21"/>
        <v>0</v>
      </c>
      <c r="CC125" s="147">
        <f>IF(X125="BRL",'Impostos e Frete'!$B$11,'Impostos e Frete'!$B$12)</f>
        <v>0.2</v>
      </c>
      <c r="CD125" s="211">
        <f t="shared" si="22"/>
        <v>20.207999999999998</v>
      </c>
      <c r="CE125" s="212">
        <f t="shared" si="23"/>
        <v>1.3741439999999998</v>
      </c>
      <c r="CF125" s="213">
        <f>VLOOKUP(L125,'Impostos e Frete'!$A$3:$C$7,3,0)</f>
        <v>45</v>
      </c>
      <c r="CG125" s="213">
        <f t="shared" si="24"/>
        <v>0</v>
      </c>
      <c r="CH125" s="213">
        <f t="shared" si="25"/>
        <v>-45</v>
      </c>
      <c r="CI125" s="214">
        <f t="shared" si="26"/>
        <v>0.45638081117398954</v>
      </c>
      <c r="CJ125" s="215">
        <f t="shared" si="27"/>
        <v>20.664380811173988</v>
      </c>
      <c r="CK125" s="216">
        <f t="shared" si="28"/>
        <v>1.4051778951598313</v>
      </c>
    </row>
    <row r="126" spans="1:89">
      <c r="A126" s="176">
        <v>15440</v>
      </c>
      <c r="B126" s="177">
        <v>8269</v>
      </c>
      <c r="C126" s="190">
        <v>68</v>
      </c>
      <c r="D126" s="183">
        <v>2120</v>
      </c>
      <c r="E126" s="178" t="s">
        <v>50</v>
      </c>
      <c r="F126" s="191" t="s">
        <v>1</v>
      </c>
      <c r="G126" s="192" t="s">
        <v>14</v>
      </c>
      <c r="H126" s="178" t="s">
        <v>42</v>
      </c>
      <c r="I126" s="178">
        <v>756</v>
      </c>
      <c r="J126" s="183"/>
      <c r="K126" s="183"/>
      <c r="L126" s="183" t="s">
        <v>58</v>
      </c>
      <c r="M126" s="183">
        <v>0</v>
      </c>
      <c r="N126" s="183"/>
      <c r="O126" s="183"/>
      <c r="P126" s="183">
        <v>3</v>
      </c>
      <c r="Q126" s="183" t="s">
        <v>27</v>
      </c>
      <c r="R126" s="183" t="s">
        <v>19</v>
      </c>
      <c r="S126" s="181">
        <v>0.12</v>
      </c>
      <c r="T126" s="181" t="s">
        <v>210</v>
      </c>
      <c r="U126" s="182">
        <v>9.2499999999999999E-2</v>
      </c>
      <c r="V126" s="182" t="s">
        <v>35</v>
      </c>
      <c r="W126" s="183">
        <v>50</v>
      </c>
      <c r="X126" s="182" t="s">
        <v>46</v>
      </c>
      <c r="Y126" s="146">
        <f t="shared" si="30"/>
        <v>23019.38</v>
      </c>
      <c r="Z126" s="146">
        <f t="shared" si="30"/>
        <v>23019.38</v>
      </c>
      <c r="AA126" s="146">
        <f t="shared" si="30"/>
        <v>23019.38</v>
      </c>
      <c r="AB126" s="146">
        <f>18000</f>
        <v>18000</v>
      </c>
      <c r="AC126" s="146">
        <f>18000</f>
        <v>18000</v>
      </c>
      <c r="AD126" s="146">
        <f>18000</f>
        <v>18000</v>
      </c>
      <c r="AE126" s="146">
        <f>17280</f>
        <v>17280</v>
      </c>
      <c r="AF126" s="146">
        <f>17280</f>
        <v>17280</v>
      </c>
      <c r="AG126" s="146">
        <f>17280</f>
        <v>17280</v>
      </c>
      <c r="AH126" s="146">
        <f>16420</f>
        <v>16420</v>
      </c>
      <c r="AI126" s="146">
        <f>16420</f>
        <v>16420</v>
      </c>
      <c r="AJ126" s="146">
        <f>16420</f>
        <v>16420</v>
      </c>
      <c r="AK126" s="146">
        <f>15930</f>
        <v>15930</v>
      </c>
      <c r="AL126" s="146">
        <f>15930</f>
        <v>15930</v>
      </c>
      <c r="AM126" s="146">
        <f>15930</f>
        <v>15930</v>
      </c>
      <c r="AN126" s="146">
        <f>15930</f>
        <v>15930</v>
      </c>
      <c r="AO126" s="146">
        <f>15930</f>
        <v>15930</v>
      </c>
      <c r="AP126" s="146">
        <f>15930</f>
        <v>15930</v>
      </c>
      <c r="AQ126" s="146">
        <f>17268</f>
        <v>17268</v>
      </c>
      <c r="AR126" s="146">
        <f>17268</f>
        <v>17268</v>
      </c>
      <c r="AS126" s="146">
        <f>17268</f>
        <v>17268</v>
      </c>
      <c r="AT126" s="184">
        <v>17786</v>
      </c>
      <c r="AU126" s="184">
        <v>18131</v>
      </c>
      <c r="AV126" s="184">
        <v>18131</v>
      </c>
      <c r="AW126" s="184">
        <v>18131</v>
      </c>
      <c r="AX126" s="184">
        <v>18131</v>
      </c>
      <c r="AY126" s="184">
        <v>18131</v>
      </c>
      <c r="AZ126" s="184">
        <v>18131</v>
      </c>
      <c r="BA126" s="184">
        <v>18131</v>
      </c>
      <c r="BB126" s="184">
        <v>18131</v>
      </c>
      <c r="BC126" s="184">
        <v>18131</v>
      </c>
      <c r="BD126" s="184">
        <v>18131</v>
      </c>
      <c r="BE126" s="184">
        <v>18131</v>
      </c>
      <c r="BF126" s="184">
        <v>18131</v>
      </c>
      <c r="BG126" s="184">
        <v>18131</v>
      </c>
      <c r="BH126" s="184">
        <v>18131</v>
      </c>
      <c r="BI126" s="184">
        <v>18131</v>
      </c>
      <c r="BJ126" s="184">
        <v>18131</v>
      </c>
      <c r="BK126" s="184">
        <v>18131</v>
      </c>
      <c r="BL126" s="184">
        <v>19183</v>
      </c>
      <c r="BM126" s="184">
        <v>19183</v>
      </c>
      <c r="BN126" s="184">
        <v>19183</v>
      </c>
      <c r="BO126" s="184">
        <v>20008</v>
      </c>
      <c r="BP126" s="184">
        <v>20008</v>
      </c>
      <c r="BQ126" s="184">
        <v>20008</v>
      </c>
      <c r="BR126" s="184"/>
      <c r="BS126" s="184"/>
      <c r="BT126" s="184"/>
      <c r="BU126" s="146" cm="1">
        <f t="array" ref="BU126">LOOKUP(2,1/(Y126:BT126&lt;&gt;""),Y126:BH126)</f>
        <v>20008</v>
      </c>
      <c r="BV126" s="145" cm="1">
        <f t="array" aca="1" ref="BV126" ca="1">_xlfn.LET(
    _xlpm.last_col_idx, LOOKUP(2, 1/(Y126:BT126&lt;&gt;""), COLUMN(Y126:BT126) - COLUMN(Y126) + 1),
    _xlpm.header_val, INDEX($Y$3:$BT$3, 1, _xlpm.last_col_idx),
    _xlpm.header_date, IF(ISNUMBER(_xlpm.header_val), _xlpm.header_val, DATEVALUE(_xlpm.header_val)),
    IF(_xlpm.header_date &gt; TODAY(), TODAY(), _xlpm.header_date)
)</f>
        <v>46212</v>
      </c>
      <c r="BW126" s="209" cm="1">
        <f t="array" ref="BW126">(LOOKUP(2,1/(BH126:BT126&lt;&gt;""),BH126:BT126))/(INDEX(BH126:BT126,MATCH(TRUE,INDEX((BH126:BT126&lt;&gt;0),0),0)))-1</f>
        <v>0.10352435055981468</v>
      </c>
      <c r="BX126" s="210">
        <f t="shared" si="19"/>
        <v>20.007999999999999</v>
      </c>
      <c r="BY126" s="210">
        <f t="shared" si="20"/>
        <v>20.007999999999999</v>
      </c>
      <c r="BZ126" s="210">
        <f>IF(L126="BR",'Impostos e Frete'!$F$6,IF(L126="EU",'Impostos e Frete'!$I$3,IF(L126="CN",'Impostos e Frete'!$I$4,IF(L126="JP",'Impostos e Frete'!$I$5,IF(L126="RU",'Impostos e Frete'!$I$7,"ERRO")))))</f>
        <v>0</v>
      </c>
      <c r="CA126" s="210">
        <f>VLOOKUP(L126,'Impostos e Frete'!$A$3:$B$7,2,0)*'Preços e Condições'!BY126</f>
        <v>0</v>
      </c>
      <c r="CB126" s="147">
        <f t="shared" si="21"/>
        <v>0</v>
      </c>
      <c r="CC126" s="147">
        <f>IF(X126="BRL",'Impostos e Frete'!$B$11,'Impostos e Frete'!$B$12)</f>
        <v>0.2</v>
      </c>
      <c r="CD126" s="211">
        <f t="shared" si="22"/>
        <v>20.207999999999998</v>
      </c>
      <c r="CE126" s="212">
        <f t="shared" si="23"/>
        <v>1.3741439999999998</v>
      </c>
      <c r="CF126" s="213">
        <f>VLOOKUP(L126,'Impostos e Frete'!$A$3:$C$7,3,0)</f>
        <v>45</v>
      </c>
      <c r="CG126" s="213">
        <f t="shared" si="24"/>
        <v>0</v>
      </c>
      <c r="CH126" s="213">
        <f t="shared" si="25"/>
        <v>-45</v>
      </c>
      <c r="CI126" s="214">
        <f t="shared" si="26"/>
        <v>0.45638081117398954</v>
      </c>
      <c r="CJ126" s="215">
        <f t="shared" si="27"/>
        <v>20.664380811173988</v>
      </c>
      <c r="CK126" s="216">
        <f t="shared" si="28"/>
        <v>1.4051778951598313</v>
      </c>
    </row>
    <row r="127" spans="1:89">
      <c r="A127" s="176">
        <v>15441</v>
      </c>
      <c r="B127" s="177">
        <v>8269</v>
      </c>
      <c r="C127" s="190">
        <v>68</v>
      </c>
      <c r="D127" s="190">
        <v>2120</v>
      </c>
      <c r="E127" s="178" t="s">
        <v>50</v>
      </c>
      <c r="F127" s="191" t="s">
        <v>1</v>
      </c>
      <c r="G127" s="192" t="s">
        <v>14</v>
      </c>
      <c r="H127" s="190" t="s">
        <v>42</v>
      </c>
      <c r="I127" s="178">
        <v>756</v>
      </c>
      <c r="J127" s="183"/>
      <c r="K127" s="190" t="s">
        <v>28</v>
      </c>
      <c r="L127" s="183" t="s">
        <v>58</v>
      </c>
      <c r="M127" s="183">
        <v>0</v>
      </c>
      <c r="N127" s="183"/>
      <c r="O127" s="183"/>
      <c r="P127" s="183">
        <v>3</v>
      </c>
      <c r="Q127" s="183" t="s">
        <v>27</v>
      </c>
      <c r="R127" s="183" t="s">
        <v>19</v>
      </c>
      <c r="S127" s="181">
        <v>0.12</v>
      </c>
      <c r="T127" s="181" t="s">
        <v>210</v>
      </c>
      <c r="U127" s="182">
        <v>9.2499999999999999E-2</v>
      </c>
      <c r="V127" s="182" t="s">
        <v>35</v>
      </c>
      <c r="W127" s="183">
        <v>50</v>
      </c>
      <c r="X127" s="182" t="s">
        <v>46</v>
      </c>
      <c r="Y127" s="146">
        <f>13500</f>
        <v>13500</v>
      </c>
      <c r="Z127" s="146">
        <f>13500</f>
        <v>13500</v>
      </c>
      <c r="AA127" s="146">
        <f>13500</f>
        <v>13500</v>
      </c>
      <c r="AB127" s="146">
        <f>13500</f>
        <v>13500</v>
      </c>
      <c r="AC127" s="146">
        <f>13500</f>
        <v>13500</v>
      </c>
      <c r="AD127" s="146">
        <f>13500</f>
        <v>13500</v>
      </c>
      <c r="AE127" s="146">
        <f>13000</f>
        <v>13000</v>
      </c>
      <c r="AF127" s="146">
        <f>13000</f>
        <v>13000</v>
      </c>
      <c r="AG127" s="146">
        <f>13000</f>
        <v>13000</v>
      </c>
      <c r="AH127" s="146">
        <f>12500</f>
        <v>12500</v>
      </c>
      <c r="AI127" s="146">
        <f>12500</f>
        <v>12500</v>
      </c>
      <c r="AJ127" s="146">
        <f>12500</f>
        <v>12500</v>
      </c>
      <c r="AK127" s="146">
        <f>15930</f>
        <v>15930</v>
      </c>
      <c r="AL127" s="146">
        <f>15930</f>
        <v>15930</v>
      </c>
      <c r="AM127" s="146">
        <f>15930</f>
        <v>15930</v>
      </c>
      <c r="AN127" s="146">
        <f>15930</f>
        <v>15930</v>
      </c>
      <c r="AO127" s="146">
        <f>15930</f>
        <v>15930</v>
      </c>
      <c r="AP127" s="146">
        <f>15930</f>
        <v>15930</v>
      </c>
      <c r="AQ127" s="146">
        <f>17268</f>
        <v>17268</v>
      </c>
      <c r="AR127" s="146">
        <f>17268</f>
        <v>17268</v>
      </c>
      <c r="AS127" s="146">
        <f>17268</f>
        <v>17268</v>
      </c>
      <c r="AT127" s="184">
        <v>17786</v>
      </c>
      <c r="AU127" s="184">
        <v>18131</v>
      </c>
      <c r="AV127" s="184">
        <v>18131</v>
      </c>
      <c r="AW127" s="184">
        <v>18131</v>
      </c>
      <c r="AX127" s="184">
        <v>18131</v>
      </c>
      <c r="AY127" s="184">
        <v>18131</v>
      </c>
      <c r="AZ127" s="184">
        <v>18131</v>
      </c>
      <c r="BA127" s="184">
        <v>18131</v>
      </c>
      <c r="BB127" s="184">
        <v>18131</v>
      </c>
      <c r="BC127" s="184">
        <v>18131</v>
      </c>
      <c r="BD127" s="184">
        <v>18131</v>
      </c>
      <c r="BE127" s="184">
        <v>18131</v>
      </c>
      <c r="BF127" s="184">
        <v>18131</v>
      </c>
      <c r="BG127" s="184">
        <v>18131</v>
      </c>
      <c r="BH127" s="184">
        <v>18131</v>
      </c>
      <c r="BI127" s="184">
        <v>18131</v>
      </c>
      <c r="BJ127" s="184">
        <v>18131</v>
      </c>
      <c r="BK127" s="184">
        <v>18131</v>
      </c>
      <c r="BL127" s="184">
        <v>19183</v>
      </c>
      <c r="BM127" s="184">
        <v>19183</v>
      </c>
      <c r="BN127" s="184">
        <v>19183</v>
      </c>
      <c r="BO127" s="184">
        <v>20008</v>
      </c>
      <c r="BP127" s="184">
        <v>20008</v>
      </c>
      <c r="BQ127" s="184">
        <v>20008</v>
      </c>
      <c r="BR127" s="184"/>
      <c r="BS127" s="184"/>
      <c r="BT127" s="184"/>
      <c r="BU127" s="146" cm="1">
        <f t="array" ref="BU127">LOOKUP(2,1/(Y127:BT127&lt;&gt;""),Y127:BH127)</f>
        <v>20008</v>
      </c>
      <c r="BV127" s="145" cm="1">
        <f t="array" aca="1" ref="BV127" ca="1">_xlfn.LET(
    _xlpm.last_col_idx, LOOKUP(2, 1/(Y127:BT127&lt;&gt;""), COLUMN(Y127:BT127) - COLUMN(Y127) + 1),
    _xlpm.header_val, INDEX($Y$3:$BT$3, 1, _xlpm.last_col_idx),
    _xlpm.header_date, IF(ISNUMBER(_xlpm.header_val), _xlpm.header_val, DATEVALUE(_xlpm.header_val)),
    IF(_xlpm.header_date &gt; TODAY(), TODAY(), _xlpm.header_date)
)</f>
        <v>46212</v>
      </c>
      <c r="BW127" s="209" cm="1">
        <f t="array" ref="BW127">(LOOKUP(2,1/(BH127:BT127&lt;&gt;""),BH127:BT127))/(INDEX(BH127:BT127,MATCH(TRUE,INDEX((BH127:BT127&lt;&gt;0),0),0)))-1</f>
        <v>0.10352435055981468</v>
      </c>
      <c r="BX127" s="210">
        <f t="shared" si="19"/>
        <v>20.007999999999999</v>
      </c>
      <c r="BY127" s="210">
        <f t="shared" si="20"/>
        <v>20.007999999999999</v>
      </c>
      <c r="BZ127" s="210">
        <f>IF(L127="BR",'Impostos e Frete'!$F$6,IF(L127="EU",'Impostos e Frete'!$I$3,IF(L127="CN",'Impostos e Frete'!$I$4,IF(L127="JP",'Impostos e Frete'!$I$5,IF(L127="RU",'Impostos e Frete'!$I$7,"ERRO")))))</f>
        <v>0</v>
      </c>
      <c r="CA127" s="210">
        <f>VLOOKUP(L127,'Impostos e Frete'!$A$3:$B$7,2,0)*'Preços e Condições'!BY127</f>
        <v>0</v>
      </c>
      <c r="CB127" s="147">
        <f t="shared" si="21"/>
        <v>0</v>
      </c>
      <c r="CC127" s="147">
        <f>IF(X127="BRL",'Impostos e Frete'!$B$11,'Impostos e Frete'!$B$12)</f>
        <v>0.2</v>
      </c>
      <c r="CD127" s="211">
        <f t="shared" si="22"/>
        <v>20.207999999999998</v>
      </c>
      <c r="CE127" s="212">
        <f t="shared" si="23"/>
        <v>1.3741439999999998</v>
      </c>
      <c r="CF127" s="213">
        <f>VLOOKUP(L127,'Impostos e Frete'!$A$3:$C$7,3,0)</f>
        <v>45</v>
      </c>
      <c r="CG127" s="213">
        <f t="shared" si="24"/>
        <v>0</v>
      </c>
      <c r="CH127" s="213">
        <f t="shared" si="25"/>
        <v>-45</v>
      </c>
      <c r="CI127" s="214">
        <f t="shared" si="26"/>
        <v>0.45638081117398954</v>
      </c>
      <c r="CJ127" s="215">
        <f t="shared" si="27"/>
        <v>20.664380811173988</v>
      </c>
      <c r="CK127" s="216">
        <f t="shared" si="28"/>
        <v>1.4051778951598313</v>
      </c>
    </row>
    <row r="128" spans="1:89">
      <c r="A128" s="176">
        <v>15442</v>
      </c>
      <c r="B128" s="177">
        <v>2638</v>
      </c>
      <c r="C128" s="190">
        <v>67</v>
      </c>
      <c r="D128" s="183">
        <v>1270</v>
      </c>
      <c r="E128" s="178" t="s">
        <v>50</v>
      </c>
      <c r="F128" s="191" t="s">
        <v>1</v>
      </c>
      <c r="G128" s="192" t="s">
        <v>13</v>
      </c>
      <c r="H128" s="178" t="s">
        <v>42</v>
      </c>
      <c r="I128" s="178">
        <v>752</v>
      </c>
      <c r="J128" s="183"/>
      <c r="K128" s="183"/>
      <c r="L128" s="183" t="s">
        <v>58</v>
      </c>
      <c r="M128" s="183">
        <v>0</v>
      </c>
      <c r="N128" s="183"/>
      <c r="O128" s="183"/>
      <c r="P128" s="183">
        <v>3</v>
      </c>
      <c r="Q128" s="183" t="s">
        <v>27</v>
      </c>
      <c r="R128" s="183" t="s">
        <v>19</v>
      </c>
      <c r="S128" s="181">
        <v>0.12</v>
      </c>
      <c r="T128" s="181" t="s">
        <v>210</v>
      </c>
      <c r="U128" s="182">
        <v>9.2499999999999999E-2</v>
      </c>
      <c r="V128" s="182" t="s">
        <v>35</v>
      </c>
      <c r="W128" s="183">
        <v>50</v>
      </c>
      <c r="X128" s="182" t="s">
        <v>46</v>
      </c>
      <c r="Y128" s="146">
        <f>21810.44</f>
        <v>21810.44</v>
      </c>
      <c r="Z128" s="146">
        <f>21810.44</f>
        <v>21810.44</v>
      </c>
      <c r="AA128" s="146">
        <f>21810.44</f>
        <v>21810.44</v>
      </c>
      <c r="AB128" s="146">
        <f>17000</f>
        <v>17000</v>
      </c>
      <c r="AC128" s="146">
        <f>17000</f>
        <v>17000</v>
      </c>
      <c r="AD128" s="146">
        <f>17000</f>
        <v>17000</v>
      </c>
      <c r="AE128" s="146">
        <f>16320</f>
        <v>16320</v>
      </c>
      <c r="AF128" s="146">
        <f>16320</f>
        <v>16320</v>
      </c>
      <c r="AG128" s="146">
        <f>16320</f>
        <v>16320</v>
      </c>
      <c r="AH128" s="146">
        <f>15505</f>
        <v>15505</v>
      </c>
      <c r="AI128" s="146">
        <f>15505</f>
        <v>15505</v>
      </c>
      <c r="AJ128" s="146">
        <f>15505</f>
        <v>15505</v>
      </c>
      <c r="AK128" s="146">
        <f>15040</f>
        <v>15040</v>
      </c>
      <c r="AL128" s="146">
        <f>15040</f>
        <v>15040</v>
      </c>
      <c r="AM128" s="146">
        <f>15040</f>
        <v>15040</v>
      </c>
      <c r="AN128" s="146">
        <f>15040</f>
        <v>15040</v>
      </c>
      <c r="AO128" s="146">
        <f>15040</f>
        <v>15040</v>
      </c>
      <c r="AP128" s="146">
        <f>15040</f>
        <v>15040</v>
      </c>
      <c r="AQ128" s="146">
        <f>16303</f>
        <v>16303</v>
      </c>
      <c r="AR128" s="146">
        <f>16303</f>
        <v>16303</v>
      </c>
      <c r="AS128" s="146">
        <f>16303</f>
        <v>16303</v>
      </c>
      <c r="AT128" s="184">
        <v>16792</v>
      </c>
      <c r="AU128" s="184">
        <v>17118</v>
      </c>
      <c r="AV128" s="184">
        <v>17118</v>
      </c>
      <c r="AW128" s="184">
        <v>17118</v>
      </c>
      <c r="AX128" s="184">
        <v>17118</v>
      </c>
      <c r="AY128" s="184">
        <v>17118</v>
      </c>
      <c r="AZ128" s="184">
        <v>17118</v>
      </c>
      <c r="BA128" s="184">
        <v>17118</v>
      </c>
      <c r="BB128" s="184">
        <v>17118</v>
      </c>
      <c r="BC128" s="184">
        <v>17118</v>
      </c>
      <c r="BD128" s="184">
        <v>17118</v>
      </c>
      <c r="BE128" s="184">
        <v>17118</v>
      </c>
      <c r="BF128" s="184">
        <v>17118</v>
      </c>
      <c r="BG128" s="184">
        <v>17118</v>
      </c>
      <c r="BH128" s="184">
        <v>17118</v>
      </c>
      <c r="BI128" s="184">
        <v>17118</v>
      </c>
      <c r="BJ128" s="184">
        <v>17118</v>
      </c>
      <c r="BK128" s="184">
        <v>17118</v>
      </c>
      <c r="BL128" s="184">
        <v>18111</v>
      </c>
      <c r="BM128" s="184">
        <v>18111</v>
      </c>
      <c r="BN128" s="184">
        <v>18111</v>
      </c>
      <c r="BO128" s="184">
        <v>18889</v>
      </c>
      <c r="BP128" s="184">
        <v>18889</v>
      </c>
      <c r="BQ128" s="184">
        <v>18889</v>
      </c>
      <c r="BR128" s="184"/>
      <c r="BS128" s="184"/>
      <c r="BT128" s="184"/>
      <c r="BU128" s="146" cm="1">
        <f t="array" ref="BU128">LOOKUP(2,1/(Y128:BT128&lt;&gt;""),Y128:BH128)</f>
        <v>18889</v>
      </c>
      <c r="BV128" s="145" cm="1">
        <f t="array" aca="1" ref="BV128" ca="1">_xlfn.LET(
    _xlpm.last_col_idx, LOOKUP(2, 1/(Y128:BT128&lt;&gt;""), COLUMN(Y128:BT128) - COLUMN(Y128) + 1),
    _xlpm.header_val, INDEX($Y$3:$BT$3, 1, _xlpm.last_col_idx),
    _xlpm.header_date, IF(ISNUMBER(_xlpm.header_val), _xlpm.header_val, DATEVALUE(_xlpm.header_val)),
    IF(_xlpm.header_date &gt; TODAY(), TODAY(), _xlpm.header_date)
)</f>
        <v>46212</v>
      </c>
      <c r="BW128" s="209" cm="1">
        <f t="array" ref="BW128">(LOOKUP(2,1/(BH128:BT128&lt;&gt;""),BH128:BT128))/(INDEX(BH128:BT128,MATCH(TRUE,INDEX((BH128:BT128&lt;&gt;0),0),0)))-1</f>
        <v>0.10345834793784325</v>
      </c>
      <c r="BX128" s="210">
        <f t="shared" si="19"/>
        <v>18.888999999999999</v>
      </c>
      <c r="BY128" s="210">
        <f t="shared" si="20"/>
        <v>18.888999999999999</v>
      </c>
      <c r="BZ128" s="210">
        <f>IF(L128="BR",'Impostos e Frete'!$F$6,IF(L128="EU",'Impostos e Frete'!$I$3,IF(L128="CN",'Impostos e Frete'!$I$4,IF(L128="JP",'Impostos e Frete'!$I$5,IF(L128="RU",'Impostos e Frete'!$I$7,"ERRO")))))</f>
        <v>0</v>
      </c>
      <c r="CA128" s="210">
        <f>VLOOKUP(L128,'Impostos e Frete'!$A$3:$B$7,2,0)*'Preços e Condições'!BY128</f>
        <v>0</v>
      </c>
      <c r="CB128" s="147">
        <f t="shared" si="21"/>
        <v>0</v>
      </c>
      <c r="CC128" s="147">
        <f>IF(X128="BRL",'Impostos e Frete'!$B$11,'Impostos e Frete'!$B$12)</f>
        <v>0.2</v>
      </c>
      <c r="CD128" s="211">
        <f t="shared" si="22"/>
        <v>19.088999999999999</v>
      </c>
      <c r="CE128" s="212">
        <f t="shared" si="23"/>
        <v>1.2789629999999998</v>
      </c>
      <c r="CF128" s="213">
        <f>VLOOKUP(L128,'Impostos e Frete'!$A$3:$C$7,3,0)</f>
        <v>45</v>
      </c>
      <c r="CG128" s="213">
        <f t="shared" si="24"/>
        <v>0</v>
      </c>
      <c r="CH128" s="213">
        <f t="shared" si="25"/>
        <v>-45</v>
      </c>
      <c r="CI128" s="214">
        <f t="shared" si="26"/>
        <v>0.43110913027020459</v>
      </c>
      <c r="CJ128" s="215">
        <f t="shared" si="27"/>
        <v>19.520109130270203</v>
      </c>
      <c r="CK128" s="216">
        <f t="shared" si="28"/>
        <v>1.3078473117281035</v>
      </c>
    </row>
    <row r="129" spans="1:89">
      <c r="A129" s="176">
        <v>15444</v>
      </c>
      <c r="B129" s="177">
        <v>8269</v>
      </c>
      <c r="C129" s="190">
        <v>68</v>
      </c>
      <c r="D129" s="190">
        <v>1270</v>
      </c>
      <c r="E129" s="178" t="s">
        <v>50</v>
      </c>
      <c r="F129" s="191" t="s">
        <v>1</v>
      </c>
      <c r="G129" s="192" t="s">
        <v>14</v>
      </c>
      <c r="H129" s="190" t="s">
        <v>42</v>
      </c>
      <c r="I129" s="178">
        <v>756</v>
      </c>
      <c r="J129" s="183"/>
      <c r="K129" s="190" t="s">
        <v>28</v>
      </c>
      <c r="L129" s="183" t="s">
        <v>58</v>
      </c>
      <c r="M129" s="183">
        <v>0</v>
      </c>
      <c r="N129" s="183"/>
      <c r="O129" s="183"/>
      <c r="P129" s="183">
        <v>3</v>
      </c>
      <c r="Q129" s="183" t="s">
        <v>27</v>
      </c>
      <c r="R129" s="183" t="s">
        <v>19</v>
      </c>
      <c r="S129" s="181">
        <v>0.12</v>
      </c>
      <c r="T129" s="181" t="s">
        <v>210</v>
      </c>
      <c r="U129" s="182">
        <v>9.2499999999999999E-2</v>
      </c>
      <c r="V129" s="182" t="s">
        <v>35</v>
      </c>
      <c r="W129" s="183">
        <v>50</v>
      </c>
      <c r="X129" s="182" t="s">
        <v>46</v>
      </c>
      <c r="Y129" s="146">
        <f>13500</f>
        <v>13500</v>
      </c>
      <c r="Z129" s="146">
        <f>13500</f>
        <v>13500</v>
      </c>
      <c r="AA129" s="146">
        <f>13500</f>
        <v>13500</v>
      </c>
      <c r="AB129" s="146">
        <f>13500</f>
        <v>13500</v>
      </c>
      <c r="AC129" s="146">
        <f>13500</f>
        <v>13500</v>
      </c>
      <c r="AD129" s="146">
        <f>13500</f>
        <v>13500</v>
      </c>
      <c r="AE129" s="146">
        <f>13000</f>
        <v>13000</v>
      </c>
      <c r="AF129" s="146">
        <f>13000</f>
        <v>13000</v>
      </c>
      <c r="AG129" s="146">
        <f>13000</f>
        <v>13000</v>
      </c>
      <c r="AH129" s="146">
        <f>12500</f>
        <v>12500</v>
      </c>
      <c r="AI129" s="146">
        <f>12500</f>
        <v>12500</v>
      </c>
      <c r="AJ129" s="146">
        <f>12500</f>
        <v>12500</v>
      </c>
      <c r="AK129" s="146">
        <f>15930</f>
        <v>15930</v>
      </c>
      <c r="AL129" s="146">
        <f>15930</f>
        <v>15930</v>
      </c>
      <c r="AM129" s="146">
        <f>15930</f>
        <v>15930</v>
      </c>
      <c r="AN129" s="146">
        <f>15930</f>
        <v>15930</v>
      </c>
      <c r="AO129" s="146">
        <f>15930</f>
        <v>15930</v>
      </c>
      <c r="AP129" s="146">
        <f>15930</f>
        <v>15930</v>
      </c>
      <c r="AQ129" s="146">
        <f>17268</f>
        <v>17268</v>
      </c>
      <c r="AR129" s="146">
        <f>17268</f>
        <v>17268</v>
      </c>
      <c r="AS129" s="146">
        <f>17268</f>
        <v>17268</v>
      </c>
      <c r="AT129" s="184">
        <v>17786</v>
      </c>
      <c r="AU129" s="184">
        <v>18131</v>
      </c>
      <c r="AV129" s="184">
        <v>18131</v>
      </c>
      <c r="AW129" s="184">
        <v>18131</v>
      </c>
      <c r="AX129" s="184">
        <v>18131</v>
      </c>
      <c r="AY129" s="184">
        <v>18131</v>
      </c>
      <c r="AZ129" s="184">
        <v>18131</v>
      </c>
      <c r="BA129" s="184">
        <v>18131</v>
      </c>
      <c r="BB129" s="184">
        <v>18131</v>
      </c>
      <c r="BC129" s="184">
        <v>18131</v>
      </c>
      <c r="BD129" s="184">
        <v>18131</v>
      </c>
      <c r="BE129" s="184">
        <v>18131</v>
      </c>
      <c r="BF129" s="184">
        <v>18131</v>
      </c>
      <c r="BG129" s="184">
        <v>18131</v>
      </c>
      <c r="BH129" s="184">
        <v>18131</v>
      </c>
      <c r="BI129" s="184">
        <v>18131</v>
      </c>
      <c r="BJ129" s="184">
        <v>18131</v>
      </c>
      <c r="BK129" s="184">
        <v>18131</v>
      </c>
      <c r="BL129" s="184">
        <v>19183</v>
      </c>
      <c r="BM129" s="184">
        <v>19183</v>
      </c>
      <c r="BN129" s="184">
        <v>19183</v>
      </c>
      <c r="BO129" s="184">
        <v>20008</v>
      </c>
      <c r="BP129" s="184">
        <v>20008</v>
      </c>
      <c r="BQ129" s="184">
        <v>20008</v>
      </c>
      <c r="BR129" s="184"/>
      <c r="BS129" s="184"/>
      <c r="BT129" s="184"/>
      <c r="BU129" s="146" cm="1">
        <f t="array" ref="BU129">LOOKUP(2,1/(Y129:BT129&lt;&gt;""),Y129:BH129)</f>
        <v>20008</v>
      </c>
      <c r="BV129" s="145" cm="1">
        <f t="array" aca="1" ref="BV129" ca="1">_xlfn.LET(
    _xlpm.last_col_idx, LOOKUP(2, 1/(Y129:BT129&lt;&gt;""), COLUMN(Y129:BT129) - COLUMN(Y129) + 1),
    _xlpm.header_val, INDEX($Y$3:$BT$3, 1, _xlpm.last_col_idx),
    _xlpm.header_date, IF(ISNUMBER(_xlpm.header_val), _xlpm.header_val, DATEVALUE(_xlpm.header_val)),
    IF(_xlpm.header_date &gt; TODAY(), TODAY(), _xlpm.header_date)
)</f>
        <v>46212</v>
      </c>
      <c r="BW129" s="209" cm="1">
        <f t="array" ref="BW129">(LOOKUP(2,1/(BH129:BT129&lt;&gt;""),BH129:BT129))/(INDEX(BH129:BT129,MATCH(TRUE,INDEX((BH129:BT129&lt;&gt;0),0),0)))-1</f>
        <v>0.10352435055981468</v>
      </c>
      <c r="BX129" s="210">
        <f t="shared" si="19"/>
        <v>20.007999999999999</v>
      </c>
      <c r="BY129" s="210">
        <f t="shared" si="20"/>
        <v>20.007999999999999</v>
      </c>
      <c r="BZ129" s="210">
        <f>IF(L129="BR",'Impostos e Frete'!$F$6,IF(L129="EU",'Impostos e Frete'!$I$3,IF(L129="CN",'Impostos e Frete'!$I$4,IF(L129="JP",'Impostos e Frete'!$I$5,IF(L129="RU",'Impostos e Frete'!$I$7,"ERRO")))))</f>
        <v>0</v>
      </c>
      <c r="CA129" s="210">
        <f>VLOOKUP(L129,'Impostos e Frete'!$A$3:$B$7,2,0)*'Preços e Condições'!BY129</f>
        <v>0</v>
      </c>
      <c r="CB129" s="147">
        <f t="shared" si="21"/>
        <v>0</v>
      </c>
      <c r="CC129" s="147">
        <f>IF(X129="BRL",'Impostos e Frete'!$B$11,'Impostos e Frete'!$B$12)</f>
        <v>0.2</v>
      </c>
      <c r="CD129" s="211">
        <f t="shared" si="22"/>
        <v>20.207999999999998</v>
      </c>
      <c r="CE129" s="212">
        <f t="shared" si="23"/>
        <v>1.3741439999999998</v>
      </c>
      <c r="CF129" s="213">
        <f>VLOOKUP(L129,'Impostos e Frete'!$A$3:$C$7,3,0)</f>
        <v>45</v>
      </c>
      <c r="CG129" s="213">
        <f t="shared" si="24"/>
        <v>0</v>
      </c>
      <c r="CH129" s="213">
        <f t="shared" si="25"/>
        <v>-45</v>
      </c>
      <c r="CI129" s="214">
        <f t="shared" si="26"/>
        <v>0.45638081117398954</v>
      </c>
      <c r="CJ129" s="215">
        <f t="shared" si="27"/>
        <v>20.664380811173988</v>
      </c>
      <c r="CK129" s="216">
        <f t="shared" si="28"/>
        <v>1.4051778951598313</v>
      </c>
    </row>
    <row r="130" spans="1:89">
      <c r="A130" s="176">
        <v>15448</v>
      </c>
      <c r="B130" s="177">
        <v>399</v>
      </c>
      <c r="C130" s="190">
        <v>67</v>
      </c>
      <c r="D130" s="183">
        <v>1270</v>
      </c>
      <c r="E130" s="178" t="s">
        <v>50</v>
      </c>
      <c r="F130" s="191" t="s">
        <v>1</v>
      </c>
      <c r="G130" s="192" t="s">
        <v>12</v>
      </c>
      <c r="H130" s="178" t="s">
        <v>42</v>
      </c>
      <c r="I130" s="178">
        <v>751</v>
      </c>
      <c r="J130" s="183"/>
      <c r="K130" s="183"/>
      <c r="L130" s="183" t="s">
        <v>58</v>
      </c>
      <c r="M130" s="183">
        <v>0</v>
      </c>
      <c r="N130" s="183"/>
      <c r="O130" s="183"/>
      <c r="P130" s="183">
        <v>3</v>
      </c>
      <c r="Q130" s="183" t="s">
        <v>27</v>
      </c>
      <c r="R130" s="183" t="s">
        <v>19</v>
      </c>
      <c r="S130" s="181">
        <v>0.12</v>
      </c>
      <c r="T130" s="181" t="s">
        <v>210</v>
      </c>
      <c r="U130" s="182">
        <v>9.2499999999999999E-2</v>
      </c>
      <c r="V130" s="182" t="s">
        <v>35</v>
      </c>
      <c r="W130" s="183">
        <v>50</v>
      </c>
      <c r="X130" s="182" t="s">
        <v>46</v>
      </c>
      <c r="Y130" s="146">
        <f t="shared" ref="Y130:AA132" si="31">20739.92</f>
        <v>20739.919999999998</v>
      </c>
      <c r="Z130" s="146">
        <f t="shared" si="31"/>
        <v>20739.919999999998</v>
      </c>
      <c r="AA130" s="146">
        <f t="shared" si="31"/>
        <v>20739.919999999998</v>
      </c>
      <c r="AB130" s="146">
        <f>16500</f>
        <v>16500</v>
      </c>
      <c r="AC130" s="146">
        <f>16500</f>
        <v>16500</v>
      </c>
      <c r="AD130" s="146">
        <f>16500</f>
        <v>16500</v>
      </c>
      <c r="AE130" s="146">
        <f>15840</f>
        <v>15840</v>
      </c>
      <c r="AF130" s="146">
        <f>15840</f>
        <v>15840</v>
      </c>
      <c r="AG130" s="146">
        <f>15840</f>
        <v>15840</v>
      </c>
      <c r="AH130" s="146">
        <f>15050</f>
        <v>15050</v>
      </c>
      <c r="AI130" s="146">
        <f>15050</f>
        <v>15050</v>
      </c>
      <c r="AJ130" s="146">
        <f>15050</f>
        <v>15050</v>
      </c>
      <c r="AK130" s="146">
        <f>14600</f>
        <v>14600</v>
      </c>
      <c r="AL130" s="146">
        <f>14600</f>
        <v>14600</v>
      </c>
      <c r="AM130" s="146">
        <f>14600</f>
        <v>14600</v>
      </c>
      <c r="AN130" s="146">
        <f>14600</f>
        <v>14600</v>
      </c>
      <c r="AO130" s="146">
        <f>14600</f>
        <v>14600</v>
      </c>
      <c r="AP130" s="146">
        <f>14600</f>
        <v>14600</v>
      </c>
      <c r="AQ130" s="146">
        <f>15826</f>
        <v>15826</v>
      </c>
      <c r="AR130" s="146">
        <f>15826</f>
        <v>15826</v>
      </c>
      <c r="AS130" s="146">
        <f>15826</f>
        <v>15826</v>
      </c>
      <c r="AT130" s="184">
        <v>16301</v>
      </c>
      <c r="AU130" s="184">
        <v>16617</v>
      </c>
      <c r="AV130" s="184">
        <v>16617</v>
      </c>
      <c r="AW130" s="184">
        <v>16617</v>
      </c>
      <c r="AX130" s="184">
        <v>16617</v>
      </c>
      <c r="AY130" s="184">
        <v>16617</v>
      </c>
      <c r="AZ130" s="184">
        <v>16617</v>
      </c>
      <c r="BA130" s="184">
        <v>16617</v>
      </c>
      <c r="BB130" s="184">
        <v>16617</v>
      </c>
      <c r="BC130" s="184">
        <v>16617</v>
      </c>
      <c r="BD130" s="184">
        <v>16617</v>
      </c>
      <c r="BE130" s="184">
        <v>16617</v>
      </c>
      <c r="BF130" s="184">
        <v>16617</v>
      </c>
      <c r="BG130" s="184">
        <v>16617</v>
      </c>
      <c r="BH130" s="184">
        <v>16617</v>
      </c>
      <c r="BI130" s="184">
        <v>16617</v>
      </c>
      <c r="BJ130" s="184">
        <v>16617</v>
      </c>
      <c r="BK130" s="184">
        <v>16617</v>
      </c>
      <c r="BL130" s="184">
        <v>17581</v>
      </c>
      <c r="BM130" s="184">
        <v>17581</v>
      </c>
      <c r="BN130" s="184">
        <v>17581</v>
      </c>
      <c r="BO130" s="184">
        <v>18337</v>
      </c>
      <c r="BP130" s="184">
        <v>18337</v>
      </c>
      <c r="BQ130" s="184">
        <v>18337</v>
      </c>
      <c r="BR130" s="184"/>
      <c r="BS130" s="184"/>
      <c r="BT130" s="184"/>
      <c r="BU130" s="146" cm="1">
        <f t="array" ref="BU130">LOOKUP(2,1/(Y130:BT130&lt;&gt;""),Y130:BH130)</f>
        <v>18337</v>
      </c>
      <c r="BV130" s="145" cm="1">
        <f t="array" aca="1" ref="BV130" ca="1">_xlfn.LET(
    _xlpm.last_col_idx, LOOKUP(2, 1/(Y130:BT130&lt;&gt;""), COLUMN(Y130:BT130) - COLUMN(Y130) + 1),
    _xlpm.header_val, INDEX($Y$3:$BT$3, 1, _xlpm.last_col_idx),
    _xlpm.header_date, IF(ISNUMBER(_xlpm.header_val), _xlpm.header_val, DATEVALUE(_xlpm.header_val)),
    IF(_xlpm.header_date &gt; TODAY(), TODAY(), _xlpm.header_date)
)</f>
        <v>46212</v>
      </c>
      <c r="BW130" s="209" cm="1">
        <f t="array" ref="BW130">(LOOKUP(2,1/(BH130:BT130&lt;&gt;""),BH130:BT130))/(INDEX(BH130:BT130,MATCH(TRUE,INDEX((BH130:BT130&lt;&gt;0),0),0)))-1</f>
        <v>0.10350845519648555</v>
      </c>
      <c r="BX130" s="210">
        <f t="shared" si="19"/>
        <v>18.337</v>
      </c>
      <c r="BY130" s="210">
        <f t="shared" si="20"/>
        <v>18.337</v>
      </c>
      <c r="BZ130" s="210">
        <f>IF(L130="BR",'Impostos e Frete'!$F$6,IF(L130="EU",'Impostos e Frete'!$I$3,IF(L130="CN",'Impostos e Frete'!$I$4,IF(L130="JP",'Impostos e Frete'!$I$5,IF(L130="RU",'Impostos e Frete'!$I$7,"ERRO")))))</f>
        <v>0</v>
      </c>
      <c r="CA130" s="210">
        <f>VLOOKUP(L130,'Impostos e Frete'!$A$3:$B$7,2,0)*'Preços e Condições'!BY130</f>
        <v>0</v>
      </c>
      <c r="CB130" s="147">
        <f t="shared" si="21"/>
        <v>0</v>
      </c>
      <c r="CC130" s="147">
        <f>IF(X130="BRL",'Impostos e Frete'!$B$11,'Impostos e Frete'!$B$12)</f>
        <v>0.2</v>
      </c>
      <c r="CD130" s="211">
        <f t="shared" si="22"/>
        <v>18.536999999999999</v>
      </c>
      <c r="CE130" s="212">
        <f t="shared" si="23"/>
        <v>1.2419789999999999</v>
      </c>
      <c r="CF130" s="213">
        <f>VLOOKUP(L130,'Impostos e Frete'!$A$3:$C$7,3,0)</f>
        <v>45</v>
      </c>
      <c r="CG130" s="213">
        <f t="shared" si="24"/>
        <v>0</v>
      </c>
      <c r="CH130" s="213">
        <f t="shared" si="25"/>
        <v>-45</v>
      </c>
      <c r="CI130" s="214">
        <f t="shared" si="26"/>
        <v>0.41864267105761499</v>
      </c>
      <c r="CJ130" s="215">
        <f t="shared" si="27"/>
        <v>18.955642671057614</v>
      </c>
      <c r="CK130" s="216">
        <f t="shared" si="28"/>
        <v>1.2700280589608601</v>
      </c>
    </row>
    <row r="131" spans="1:89">
      <c r="A131" s="176">
        <v>15449</v>
      </c>
      <c r="B131" s="177">
        <v>399</v>
      </c>
      <c r="C131" s="190">
        <v>67</v>
      </c>
      <c r="D131" s="183">
        <v>2175</v>
      </c>
      <c r="E131" s="178" t="s">
        <v>50</v>
      </c>
      <c r="F131" s="191" t="s">
        <v>1</v>
      </c>
      <c r="G131" s="192" t="s">
        <v>12</v>
      </c>
      <c r="H131" s="178" t="s">
        <v>42</v>
      </c>
      <c r="I131" s="178">
        <v>751</v>
      </c>
      <c r="J131" s="183"/>
      <c r="K131" s="183"/>
      <c r="L131" s="183" t="s">
        <v>58</v>
      </c>
      <c r="M131" s="183">
        <v>0</v>
      </c>
      <c r="N131" s="183"/>
      <c r="O131" s="183"/>
      <c r="P131" s="183">
        <v>3</v>
      </c>
      <c r="Q131" s="183" t="s">
        <v>27</v>
      </c>
      <c r="R131" s="183" t="s">
        <v>19</v>
      </c>
      <c r="S131" s="181">
        <v>0.12</v>
      </c>
      <c r="T131" s="181" t="s">
        <v>210</v>
      </c>
      <c r="U131" s="182">
        <v>9.2499999999999999E-2</v>
      </c>
      <c r="V131" s="182" t="s">
        <v>35</v>
      </c>
      <c r="W131" s="183">
        <v>50</v>
      </c>
      <c r="X131" s="182" t="s">
        <v>46</v>
      </c>
      <c r="Y131" s="146">
        <f t="shared" si="31"/>
        <v>20739.919999999998</v>
      </c>
      <c r="Z131" s="146">
        <f t="shared" si="31"/>
        <v>20739.919999999998</v>
      </c>
      <c r="AA131" s="146">
        <f t="shared" si="31"/>
        <v>20739.919999999998</v>
      </c>
      <c r="AB131" s="146">
        <f>16500</f>
        <v>16500</v>
      </c>
      <c r="AC131" s="146">
        <f>16500</f>
        <v>16500</v>
      </c>
      <c r="AD131" s="146">
        <f>16500</f>
        <v>16500</v>
      </c>
      <c r="AE131" s="146">
        <f>15840</f>
        <v>15840</v>
      </c>
      <c r="AF131" s="146">
        <f>15840</f>
        <v>15840</v>
      </c>
      <c r="AG131" s="146">
        <f>15840</f>
        <v>15840</v>
      </c>
      <c r="AH131" s="146">
        <f>15050</f>
        <v>15050</v>
      </c>
      <c r="AI131" s="146">
        <f>15050</f>
        <v>15050</v>
      </c>
      <c r="AJ131" s="146">
        <f>15050</f>
        <v>15050</v>
      </c>
      <c r="AK131" s="146">
        <f>14600</f>
        <v>14600</v>
      </c>
      <c r="AL131" s="146">
        <f>14600</f>
        <v>14600</v>
      </c>
      <c r="AM131" s="146">
        <f>14600</f>
        <v>14600</v>
      </c>
      <c r="AN131" s="146">
        <f>14600</f>
        <v>14600</v>
      </c>
      <c r="AO131" s="146">
        <f>14600</f>
        <v>14600</v>
      </c>
      <c r="AP131" s="146">
        <f>14600</f>
        <v>14600</v>
      </c>
      <c r="AQ131" s="146">
        <f>15826</f>
        <v>15826</v>
      </c>
      <c r="AR131" s="146">
        <f>15826</f>
        <v>15826</v>
      </c>
      <c r="AS131" s="146">
        <f>15826</f>
        <v>15826</v>
      </c>
      <c r="AT131" s="184">
        <v>16301</v>
      </c>
      <c r="AU131" s="184">
        <v>16617</v>
      </c>
      <c r="AV131" s="184">
        <v>16617</v>
      </c>
      <c r="AW131" s="184">
        <v>16617</v>
      </c>
      <c r="AX131" s="184">
        <v>16617</v>
      </c>
      <c r="AY131" s="184">
        <v>16617</v>
      </c>
      <c r="AZ131" s="184">
        <v>16617</v>
      </c>
      <c r="BA131" s="184">
        <v>16617</v>
      </c>
      <c r="BB131" s="184">
        <v>16617</v>
      </c>
      <c r="BC131" s="184">
        <v>16617</v>
      </c>
      <c r="BD131" s="184">
        <v>16617</v>
      </c>
      <c r="BE131" s="184">
        <v>16617</v>
      </c>
      <c r="BF131" s="184">
        <v>16617</v>
      </c>
      <c r="BG131" s="184">
        <v>16617</v>
      </c>
      <c r="BH131" s="184">
        <v>16617</v>
      </c>
      <c r="BI131" s="184">
        <v>16617</v>
      </c>
      <c r="BJ131" s="184">
        <v>16617</v>
      </c>
      <c r="BK131" s="184">
        <v>16617</v>
      </c>
      <c r="BL131" s="184">
        <v>17581</v>
      </c>
      <c r="BM131" s="184">
        <v>17581</v>
      </c>
      <c r="BN131" s="184">
        <v>17581</v>
      </c>
      <c r="BO131" s="184">
        <v>18337</v>
      </c>
      <c r="BP131" s="184">
        <v>18337</v>
      </c>
      <c r="BQ131" s="184">
        <v>18337</v>
      </c>
      <c r="BR131" s="184"/>
      <c r="BS131" s="184"/>
      <c r="BT131" s="184"/>
      <c r="BU131" s="146" cm="1">
        <f t="array" ref="BU131">LOOKUP(2,1/(Y131:BT131&lt;&gt;""),Y131:BH131)</f>
        <v>18337</v>
      </c>
      <c r="BV131" s="145" cm="1">
        <f t="array" aca="1" ref="BV131" ca="1">_xlfn.LET(
    _xlpm.last_col_idx, LOOKUP(2, 1/(Y131:BT131&lt;&gt;""), COLUMN(Y131:BT131) - COLUMN(Y131) + 1),
    _xlpm.header_val, INDEX($Y$3:$BT$3, 1, _xlpm.last_col_idx),
    _xlpm.header_date, IF(ISNUMBER(_xlpm.header_val), _xlpm.header_val, DATEVALUE(_xlpm.header_val)),
    IF(_xlpm.header_date &gt; TODAY(), TODAY(), _xlpm.header_date)
)</f>
        <v>46212</v>
      </c>
      <c r="BW131" s="209" cm="1">
        <f t="array" ref="BW131">(LOOKUP(2,1/(BH131:BT131&lt;&gt;""),BH131:BT131))/(INDEX(BH131:BT131,MATCH(TRUE,INDEX((BH131:BT131&lt;&gt;0),0),0)))-1</f>
        <v>0.10350845519648555</v>
      </c>
      <c r="BX131" s="210">
        <f t="shared" si="19"/>
        <v>18.337</v>
      </c>
      <c r="BY131" s="210">
        <f t="shared" si="20"/>
        <v>18.337</v>
      </c>
      <c r="BZ131" s="210">
        <f>IF(L131="BR",'Impostos e Frete'!$F$6,IF(L131="EU",'Impostos e Frete'!$I$3,IF(L131="CN",'Impostos e Frete'!$I$4,IF(L131="JP",'Impostos e Frete'!$I$5,IF(L131="RU",'Impostos e Frete'!$I$7,"ERRO")))))</f>
        <v>0</v>
      </c>
      <c r="CA131" s="210">
        <f>VLOOKUP(L131,'Impostos e Frete'!$A$3:$B$7,2,0)*'Preços e Condições'!BY131</f>
        <v>0</v>
      </c>
      <c r="CB131" s="147">
        <f t="shared" si="21"/>
        <v>0</v>
      </c>
      <c r="CC131" s="147">
        <f>IF(X131="BRL",'Impostos e Frete'!$B$11,'Impostos e Frete'!$B$12)</f>
        <v>0.2</v>
      </c>
      <c r="CD131" s="211">
        <f t="shared" si="22"/>
        <v>18.536999999999999</v>
      </c>
      <c r="CE131" s="212">
        <f t="shared" si="23"/>
        <v>1.2419789999999999</v>
      </c>
      <c r="CF131" s="213">
        <f>VLOOKUP(L131,'Impostos e Frete'!$A$3:$C$7,3,0)</f>
        <v>45</v>
      </c>
      <c r="CG131" s="213">
        <f t="shared" si="24"/>
        <v>0</v>
      </c>
      <c r="CH131" s="213">
        <f t="shared" si="25"/>
        <v>-45</v>
      </c>
      <c r="CI131" s="214">
        <f t="shared" si="26"/>
        <v>0.41864267105761499</v>
      </c>
      <c r="CJ131" s="215">
        <f t="shared" si="27"/>
        <v>18.955642671057614</v>
      </c>
      <c r="CK131" s="216">
        <f t="shared" si="28"/>
        <v>1.2700280589608601</v>
      </c>
    </row>
    <row r="132" spans="1:89">
      <c r="A132" s="176">
        <v>15450</v>
      </c>
      <c r="B132" s="177">
        <v>399</v>
      </c>
      <c r="C132" s="190">
        <v>67</v>
      </c>
      <c r="D132" s="183">
        <v>1330</v>
      </c>
      <c r="E132" s="178" t="s">
        <v>50</v>
      </c>
      <c r="F132" s="191" t="s">
        <v>1</v>
      </c>
      <c r="G132" s="192" t="s">
        <v>12</v>
      </c>
      <c r="H132" s="178" t="s">
        <v>42</v>
      </c>
      <c r="I132" s="178">
        <v>751</v>
      </c>
      <c r="J132" s="183"/>
      <c r="K132" s="183"/>
      <c r="L132" s="183" t="s">
        <v>58</v>
      </c>
      <c r="M132" s="183">
        <v>0</v>
      </c>
      <c r="N132" s="183"/>
      <c r="O132" s="183"/>
      <c r="P132" s="183">
        <v>3</v>
      </c>
      <c r="Q132" s="183" t="s">
        <v>27</v>
      </c>
      <c r="R132" s="183" t="s">
        <v>19</v>
      </c>
      <c r="S132" s="181">
        <v>0.12</v>
      </c>
      <c r="T132" s="181" t="s">
        <v>210</v>
      </c>
      <c r="U132" s="182">
        <v>9.2499999999999999E-2</v>
      </c>
      <c r="V132" s="182" t="s">
        <v>35</v>
      </c>
      <c r="W132" s="183">
        <v>50</v>
      </c>
      <c r="X132" s="182" t="s">
        <v>46</v>
      </c>
      <c r="Y132" s="146">
        <f t="shared" si="31"/>
        <v>20739.919999999998</v>
      </c>
      <c r="Z132" s="146">
        <f t="shared" si="31"/>
        <v>20739.919999999998</v>
      </c>
      <c r="AA132" s="146">
        <f t="shared" si="31"/>
        <v>20739.919999999998</v>
      </c>
      <c r="AB132" s="146">
        <f>16500</f>
        <v>16500</v>
      </c>
      <c r="AC132" s="146">
        <f>16500</f>
        <v>16500</v>
      </c>
      <c r="AD132" s="146">
        <f>16500</f>
        <v>16500</v>
      </c>
      <c r="AE132" s="146">
        <f>15840</f>
        <v>15840</v>
      </c>
      <c r="AF132" s="146">
        <f>15840</f>
        <v>15840</v>
      </c>
      <c r="AG132" s="146">
        <f>15840</f>
        <v>15840</v>
      </c>
      <c r="AH132" s="146">
        <f>15050</f>
        <v>15050</v>
      </c>
      <c r="AI132" s="146">
        <f>15050</f>
        <v>15050</v>
      </c>
      <c r="AJ132" s="146">
        <f>15050</f>
        <v>15050</v>
      </c>
      <c r="AK132" s="146">
        <f>14600</f>
        <v>14600</v>
      </c>
      <c r="AL132" s="146">
        <f>14600</f>
        <v>14600</v>
      </c>
      <c r="AM132" s="146">
        <f>14600</f>
        <v>14600</v>
      </c>
      <c r="AN132" s="146">
        <f>14600</f>
        <v>14600</v>
      </c>
      <c r="AO132" s="146">
        <f>14600</f>
        <v>14600</v>
      </c>
      <c r="AP132" s="146">
        <f>14600</f>
        <v>14600</v>
      </c>
      <c r="AQ132" s="146">
        <f>15826</f>
        <v>15826</v>
      </c>
      <c r="AR132" s="146">
        <f>15826</f>
        <v>15826</v>
      </c>
      <c r="AS132" s="146">
        <f>15826</f>
        <v>15826</v>
      </c>
      <c r="AT132" s="184">
        <v>16301</v>
      </c>
      <c r="AU132" s="184">
        <v>16617</v>
      </c>
      <c r="AV132" s="184">
        <v>16617</v>
      </c>
      <c r="AW132" s="184">
        <v>16617</v>
      </c>
      <c r="AX132" s="184">
        <v>16617</v>
      </c>
      <c r="AY132" s="184">
        <v>16617</v>
      </c>
      <c r="AZ132" s="184">
        <v>16617</v>
      </c>
      <c r="BA132" s="184">
        <v>16617</v>
      </c>
      <c r="BB132" s="184">
        <v>16617</v>
      </c>
      <c r="BC132" s="184">
        <v>16617</v>
      </c>
      <c r="BD132" s="184">
        <v>16617</v>
      </c>
      <c r="BE132" s="184">
        <v>16617</v>
      </c>
      <c r="BF132" s="184">
        <v>16617</v>
      </c>
      <c r="BG132" s="184">
        <v>16617</v>
      </c>
      <c r="BH132" s="184">
        <v>16617</v>
      </c>
      <c r="BI132" s="184">
        <v>16617</v>
      </c>
      <c r="BJ132" s="184">
        <v>16617</v>
      </c>
      <c r="BK132" s="184">
        <v>16617</v>
      </c>
      <c r="BL132" s="184">
        <v>17581</v>
      </c>
      <c r="BM132" s="184">
        <v>17581</v>
      </c>
      <c r="BN132" s="184">
        <v>17581</v>
      </c>
      <c r="BO132" s="184">
        <v>18337</v>
      </c>
      <c r="BP132" s="184">
        <v>18337</v>
      </c>
      <c r="BQ132" s="184">
        <v>18337</v>
      </c>
      <c r="BR132" s="184"/>
      <c r="BS132" s="184"/>
      <c r="BT132" s="184"/>
      <c r="BU132" s="146" cm="1">
        <f t="array" ref="BU132">LOOKUP(2,1/(Y132:BT132&lt;&gt;""),Y132:BH132)</f>
        <v>18337</v>
      </c>
      <c r="BV132" s="145" cm="1">
        <f t="array" aca="1" ref="BV132" ca="1">_xlfn.LET(
    _xlpm.last_col_idx, LOOKUP(2, 1/(Y132:BT132&lt;&gt;""), COLUMN(Y132:BT132) - COLUMN(Y132) + 1),
    _xlpm.header_val, INDEX($Y$3:$BT$3, 1, _xlpm.last_col_idx),
    _xlpm.header_date, IF(ISNUMBER(_xlpm.header_val), _xlpm.header_val, DATEVALUE(_xlpm.header_val)),
    IF(_xlpm.header_date &gt; TODAY(), TODAY(), _xlpm.header_date)
)</f>
        <v>46212</v>
      </c>
      <c r="BW132" s="209" cm="1">
        <f t="array" ref="BW132">(LOOKUP(2,1/(BH132:BT132&lt;&gt;""),BH132:BT132))/(INDEX(BH132:BT132,MATCH(TRUE,INDEX((BH132:BT132&lt;&gt;0),0),0)))-1</f>
        <v>0.10350845519648555</v>
      </c>
      <c r="BX132" s="210">
        <f t="shared" ref="BX132:BX195" si="32">BU132/1000</f>
        <v>18.337</v>
      </c>
      <c r="BY132" s="210">
        <f t="shared" ref="BY132:BY195" si="33">IF(X132="BRL",BX132,IF(X132="EUR",BX132*$CK$2,IF(X132="USD",BX132*$CK$1,IF(X132="CNY",BX132*$CM$1,IF(X132="RUB",BX132*$CM$2,"CRRY#")))))</f>
        <v>18.337</v>
      </c>
      <c r="BZ132" s="210">
        <f>IF(L132="BR",'Impostos e Frete'!$F$6,IF(L132="EU",'Impostos e Frete'!$I$3,IF(L132="CN",'Impostos e Frete'!$I$4,IF(L132="JP",'Impostos e Frete'!$I$5,IF(L132="RU",'Impostos e Frete'!$I$7,"ERRO")))))</f>
        <v>0</v>
      </c>
      <c r="CA132" s="210">
        <f>VLOOKUP(L132,'Impostos e Frete'!$A$3:$B$7,2,0)*'Preços e Condições'!BY132</f>
        <v>0</v>
      </c>
      <c r="CB132" s="147">
        <f t="shared" ref="CB132:CB195" si="34">IF(R132="CFR",$CB$2,IF(R132="FOB",0,IF(R132="EXW",$CB$1,"ERRO")))</f>
        <v>0</v>
      </c>
      <c r="CC132" s="147">
        <f>IF(X132="BRL",'Impostos e Frete'!$B$11,'Impostos e Frete'!$B$12)</f>
        <v>0.2</v>
      </c>
      <c r="CD132" s="211">
        <f t="shared" ref="CD132:CD195" si="35">SUM(BY132:CC132)</f>
        <v>18.536999999999999</v>
      </c>
      <c r="CE132" s="212">
        <f t="shared" ref="CE132:CE195" si="36">IF(C132="","erro",(CD132/1000)*C132)</f>
        <v>1.2419789999999999</v>
      </c>
      <c r="CF132" s="213">
        <f>VLOOKUP(L132,'Impostos e Frete'!$A$3:$C$7,3,0)</f>
        <v>45</v>
      </c>
      <c r="CG132" s="213">
        <f t="shared" ref="CG132:CG195" si="37">M132</f>
        <v>0</v>
      </c>
      <c r="CH132" s="213">
        <f t="shared" ref="CH132:CH195" si="38">CG132-CF132</f>
        <v>-45</v>
      </c>
      <c r="CI132" s="214">
        <f t="shared" ref="CI132:CI195" si="39">CD132*(1+VALUE($CI$2))^((CH132*-1)/30)-CD132</f>
        <v>0.41864267105761499</v>
      </c>
      <c r="CJ132" s="215">
        <f t="shared" ref="CJ132:CJ195" si="40">CD132+CI132</f>
        <v>18.955642671057614</v>
      </c>
      <c r="CK132" s="216">
        <f t="shared" ref="CK132:CK195" si="41">IF(C132="","erro",(CJ132/1000)*C132)</f>
        <v>1.2700280589608601</v>
      </c>
    </row>
    <row r="133" spans="1:89">
      <c r="A133" s="176">
        <v>16001</v>
      </c>
      <c r="B133" s="177">
        <v>9300</v>
      </c>
      <c r="C133" s="190">
        <v>80</v>
      </c>
      <c r="D133" s="190">
        <v>1855</v>
      </c>
      <c r="E133" s="178" t="s">
        <v>49</v>
      </c>
      <c r="F133" s="191" t="s">
        <v>1</v>
      </c>
      <c r="G133" s="192" t="s">
        <v>10</v>
      </c>
      <c r="H133" s="190" t="s">
        <v>63</v>
      </c>
      <c r="I133" s="178">
        <v>9300</v>
      </c>
      <c r="J133" s="183"/>
      <c r="K133" s="190"/>
      <c r="L133" s="183" t="s">
        <v>58</v>
      </c>
      <c r="M133" s="183">
        <v>0</v>
      </c>
      <c r="N133" s="183"/>
      <c r="O133" s="183"/>
      <c r="P133" s="183">
        <v>3</v>
      </c>
      <c r="Q133" s="183" t="s">
        <v>27</v>
      </c>
      <c r="R133" s="183" t="s">
        <v>19</v>
      </c>
      <c r="S133" s="181">
        <v>0.04</v>
      </c>
      <c r="T133" s="181" t="s">
        <v>210</v>
      </c>
      <c r="U133" s="182">
        <v>9.2499999999999999E-2</v>
      </c>
      <c r="V133" s="182" t="s">
        <v>35</v>
      </c>
      <c r="W133" s="183">
        <v>40</v>
      </c>
      <c r="X133" s="182" t="s">
        <v>46</v>
      </c>
      <c r="Y133" s="146">
        <f>20999.97</f>
        <v>20999.97</v>
      </c>
      <c r="Z133" s="146">
        <f>20999.97</f>
        <v>20999.97</v>
      </c>
      <c r="AA133" s="146">
        <f>20999.97</f>
        <v>20999.97</v>
      </c>
      <c r="AB133" s="146">
        <f>21000</f>
        <v>21000</v>
      </c>
      <c r="AC133" s="146">
        <f>21000</f>
        <v>21000</v>
      </c>
      <c r="AD133" s="146">
        <f>21000</f>
        <v>21000</v>
      </c>
      <c r="AE133" s="146">
        <f>20160</f>
        <v>20160</v>
      </c>
      <c r="AF133" s="146">
        <f>20160</f>
        <v>20160</v>
      </c>
      <c r="AG133" s="146">
        <f>20160</f>
        <v>20160</v>
      </c>
      <c r="AH133" s="146">
        <f>19555</f>
        <v>19555</v>
      </c>
      <c r="AI133" s="146">
        <f>19555</f>
        <v>19555</v>
      </c>
      <c r="AJ133" s="146">
        <f>19555</f>
        <v>19555</v>
      </c>
      <c r="AK133" s="146">
        <f>18775</f>
        <v>18775</v>
      </c>
      <c r="AL133" s="146">
        <f>18775</f>
        <v>18775</v>
      </c>
      <c r="AM133" s="146">
        <f>18775</f>
        <v>18775</v>
      </c>
      <c r="AN133" s="146">
        <f>18775</f>
        <v>18775</v>
      </c>
      <c r="AO133" s="146">
        <f>18775</f>
        <v>18775</v>
      </c>
      <c r="AP133" s="146">
        <f>18775</f>
        <v>18775</v>
      </c>
      <c r="AQ133" s="146">
        <f>20352</f>
        <v>20352</v>
      </c>
      <c r="AR133" s="146">
        <f>20352</f>
        <v>20352</v>
      </c>
      <c r="AS133" s="146">
        <f>20352</f>
        <v>20352</v>
      </c>
      <c r="AT133" s="184">
        <v>21370</v>
      </c>
      <c r="AU133" s="184">
        <v>21370</v>
      </c>
      <c r="AV133" s="184">
        <v>21370</v>
      </c>
      <c r="AW133" s="184">
        <v>21370</v>
      </c>
      <c r="AX133" s="184">
        <v>21370</v>
      </c>
      <c r="AY133" s="184">
        <v>21370</v>
      </c>
      <c r="AZ133" s="184">
        <v>21370</v>
      </c>
      <c r="BA133" s="184">
        <v>21370</v>
      </c>
      <c r="BB133" s="184">
        <v>21370</v>
      </c>
      <c r="BC133" s="184">
        <v>21370</v>
      </c>
      <c r="BD133" s="184">
        <v>21370</v>
      </c>
      <c r="BE133" s="184">
        <v>21370</v>
      </c>
      <c r="BF133" s="184">
        <v>21370</v>
      </c>
      <c r="BG133" s="184">
        <v>21370</v>
      </c>
      <c r="BH133" s="184">
        <v>21370</v>
      </c>
      <c r="BI133" s="184">
        <v>21370</v>
      </c>
      <c r="BJ133" s="184">
        <v>21370</v>
      </c>
      <c r="BK133" s="184">
        <v>21370</v>
      </c>
      <c r="BL133" s="184">
        <v>22609</v>
      </c>
      <c r="BM133" s="184">
        <v>22609</v>
      </c>
      <c r="BN133" s="184">
        <v>22609</v>
      </c>
      <c r="BO133" s="184">
        <v>23581</v>
      </c>
      <c r="BP133" s="184">
        <v>23581</v>
      </c>
      <c r="BQ133" s="184">
        <v>23581</v>
      </c>
      <c r="BR133" s="184"/>
      <c r="BS133" s="184"/>
      <c r="BT133" s="184"/>
      <c r="BU133" s="146" cm="1">
        <f t="array" ref="BU133">LOOKUP(2,1/(Y133:BT133&lt;&gt;""),Y133:BH133)</f>
        <v>23581</v>
      </c>
      <c r="BV133" s="145" cm="1">
        <f t="array" aca="1" ref="BV133" ca="1">_xlfn.LET(
    _xlpm.last_col_idx, LOOKUP(2, 1/(Y133:BT133&lt;&gt;""), COLUMN(Y133:BT133) - COLUMN(Y133) + 1),
    _xlpm.header_val, INDEX($Y$3:$BT$3, 1, _xlpm.last_col_idx),
    _xlpm.header_date, IF(ISNUMBER(_xlpm.header_val), _xlpm.header_val, DATEVALUE(_xlpm.header_val)),
    IF(_xlpm.header_date &gt; TODAY(), TODAY(), _xlpm.header_date)
)</f>
        <v>46212</v>
      </c>
      <c r="BW133" s="209" cm="1">
        <f t="array" ref="BW133">(LOOKUP(2,1/(BH133:BT133&lt;&gt;""),BH133:BT133))/(INDEX(BH133:BT133,MATCH(TRUE,INDEX((BH133:BT133&lt;&gt;0),0),0)))-1</f>
        <v>0.10346279831539551</v>
      </c>
      <c r="BX133" s="210">
        <f t="shared" si="32"/>
        <v>23.581</v>
      </c>
      <c r="BY133" s="210">
        <f t="shared" si="33"/>
        <v>23.581</v>
      </c>
      <c r="BZ133" s="210">
        <f>IF(L133="BR",'Impostos e Frete'!$F$6,IF(L133="EU",'Impostos e Frete'!$I$3,IF(L133="CN",'Impostos e Frete'!$I$4,IF(L133="JP",'Impostos e Frete'!$I$5,IF(L133="RU",'Impostos e Frete'!$I$7,"ERRO")))))</f>
        <v>0</v>
      </c>
      <c r="CA133" s="210">
        <f>VLOOKUP(L133,'Impostos e Frete'!$A$3:$B$7,2,0)*'Preços e Condições'!BY133</f>
        <v>0</v>
      </c>
      <c r="CB133" s="147">
        <f t="shared" si="34"/>
        <v>0</v>
      </c>
      <c r="CC133" s="147">
        <f>IF(X133="BRL",'Impostos e Frete'!$B$11,'Impostos e Frete'!$B$12)</f>
        <v>0.2</v>
      </c>
      <c r="CD133" s="211">
        <f t="shared" si="35"/>
        <v>23.780999999999999</v>
      </c>
      <c r="CE133" s="212">
        <f t="shared" si="36"/>
        <v>1.9024799999999999</v>
      </c>
      <c r="CF133" s="213">
        <f>VLOOKUP(L133,'Impostos e Frete'!$A$3:$C$7,3,0)</f>
        <v>45</v>
      </c>
      <c r="CG133" s="213">
        <f t="shared" si="37"/>
        <v>0</v>
      </c>
      <c r="CH133" s="213">
        <f t="shared" si="38"/>
        <v>-45</v>
      </c>
      <c r="CI133" s="214">
        <f t="shared" si="39"/>
        <v>0.53707403357723038</v>
      </c>
      <c r="CJ133" s="215">
        <f t="shared" si="40"/>
        <v>24.318074033577229</v>
      </c>
      <c r="CK133" s="216">
        <f t="shared" si="41"/>
        <v>1.9454459226861784</v>
      </c>
    </row>
    <row r="134" spans="1:89">
      <c r="A134" s="176">
        <v>16004</v>
      </c>
      <c r="B134" s="177">
        <v>9080</v>
      </c>
      <c r="C134" s="190">
        <v>80</v>
      </c>
      <c r="D134" s="190">
        <v>1855</v>
      </c>
      <c r="E134" s="178" t="s">
        <v>49</v>
      </c>
      <c r="F134" s="191" t="s">
        <v>1</v>
      </c>
      <c r="G134" s="192" t="s">
        <v>8</v>
      </c>
      <c r="H134" s="178" t="s">
        <v>42</v>
      </c>
      <c r="I134" s="178">
        <v>9080</v>
      </c>
      <c r="J134" s="183"/>
      <c r="K134" s="190"/>
      <c r="L134" s="183" t="s">
        <v>58</v>
      </c>
      <c r="M134" s="183">
        <v>0</v>
      </c>
      <c r="N134" s="183"/>
      <c r="O134" s="183"/>
      <c r="P134" s="183">
        <v>3</v>
      </c>
      <c r="Q134" s="183" t="s">
        <v>27</v>
      </c>
      <c r="R134" s="183" t="s">
        <v>19</v>
      </c>
      <c r="S134" s="181">
        <v>0.12</v>
      </c>
      <c r="T134" s="181" t="s">
        <v>210</v>
      </c>
      <c r="U134" s="182">
        <v>9.2499999999999999E-2</v>
      </c>
      <c r="V134" s="182" t="s">
        <v>35</v>
      </c>
      <c r="W134" s="183">
        <v>40</v>
      </c>
      <c r="X134" s="182" t="s">
        <v>46</v>
      </c>
      <c r="Y134" s="146">
        <f>17999.19</f>
        <v>17999.189999999999</v>
      </c>
      <c r="Z134" s="146">
        <f>17999.19</f>
        <v>17999.189999999999</v>
      </c>
      <c r="AA134" s="146">
        <f>17999.19</f>
        <v>17999.189999999999</v>
      </c>
      <c r="AB134" s="146">
        <f>17450</f>
        <v>17450</v>
      </c>
      <c r="AC134" s="146">
        <f>17450</f>
        <v>17450</v>
      </c>
      <c r="AD134" s="146">
        <f>17450</f>
        <v>17450</v>
      </c>
      <c r="AE134" s="146">
        <f>16752</f>
        <v>16752</v>
      </c>
      <c r="AF134" s="146">
        <f>16752</f>
        <v>16752</v>
      </c>
      <c r="AG134" s="146">
        <f>16752</f>
        <v>16752</v>
      </c>
      <c r="AH134" s="146">
        <f>16250</f>
        <v>16250</v>
      </c>
      <c r="AI134" s="146">
        <f>16250</f>
        <v>16250</v>
      </c>
      <c r="AJ134" s="146">
        <f>16250</f>
        <v>16250</v>
      </c>
      <c r="AK134" s="146">
        <f>15762</f>
        <v>15762</v>
      </c>
      <c r="AL134" s="146">
        <f>15762</f>
        <v>15762</v>
      </c>
      <c r="AM134" s="146">
        <f>15762</f>
        <v>15762</v>
      </c>
      <c r="AN134" s="146">
        <f>15762</f>
        <v>15762</v>
      </c>
      <c r="AO134" s="146">
        <f>15762</f>
        <v>15762</v>
      </c>
      <c r="AP134" s="146">
        <f>15762</f>
        <v>15762</v>
      </c>
      <c r="AQ134" s="146">
        <f>17086</f>
        <v>17086</v>
      </c>
      <c r="AR134" s="146">
        <f>17086</f>
        <v>17086</v>
      </c>
      <c r="AS134" s="146">
        <f>17086</f>
        <v>17086</v>
      </c>
      <c r="AT134" s="184">
        <v>17941</v>
      </c>
      <c r="AU134" s="184">
        <v>17941</v>
      </c>
      <c r="AV134" s="184">
        <v>17941</v>
      </c>
      <c r="AW134" s="184">
        <v>17941</v>
      </c>
      <c r="AX134" s="184">
        <v>17941</v>
      </c>
      <c r="AY134" s="184">
        <v>17941</v>
      </c>
      <c r="AZ134" s="184">
        <v>17941</v>
      </c>
      <c r="BA134" s="184">
        <v>17941</v>
      </c>
      <c r="BB134" s="184">
        <v>17941</v>
      </c>
      <c r="BC134" s="184">
        <v>17941</v>
      </c>
      <c r="BD134" s="184">
        <v>17941</v>
      </c>
      <c r="BE134" s="184">
        <v>17941</v>
      </c>
      <c r="BF134" s="184">
        <v>17941</v>
      </c>
      <c r="BG134" s="184">
        <v>17941</v>
      </c>
      <c r="BH134" s="184">
        <v>17941</v>
      </c>
      <c r="BI134" s="184">
        <v>17941</v>
      </c>
      <c r="BJ134" s="184">
        <v>17941</v>
      </c>
      <c r="BK134" s="184">
        <v>17941</v>
      </c>
      <c r="BL134" s="184">
        <v>18981</v>
      </c>
      <c r="BM134" s="184">
        <v>18981</v>
      </c>
      <c r="BN134" s="184">
        <v>18981</v>
      </c>
      <c r="BO134" s="184">
        <v>19787</v>
      </c>
      <c r="BP134" s="184">
        <v>19787</v>
      </c>
      <c r="BQ134" s="184">
        <v>19787</v>
      </c>
      <c r="BR134" s="184"/>
      <c r="BS134" s="184"/>
      <c r="BT134" s="184"/>
      <c r="BU134" s="146" cm="1">
        <f t="array" ref="BU134">LOOKUP(2,1/(Y134:BT134&lt;&gt;""),Y134:BH134)</f>
        <v>19787</v>
      </c>
      <c r="BV134" s="145" cm="1">
        <f t="array" aca="1" ref="BV134" ca="1">_xlfn.LET(
    _xlpm.last_col_idx, LOOKUP(2, 1/(Y134:BT134&lt;&gt;""), COLUMN(Y134:BT134) - COLUMN(Y134) + 1),
    _xlpm.header_val, INDEX($Y$3:$BT$3, 1, _xlpm.last_col_idx),
    _xlpm.header_date, IF(ISNUMBER(_xlpm.header_val), _xlpm.header_val, DATEVALUE(_xlpm.header_val)),
    IF(_xlpm.header_date &gt; TODAY(), TODAY(), _xlpm.header_date)
)</f>
        <v>46212</v>
      </c>
      <c r="BW134" s="209" cm="1">
        <f t="array" ref="BW134">(LOOKUP(2,1/(BH134:BT134&lt;&gt;""),BH134:BT134))/(INDEX(BH134:BT134,MATCH(TRUE,INDEX((BH134:BT134&lt;&gt;0),0),0)))-1</f>
        <v>0.10289281533916728</v>
      </c>
      <c r="BX134" s="210">
        <f t="shared" si="32"/>
        <v>19.786999999999999</v>
      </c>
      <c r="BY134" s="210">
        <f t="shared" si="33"/>
        <v>19.786999999999999</v>
      </c>
      <c r="BZ134" s="210">
        <f>IF(L134="BR",'Impostos e Frete'!$F$6,IF(L134="EU",'Impostos e Frete'!$I$3,IF(L134="CN",'Impostos e Frete'!$I$4,IF(L134="JP",'Impostos e Frete'!$I$5,IF(L134="RU",'Impostos e Frete'!$I$7,"ERRO")))))</f>
        <v>0</v>
      </c>
      <c r="CA134" s="210">
        <f>VLOOKUP(L134,'Impostos e Frete'!$A$3:$B$7,2,0)*'Preços e Condições'!BY134</f>
        <v>0</v>
      </c>
      <c r="CB134" s="147">
        <f t="shared" si="34"/>
        <v>0</v>
      </c>
      <c r="CC134" s="147">
        <f>IF(X134="BRL",'Impostos e Frete'!$B$11,'Impostos e Frete'!$B$12)</f>
        <v>0.2</v>
      </c>
      <c r="CD134" s="211">
        <f t="shared" si="35"/>
        <v>19.986999999999998</v>
      </c>
      <c r="CE134" s="212">
        <f t="shared" si="36"/>
        <v>1.5989599999999999</v>
      </c>
      <c r="CF134" s="213">
        <f>VLOOKUP(L134,'Impostos e Frete'!$A$3:$C$7,3,0)</f>
        <v>45</v>
      </c>
      <c r="CG134" s="213">
        <f t="shared" si="37"/>
        <v>0</v>
      </c>
      <c r="CH134" s="213">
        <f t="shared" si="38"/>
        <v>-45</v>
      </c>
      <c r="CI134" s="214">
        <f t="shared" si="39"/>
        <v>0.45138971065590638</v>
      </c>
      <c r="CJ134" s="215">
        <f t="shared" si="40"/>
        <v>20.438389710655905</v>
      </c>
      <c r="CK134" s="216">
        <f t="shared" si="41"/>
        <v>1.6350711768524722</v>
      </c>
    </row>
    <row r="135" spans="1:89">
      <c r="A135" s="176">
        <v>16005</v>
      </c>
      <c r="B135" s="177">
        <v>932</v>
      </c>
      <c r="C135" s="190">
        <v>80</v>
      </c>
      <c r="D135" s="190">
        <v>1855</v>
      </c>
      <c r="E135" s="178" t="s">
        <v>49</v>
      </c>
      <c r="F135" s="191" t="s">
        <v>1</v>
      </c>
      <c r="G135" s="192" t="s">
        <v>11</v>
      </c>
      <c r="H135" s="190" t="s">
        <v>63</v>
      </c>
      <c r="I135" s="178">
        <v>932</v>
      </c>
      <c r="J135" s="183"/>
      <c r="K135" s="190"/>
      <c r="L135" s="183" t="s">
        <v>58</v>
      </c>
      <c r="M135" s="183">
        <v>0</v>
      </c>
      <c r="N135" s="183"/>
      <c r="O135" s="183"/>
      <c r="P135" s="183">
        <v>3</v>
      </c>
      <c r="Q135" s="183" t="s">
        <v>27</v>
      </c>
      <c r="R135" s="183" t="s">
        <v>19</v>
      </c>
      <c r="S135" s="181">
        <v>0.04</v>
      </c>
      <c r="T135" s="181" t="s">
        <v>210</v>
      </c>
      <c r="U135" s="182">
        <v>9.2499999999999999E-2</v>
      </c>
      <c r="V135" s="182" t="s">
        <v>35</v>
      </c>
      <c r="W135" s="183">
        <v>20</v>
      </c>
      <c r="X135" s="182" t="s">
        <v>46</v>
      </c>
      <c r="Y135" s="146">
        <f>23999.04</f>
        <v>23999.040000000001</v>
      </c>
      <c r="Z135" s="146">
        <f>23999.04</f>
        <v>23999.040000000001</v>
      </c>
      <c r="AA135" s="146">
        <f>23999.04</f>
        <v>23999.040000000001</v>
      </c>
      <c r="AB135" s="146">
        <f>22800</f>
        <v>22800</v>
      </c>
      <c r="AC135" s="146">
        <f>22800</f>
        <v>22800</v>
      </c>
      <c r="AD135" s="146">
        <f>22800</f>
        <v>22800</v>
      </c>
      <c r="AE135" s="146">
        <f>21888</f>
        <v>21888</v>
      </c>
      <c r="AF135" s="146">
        <f>21888</f>
        <v>21888</v>
      </c>
      <c r="AG135" s="146">
        <f>21888</f>
        <v>21888</v>
      </c>
      <c r="AH135" s="146">
        <f>21230</f>
        <v>21230</v>
      </c>
      <c r="AI135" s="146">
        <f>21230</f>
        <v>21230</v>
      </c>
      <c r="AJ135" s="146">
        <f>21230</f>
        <v>21230</v>
      </c>
      <c r="AK135" s="146">
        <f>20593</f>
        <v>20593</v>
      </c>
      <c r="AL135" s="146">
        <f>20593</f>
        <v>20593</v>
      </c>
      <c r="AM135" s="146">
        <f>20593</f>
        <v>20593</v>
      </c>
      <c r="AN135" s="146">
        <f>20593</f>
        <v>20593</v>
      </c>
      <c r="AO135" s="146">
        <f>20593</f>
        <v>20593</v>
      </c>
      <c r="AP135" s="146">
        <f>20593</f>
        <v>20593</v>
      </c>
      <c r="AQ135" s="146">
        <f>22323</f>
        <v>22323</v>
      </c>
      <c r="AR135" s="146">
        <f>22323</f>
        <v>22323</v>
      </c>
      <c r="AS135" s="146">
        <f>22323</f>
        <v>22323</v>
      </c>
      <c r="AT135" s="184">
        <v>23439</v>
      </c>
      <c r="AU135" s="184">
        <v>23439</v>
      </c>
      <c r="AV135" s="184">
        <v>23439</v>
      </c>
      <c r="AW135" s="184">
        <v>23439</v>
      </c>
      <c r="AX135" s="184">
        <v>23439</v>
      </c>
      <c r="AY135" s="184">
        <v>23439</v>
      </c>
      <c r="AZ135" s="184">
        <v>23439</v>
      </c>
      <c r="BA135" s="184">
        <v>23439</v>
      </c>
      <c r="BB135" s="184">
        <v>23439</v>
      </c>
      <c r="BC135" s="184">
        <v>23439</v>
      </c>
      <c r="BD135" s="184">
        <v>23439</v>
      </c>
      <c r="BE135" s="184">
        <v>23439</v>
      </c>
      <c r="BF135" s="184">
        <v>23439</v>
      </c>
      <c r="BG135" s="184">
        <v>23439</v>
      </c>
      <c r="BH135" s="184">
        <v>23439</v>
      </c>
      <c r="BI135" s="184">
        <v>23439</v>
      </c>
      <c r="BJ135" s="184">
        <v>23439</v>
      </c>
      <c r="BK135" s="184">
        <v>23439</v>
      </c>
      <c r="BL135" s="184">
        <v>24799</v>
      </c>
      <c r="BM135" s="184">
        <v>24799</v>
      </c>
      <c r="BN135" s="184">
        <v>24799</v>
      </c>
      <c r="BO135" s="184">
        <v>25865</v>
      </c>
      <c r="BP135" s="184">
        <v>25865</v>
      </c>
      <c r="BQ135" s="184">
        <v>25865</v>
      </c>
      <c r="BR135" s="184"/>
      <c r="BS135" s="184"/>
      <c r="BT135" s="184"/>
      <c r="BU135" s="146" cm="1">
        <f t="array" ref="BU135">LOOKUP(2,1/(Y135:BT135&lt;&gt;""),Y135:BH135)</f>
        <v>25865</v>
      </c>
      <c r="BV135" s="145" cm="1">
        <f t="array" aca="1" ref="BV135" ca="1">_xlfn.LET(
    _xlpm.last_col_idx, LOOKUP(2, 1/(Y135:BT135&lt;&gt;""), COLUMN(Y135:BT135) - COLUMN(Y135) + 1),
    _xlpm.header_val, INDEX($Y$3:$BT$3, 1, _xlpm.last_col_idx),
    _xlpm.header_date, IF(ISNUMBER(_xlpm.header_val), _xlpm.header_val, DATEVALUE(_xlpm.header_val)),
    IF(_xlpm.header_date &gt; TODAY(), TODAY(), _xlpm.header_date)
)</f>
        <v>46212</v>
      </c>
      <c r="BW135" s="209" cm="1">
        <f t="array" ref="BW135">(LOOKUP(2,1/(BH135:BT135&lt;&gt;""),BH135:BT135))/(INDEX(BH135:BT135,MATCH(TRUE,INDEX((BH135:BT135&lt;&gt;0),0),0)))-1</f>
        <v>0.10350270915994719</v>
      </c>
      <c r="BX135" s="210">
        <f t="shared" si="32"/>
        <v>25.864999999999998</v>
      </c>
      <c r="BY135" s="210">
        <f t="shared" si="33"/>
        <v>25.864999999999998</v>
      </c>
      <c r="BZ135" s="210">
        <f>IF(L135="BR",'Impostos e Frete'!$F$6,IF(L135="EU",'Impostos e Frete'!$I$3,IF(L135="CN",'Impostos e Frete'!$I$4,IF(L135="JP",'Impostos e Frete'!$I$5,IF(L135="RU",'Impostos e Frete'!$I$7,"ERRO")))))</f>
        <v>0</v>
      </c>
      <c r="CA135" s="210">
        <f>VLOOKUP(L135,'Impostos e Frete'!$A$3:$B$7,2,0)*'Preços e Condições'!BY135</f>
        <v>0</v>
      </c>
      <c r="CB135" s="147">
        <f t="shared" si="34"/>
        <v>0</v>
      </c>
      <c r="CC135" s="147">
        <f>IF(X135="BRL",'Impostos e Frete'!$B$11,'Impostos e Frete'!$B$12)</f>
        <v>0.2</v>
      </c>
      <c r="CD135" s="211">
        <f t="shared" si="35"/>
        <v>26.064999999999998</v>
      </c>
      <c r="CE135" s="212">
        <f t="shared" si="36"/>
        <v>2.0851999999999999</v>
      </c>
      <c r="CF135" s="213">
        <f>VLOOKUP(L135,'Impostos e Frete'!$A$3:$C$7,3,0)</f>
        <v>45</v>
      </c>
      <c r="CG135" s="213">
        <f t="shared" si="37"/>
        <v>0</v>
      </c>
      <c r="CH135" s="213">
        <f t="shared" si="38"/>
        <v>-45</v>
      </c>
      <c r="CI135" s="214">
        <f t="shared" si="39"/>
        <v>0.58865626698585061</v>
      </c>
      <c r="CJ135" s="215">
        <f t="shared" si="40"/>
        <v>26.653656266985848</v>
      </c>
      <c r="CK135" s="216">
        <f t="shared" si="41"/>
        <v>2.1322925013588678</v>
      </c>
    </row>
    <row r="136" spans="1:89">
      <c r="A136" s="176">
        <v>16008</v>
      </c>
      <c r="B136" s="177">
        <v>938</v>
      </c>
      <c r="C136" s="190">
        <v>80</v>
      </c>
      <c r="D136" s="190"/>
      <c r="E136" s="178" t="s">
        <v>49</v>
      </c>
      <c r="F136" s="191" t="s">
        <v>1</v>
      </c>
      <c r="G136" s="192" t="s">
        <v>125</v>
      </c>
      <c r="H136" s="183" t="s">
        <v>43</v>
      </c>
      <c r="I136" s="178">
        <v>938</v>
      </c>
      <c r="J136" s="183"/>
      <c r="K136" s="190"/>
      <c r="L136" s="183" t="s">
        <v>58</v>
      </c>
      <c r="M136" s="183">
        <v>0</v>
      </c>
      <c r="N136" s="183"/>
      <c r="O136" s="183"/>
      <c r="P136" s="183">
        <v>3</v>
      </c>
      <c r="Q136" s="183" t="s">
        <v>27</v>
      </c>
      <c r="R136" s="183" t="s">
        <v>19</v>
      </c>
      <c r="S136" s="181">
        <v>0.12</v>
      </c>
      <c r="T136" s="181" t="s">
        <v>210</v>
      </c>
      <c r="U136" s="182">
        <v>9.2499999999999999E-2</v>
      </c>
      <c r="V136" s="182" t="s">
        <v>35</v>
      </c>
      <c r="W136" s="183">
        <v>40</v>
      </c>
      <c r="X136" s="182" t="s">
        <v>46</v>
      </c>
      <c r="Y136" s="146">
        <f>20499.36</f>
        <v>20499.36</v>
      </c>
      <c r="Z136" s="146">
        <f>20499.36</f>
        <v>20499.36</v>
      </c>
      <c r="AA136" s="146">
        <f>20499.36</f>
        <v>20499.36</v>
      </c>
      <c r="AB136" s="184"/>
      <c r="AC136" s="184"/>
      <c r="AD136" s="184"/>
      <c r="AE136" s="146">
        <f>19680</f>
        <v>19680</v>
      </c>
      <c r="AF136" s="146">
        <f>19680</f>
        <v>19680</v>
      </c>
      <c r="AG136" s="146">
        <f>19680</f>
        <v>19680</v>
      </c>
      <c r="AH136" s="146">
        <f>18695</f>
        <v>18695</v>
      </c>
      <c r="AI136" s="146">
        <f>18695</f>
        <v>18695</v>
      </c>
      <c r="AJ136" s="146">
        <f>18695</f>
        <v>18695</v>
      </c>
      <c r="AK136" s="146">
        <f>17760</f>
        <v>17760</v>
      </c>
      <c r="AL136" s="146">
        <f>17760</f>
        <v>17760</v>
      </c>
      <c r="AM136" s="146">
        <f>17760</f>
        <v>17760</v>
      </c>
      <c r="AN136" s="146">
        <f>17760</f>
        <v>17760</v>
      </c>
      <c r="AO136" s="146">
        <f>17760</f>
        <v>17760</v>
      </c>
      <c r="AP136" s="146">
        <f>17760</f>
        <v>17760</v>
      </c>
      <c r="AQ136" s="146">
        <f>19252</f>
        <v>19252</v>
      </c>
      <c r="AR136" s="146">
        <f>19252</f>
        <v>19252</v>
      </c>
      <c r="AS136" s="146">
        <f>19252</f>
        <v>19252</v>
      </c>
      <c r="AT136" s="184">
        <v>20696</v>
      </c>
      <c r="AU136" s="184">
        <v>20696</v>
      </c>
      <c r="AV136" s="184">
        <v>20696</v>
      </c>
      <c r="AW136" s="184">
        <v>20696</v>
      </c>
      <c r="AX136" s="184">
        <v>20696</v>
      </c>
      <c r="AY136" s="184">
        <v>20696</v>
      </c>
      <c r="AZ136" s="184">
        <v>20696</v>
      </c>
      <c r="BA136" s="184">
        <v>20696</v>
      </c>
      <c r="BB136" s="184">
        <v>20696</v>
      </c>
      <c r="BC136" s="184">
        <v>20696</v>
      </c>
      <c r="BD136" s="184">
        <v>20696</v>
      </c>
      <c r="BE136" s="184">
        <v>20696</v>
      </c>
      <c r="BF136" s="184">
        <v>20696</v>
      </c>
      <c r="BG136" s="184">
        <v>20696</v>
      </c>
      <c r="BH136" s="184">
        <v>20696</v>
      </c>
      <c r="BI136" s="184">
        <v>20696</v>
      </c>
      <c r="BJ136" s="184">
        <v>20696</v>
      </c>
      <c r="BK136" s="184">
        <v>20696</v>
      </c>
      <c r="BL136" s="184">
        <v>21897</v>
      </c>
      <c r="BM136" s="184">
        <v>21897</v>
      </c>
      <c r="BN136" s="184">
        <v>21897</v>
      </c>
      <c r="BO136" s="184">
        <v>22838</v>
      </c>
      <c r="BP136" s="184">
        <v>22838</v>
      </c>
      <c r="BQ136" s="184">
        <v>22838</v>
      </c>
      <c r="BR136" s="184"/>
      <c r="BS136" s="184"/>
      <c r="BT136" s="184"/>
      <c r="BU136" s="146" cm="1">
        <f t="array" ref="BU136">LOOKUP(2,1/(Y136:BT136&lt;&gt;""),Y136:BH136)</f>
        <v>22838</v>
      </c>
      <c r="BV136" s="145" cm="1">
        <f t="array" aca="1" ref="BV136" ca="1">_xlfn.LET(
    _xlpm.last_col_idx, LOOKUP(2, 1/(Y136:BT136&lt;&gt;""), COLUMN(Y136:BT136) - COLUMN(Y136) + 1),
    _xlpm.header_val, INDEX($Y$3:$BT$3, 1, _xlpm.last_col_idx),
    _xlpm.header_date, IF(ISNUMBER(_xlpm.header_val), _xlpm.header_val, DATEVALUE(_xlpm.header_val)),
    IF(_xlpm.header_date &gt; TODAY(), TODAY(), _xlpm.header_date)
)</f>
        <v>46212</v>
      </c>
      <c r="BW136" s="209" cm="1">
        <f t="array" ref="BW136">(LOOKUP(2,1/(BH136:BT136&lt;&gt;""),BH136:BT136))/(INDEX(BH136:BT136,MATCH(TRUE,INDEX((BH136:BT136&lt;&gt;0),0),0)))-1</f>
        <v>0.10349826053343647</v>
      </c>
      <c r="BX136" s="210">
        <f t="shared" si="32"/>
        <v>22.838000000000001</v>
      </c>
      <c r="BY136" s="210">
        <f t="shared" si="33"/>
        <v>22.838000000000001</v>
      </c>
      <c r="BZ136" s="210">
        <f>IF(L136="BR",'Impostos e Frete'!$F$6,IF(L136="EU",'Impostos e Frete'!$I$3,IF(L136="CN",'Impostos e Frete'!$I$4,IF(L136="JP",'Impostos e Frete'!$I$5,IF(L136="RU",'Impostos e Frete'!$I$7,"ERRO")))))</f>
        <v>0</v>
      </c>
      <c r="CA136" s="210">
        <f>VLOOKUP(L136,'Impostos e Frete'!$A$3:$B$7,2,0)*'Preços e Condições'!BY136</f>
        <v>0</v>
      </c>
      <c r="CB136" s="147">
        <f t="shared" si="34"/>
        <v>0</v>
      </c>
      <c r="CC136" s="147">
        <f>IF(X136="BRL",'Impostos e Frete'!$B$11,'Impostos e Frete'!$B$12)</f>
        <v>0.2</v>
      </c>
      <c r="CD136" s="211">
        <f t="shared" si="35"/>
        <v>23.038</v>
      </c>
      <c r="CE136" s="212">
        <f t="shared" si="36"/>
        <v>1.84304</v>
      </c>
      <c r="CF136" s="213">
        <f>VLOOKUP(L136,'Impostos e Frete'!$A$3:$C$7,3,0)</f>
        <v>45</v>
      </c>
      <c r="CG136" s="213">
        <f t="shared" si="37"/>
        <v>0</v>
      </c>
      <c r="CH136" s="213">
        <f t="shared" si="38"/>
        <v>-45</v>
      </c>
      <c r="CI136" s="214">
        <f t="shared" si="39"/>
        <v>0.52029399880376204</v>
      </c>
      <c r="CJ136" s="215">
        <f t="shared" si="40"/>
        <v>23.558293998803762</v>
      </c>
      <c r="CK136" s="216">
        <f t="shared" si="41"/>
        <v>1.8846635199043011</v>
      </c>
    </row>
    <row r="137" spans="1:89">
      <c r="A137" s="176">
        <v>16009</v>
      </c>
      <c r="B137" s="177">
        <v>497</v>
      </c>
      <c r="C137" s="190">
        <v>80</v>
      </c>
      <c r="D137" s="190">
        <v>1855</v>
      </c>
      <c r="E137" s="178" t="s">
        <v>49</v>
      </c>
      <c r="F137" s="191" t="s">
        <v>1</v>
      </c>
      <c r="G137" s="192" t="s">
        <v>9</v>
      </c>
      <c r="H137" s="190" t="s">
        <v>64</v>
      </c>
      <c r="I137" s="178">
        <v>497</v>
      </c>
      <c r="J137" s="183"/>
      <c r="K137" s="190"/>
      <c r="L137" s="183" t="s">
        <v>58</v>
      </c>
      <c r="M137" s="183">
        <v>0</v>
      </c>
      <c r="N137" s="183"/>
      <c r="O137" s="183"/>
      <c r="P137" s="183">
        <v>3</v>
      </c>
      <c r="Q137" s="183" t="s">
        <v>27</v>
      </c>
      <c r="R137" s="183" t="s">
        <v>19</v>
      </c>
      <c r="S137" s="181">
        <v>0.12</v>
      </c>
      <c r="T137" s="181" t="s">
        <v>210</v>
      </c>
      <c r="U137" s="182">
        <v>9.2499999999999999E-2</v>
      </c>
      <c r="V137" s="182" t="s">
        <v>35</v>
      </c>
      <c r="W137" s="183">
        <v>20</v>
      </c>
      <c r="X137" s="182" t="s">
        <v>46</v>
      </c>
      <c r="Y137" s="146">
        <f>26500.15</f>
        <v>26500.15</v>
      </c>
      <c r="Z137" s="146">
        <f>26500.15</f>
        <v>26500.15</v>
      </c>
      <c r="AA137" s="146">
        <f>26500.15</f>
        <v>26500.15</v>
      </c>
      <c r="AB137" s="146">
        <f>24000</f>
        <v>24000</v>
      </c>
      <c r="AC137" s="146">
        <f>24000</f>
        <v>24000</v>
      </c>
      <c r="AD137" s="146">
        <f>24000</f>
        <v>24000</v>
      </c>
      <c r="AE137" s="146">
        <f>23040</f>
        <v>23040</v>
      </c>
      <c r="AF137" s="146">
        <f>23040</f>
        <v>23040</v>
      </c>
      <c r="AG137" s="146">
        <f>23040</f>
        <v>23040</v>
      </c>
      <c r="AH137" s="146">
        <f>22350</f>
        <v>22350</v>
      </c>
      <c r="AI137" s="146">
        <f>22350</f>
        <v>22350</v>
      </c>
      <c r="AJ137" s="146">
        <f>22350</f>
        <v>22350</v>
      </c>
      <c r="AK137" s="146">
        <f>21679</f>
        <v>21679</v>
      </c>
      <c r="AL137" s="146">
        <f>21679</f>
        <v>21679</v>
      </c>
      <c r="AM137" s="146">
        <f>21679</f>
        <v>21679</v>
      </c>
      <c r="AN137" s="146">
        <f>21679</f>
        <v>21679</v>
      </c>
      <c r="AO137" s="146">
        <f>21679</f>
        <v>21679</v>
      </c>
      <c r="AP137" s="146">
        <f>21679</f>
        <v>21679</v>
      </c>
      <c r="AQ137" s="146">
        <f>23501</f>
        <v>23501</v>
      </c>
      <c r="AR137" s="146">
        <f>23501</f>
        <v>23501</v>
      </c>
      <c r="AS137" s="146">
        <f>23501</f>
        <v>23501</v>
      </c>
      <c r="AT137" s="184">
        <v>23501</v>
      </c>
      <c r="AU137" s="184">
        <v>23501</v>
      </c>
      <c r="AV137" s="184">
        <v>23501</v>
      </c>
      <c r="AW137" s="184">
        <v>23501</v>
      </c>
      <c r="AX137" s="184">
        <v>23501</v>
      </c>
      <c r="AY137" s="184">
        <v>23501</v>
      </c>
      <c r="AZ137" s="184">
        <v>23501</v>
      </c>
      <c r="BA137" s="184">
        <v>23501</v>
      </c>
      <c r="BB137" s="184">
        <v>23501</v>
      </c>
      <c r="BC137" s="184">
        <v>23501</v>
      </c>
      <c r="BD137" s="184">
        <v>23501</v>
      </c>
      <c r="BE137" s="184">
        <v>23501</v>
      </c>
      <c r="BF137" s="184">
        <v>23501</v>
      </c>
      <c r="BG137" s="184">
        <v>23501</v>
      </c>
      <c r="BH137" s="184">
        <v>23501</v>
      </c>
      <c r="BI137" s="184">
        <v>23501</v>
      </c>
      <c r="BJ137" s="184">
        <v>23501</v>
      </c>
      <c r="BK137" s="184">
        <v>23501</v>
      </c>
      <c r="BL137" s="184">
        <v>24864</v>
      </c>
      <c r="BM137" s="184">
        <v>24864</v>
      </c>
      <c r="BN137" s="184">
        <v>24864</v>
      </c>
      <c r="BO137" s="184">
        <v>25933</v>
      </c>
      <c r="BP137" s="184">
        <v>25933</v>
      </c>
      <c r="BQ137" s="184">
        <v>25933</v>
      </c>
      <c r="BR137" s="184"/>
      <c r="BS137" s="184"/>
      <c r="BT137" s="184"/>
      <c r="BU137" s="146" cm="1">
        <f t="array" ref="BU137">LOOKUP(2,1/(Y137:BT137&lt;&gt;""),Y137:BH137)</f>
        <v>25933</v>
      </c>
      <c r="BV137" s="145" cm="1">
        <f t="array" aca="1" ref="BV137" ca="1">_xlfn.LET(
    _xlpm.last_col_idx, LOOKUP(2, 1/(Y137:BT137&lt;&gt;""), COLUMN(Y137:BT137) - COLUMN(Y137) + 1),
    _xlpm.header_val, INDEX($Y$3:$BT$3, 1, _xlpm.last_col_idx),
    _xlpm.header_date, IF(ISNUMBER(_xlpm.header_val), _xlpm.header_val, DATEVALUE(_xlpm.header_val)),
    IF(_xlpm.header_date &gt; TODAY(), TODAY(), _xlpm.header_date)
)</f>
        <v>46212</v>
      </c>
      <c r="BW137" s="209" cm="1">
        <f t="array" ref="BW137">(LOOKUP(2,1/(BH137:BT137&lt;&gt;""),BH137:BT137))/(INDEX(BH137:BT137,MATCH(TRUE,INDEX((BH137:BT137&lt;&gt;0),0),0)))-1</f>
        <v>0.10348495808688996</v>
      </c>
      <c r="BX137" s="210">
        <f t="shared" si="32"/>
        <v>25.933</v>
      </c>
      <c r="BY137" s="210">
        <f t="shared" si="33"/>
        <v>25.933</v>
      </c>
      <c r="BZ137" s="210">
        <f>IF(L137="BR",'Impostos e Frete'!$F$6,IF(L137="EU",'Impostos e Frete'!$I$3,IF(L137="CN",'Impostos e Frete'!$I$4,IF(L137="JP",'Impostos e Frete'!$I$5,IF(L137="RU",'Impostos e Frete'!$I$7,"ERRO")))))</f>
        <v>0</v>
      </c>
      <c r="CA137" s="210">
        <f>VLOOKUP(L137,'Impostos e Frete'!$A$3:$B$7,2,0)*'Preços e Condições'!BY137</f>
        <v>0</v>
      </c>
      <c r="CB137" s="147">
        <f t="shared" si="34"/>
        <v>0</v>
      </c>
      <c r="CC137" s="147">
        <f>IF(X137="BRL",'Impostos e Frete'!$B$11,'Impostos e Frete'!$B$12)</f>
        <v>0.2</v>
      </c>
      <c r="CD137" s="211">
        <f t="shared" si="35"/>
        <v>26.132999999999999</v>
      </c>
      <c r="CE137" s="212">
        <f t="shared" si="36"/>
        <v>2.0906400000000001</v>
      </c>
      <c r="CF137" s="213">
        <f>VLOOKUP(L137,'Impostos e Frete'!$A$3:$C$7,3,0)</f>
        <v>45</v>
      </c>
      <c r="CG137" s="213">
        <f t="shared" si="37"/>
        <v>0</v>
      </c>
      <c r="CH137" s="213">
        <f t="shared" si="38"/>
        <v>-45</v>
      </c>
      <c r="CI137" s="214">
        <f t="shared" si="39"/>
        <v>0.59019199022218416</v>
      </c>
      <c r="CJ137" s="215">
        <f t="shared" si="40"/>
        <v>26.723191990222183</v>
      </c>
      <c r="CK137" s="216">
        <f t="shared" si="41"/>
        <v>2.1378553592177747</v>
      </c>
    </row>
    <row r="138" spans="1:89">
      <c r="A138" s="176">
        <v>16010</v>
      </c>
      <c r="B138" s="177">
        <v>664</v>
      </c>
      <c r="C138" s="190">
        <v>80</v>
      </c>
      <c r="D138" s="190"/>
      <c r="E138" s="178" t="s">
        <v>49</v>
      </c>
      <c r="F138" s="191" t="s">
        <v>1</v>
      </c>
      <c r="G138" s="192" t="s">
        <v>124</v>
      </c>
      <c r="H138" s="190" t="s">
        <v>63</v>
      </c>
      <c r="I138" s="178">
        <v>664</v>
      </c>
      <c r="J138" s="183"/>
      <c r="K138" s="190"/>
      <c r="L138" s="183" t="s">
        <v>58</v>
      </c>
      <c r="M138" s="183">
        <v>0</v>
      </c>
      <c r="N138" s="183"/>
      <c r="O138" s="183"/>
      <c r="P138" s="183">
        <v>3</v>
      </c>
      <c r="Q138" s="183" t="s">
        <v>27</v>
      </c>
      <c r="R138" s="183" t="s">
        <v>19</v>
      </c>
      <c r="S138" s="181">
        <v>0.12</v>
      </c>
      <c r="T138" s="181" t="s">
        <v>210</v>
      </c>
      <c r="U138" s="182">
        <v>9.2499999999999999E-2</v>
      </c>
      <c r="V138" s="182" t="s">
        <v>35</v>
      </c>
      <c r="W138" s="183">
        <v>10</v>
      </c>
      <c r="X138" s="182" t="s">
        <v>46</v>
      </c>
      <c r="Y138" s="146">
        <f>23999.75</f>
        <v>23999.75</v>
      </c>
      <c r="Z138" s="146">
        <f>23999.75</f>
        <v>23999.75</v>
      </c>
      <c r="AA138" s="146">
        <f>23999.75</f>
        <v>23999.75</v>
      </c>
      <c r="AB138" s="184"/>
      <c r="AC138" s="184"/>
      <c r="AD138" s="184"/>
      <c r="AE138" s="184"/>
      <c r="AF138" s="184"/>
      <c r="AG138" s="184"/>
      <c r="AH138" s="184"/>
      <c r="AI138" s="184"/>
      <c r="AJ138" s="184"/>
      <c r="AK138" s="184"/>
      <c r="AL138" s="184"/>
      <c r="AM138" s="184"/>
      <c r="AN138" s="184"/>
      <c r="AO138" s="184"/>
      <c r="AP138" s="184"/>
      <c r="AQ138" s="184"/>
      <c r="AR138" s="184"/>
      <c r="AS138" s="184"/>
      <c r="AT138" s="184"/>
      <c r="AU138" s="184"/>
      <c r="AV138" s="184"/>
      <c r="AW138" s="184"/>
      <c r="AX138" s="184"/>
      <c r="AY138" s="184"/>
      <c r="AZ138" s="184"/>
      <c r="BA138" s="184"/>
      <c r="BB138" s="184"/>
      <c r="BC138" s="184"/>
      <c r="BD138" s="184"/>
      <c r="BE138" s="184"/>
      <c r="BF138" s="184"/>
      <c r="BG138" s="184"/>
      <c r="BH138" s="184"/>
      <c r="BI138" s="184"/>
      <c r="BJ138" s="184"/>
      <c r="BK138" s="184"/>
      <c r="BL138" s="184"/>
      <c r="BM138" s="184"/>
      <c r="BN138" s="184"/>
      <c r="BO138" s="184"/>
      <c r="BP138" s="184"/>
      <c r="BQ138" s="184"/>
      <c r="BR138" s="184"/>
      <c r="BS138" s="184"/>
      <c r="BT138" s="184"/>
      <c r="BU138" s="146" cm="1">
        <f t="array" ref="BU138">LOOKUP(2,1/(Y138:BT138&lt;&gt;""),Y138:BH138)</f>
        <v>23999.75</v>
      </c>
      <c r="BV138" s="145" cm="1">
        <f t="array" aca="1" ref="BV138" ca="1">_xlfn.LET(
    _xlpm.last_col_idx, LOOKUP(2, 1/(Y138:BT138&lt;&gt;""), COLUMN(Y138:BT138) - COLUMN(Y138) + 1),
    _xlpm.header_val, INDEX($Y$3:$BT$3, 1, _xlpm.last_col_idx),
    _xlpm.header_date, IF(ISNUMBER(_xlpm.header_val), _xlpm.header_val, DATEVALUE(_xlpm.header_val)),
    IF(_xlpm.header_date &gt; TODAY(), TODAY(), _xlpm.header_date)
)</f>
        <v>44986</v>
      </c>
      <c r="BW138" s="209" t="e" cm="1">
        <f t="array" ref="BW138">(LOOKUP(2,1/(BH138:BT138&lt;&gt;""),BH138:BT138))/(INDEX(BH138:BT138,MATCH(TRUE,INDEX((BH138:BT138&lt;&gt;0),0),0)))-1</f>
        <v>#N/A</v>
      </c>
      <c r="BX138" s="210">
        <f t="shared" si="32"/>
        <v>23.999749999999999</v>
      </c>
      <c r="BY138" s="210">
        <f t="shared" si="33"/>
        <v>23.999749999999999</v>
      </c>
      <c r="BZ138" s="210">
        <f>IF(L138="BR",'Impostos e Frete'!$F$6,IF(L138="EU",'Impostos e Frete'!$I$3,IF(L138="CN",'Impostos e Frete'!$I$4,IF(L138="JP",'Impostos e Frete'!$I$5,IF(L138="RU",'Impostos e Frete'!$I$7,"ERRO")))))</f>
        <v>0</v>
      </c>
      <c r="CA138" s="210">
        <f>VLOOKUP(L138,'Impostos e Frete'!$A$3:$B$7,2,0)*'Preços e Condições'!BY138</f>
        <v>0</v>
      </c>
      <c r="CB138" s="147">
        <f t="shared" si="34"/>
        <v>0</v>
      </c>
      <c r="CC138" s="147">
        <f>IF(X138="BRL",'Impostos e Frete'!$B$11,'Impostos e Frete'!$B$12)</f>
        <v>0.2</v>
      </c>
      <c r="CD138" s="211">
        <f t="shared" si="35"/>
        <v>24.199749999999998</v>
      </c>
      <c r="CE138" s="212">
        <f t="shared" si="36"/>
        <v>1.9359799999999998</v>
      </c>
      <c r="CF138" s="213">
        <f>VLOOKUP(L138,'Impostos e Frete'!$A$3:$C$7,3,0)</f>
        <v>45</v>
      </c>
      <c r="CG138" s="213">
        <f t="shared" si="37"/>
        <v>0</v>
      </c>
      <c r="CH138" s="213">
        <f t="shared" si="38"/>
        <v>-45</v>
      </c>
      <c r="CI138" s="214">
        <f t="shared" si="39"/>
        <v>0.54653115277156417</v>
      </c>
      <c r="CJ138" s="215">
        <f t="shared" si="40"/>
        <v>24.746281152771562</v>
      </c>
      <c r="CK138" s="216">
        <f t="shared" si="41"/>
        <v>1.9797024922217248</v>
      </c>
    </row>
    <row r="139" spans="1:89">
      <c r="A139" s="176">
        <v>16031</v>
      </c>
      <c r="B139" s="177" t="s">
        <v>123</v>
      </c>
      <c r="C139" s="190">
        <v>60</v>
      </c>
      <c r="D139" s="178">
        <v>2065</v>
      </c>
      <c r="E139" s="178" t="s">
        <v>49</v>
      </c>
      <c r="F139" s="191" t="s">
        <v>1</v>
      </c>
      <c r="G139" s="192" t="s">
        <v>15</v>
      </c>
      <c r="H139" s="178" t="s">
        <v>61</v>
      </c>
      <c r="I139" s="178"/>
      <c r="J139" s="183"/>
      <c r="K139" s="193"/>
      <c r="L139" s="183" t="s">
        <v>58</v>
      </c>
      <c r="M139" s="183">
        <v>0</v>
      </c>
      <c r="N139" s="183"/>
      <c r="O139" s="183"/>
      <c r="P139" s="183">
        <v>3</v>
      </c>
      <c r="Q139" s="183" t="s">
        <v>27</v>
      </c>
      <c r="R139" s="183" t="s">
        <v>19</v>
      </c>
      <c r="S139" s="181">
        <v>0.12</v>
      </c>
      <c r="T139" s="181" t="s">
        <v>210</v>
      </c>
      <c r="U139" s="182">
        <v>9.2499999999999999E-2</v>
      </c>
      <c r="V139" s="182" t="s">
        <v>35</v>
      </c>
      <c r="W139" s="183">
        <v>40</v>
      </c>
      <c r="X139" s="182" t="s">
        <v>46</v>
      </c>
      <c r="Y139" s="146">
        <f>9465.01</f>
        <v>9465.01</v>
      </c>
      <c r="Z139" s="146">
        <f>9465.01</f>
        <v>9465.01</v>
      </c>
      <c r="AA139" s="146">
        <f>9465.01</f>
        <v>9465.01</v>
      </c>
      <c r="AB139" s="146">
        <f>9465</f>
        <v>9465</v>
      </c>
      <c r="AC139" s="146">
        <f>9465</f>
        <v>9465</v>
      </c>
      <c r="AD139" s="146">
        <f>9465</f>
        <v>9465</v>
      </c>
      <c r="AE139" s="146">
        <f>9465</f>
        <v>9465</v>
      </c>
      <c r="AF139" s="146">
        <f>9465</f>
        <v>9465</v>
      </c>
      <c r="AG139" s="146">
        <f>9465</f>
        <v>9465</v>
      </c>
      <c r="AH139" s="146">
        <f>9465</f>
        <v>9465</v>
      </c>
      <c r="AI139" s="146">
        <f>9465</f>
        <v>9465</v>
      </c>
      <c r="AJ139" s="146">
        <f>9465</f>
        <v>9465</v>
      </c>
      <c r="AK139" s="146">
        <f>9200</f>
        <v>9200</v>
      </c>
      <c r="AL139" s="146">
        <f>9200</f>
        <v>9200</v>
      </c>
      <c r="AM139" s="146">
        <f>9200</f>
        <v>9200</v>
      </c>
      <c r="AN139" s="146">
        <f>9200</f>
        <v>9200</v>
      </c>
      <c r="AO139" s="146">
        <f>9200</f>
        <v>9200</v>
      </c>
      <c r="AP139" s="146">
        <f>9200</f>
        <v>9200</v>
      </c>
      <c r="AQ139" s="146">
        <f>9973</f>
        <v>9973</v>
      </c>
      <c r="AR139" s="146">
        <f>9973</f>
        <v>9973</v>
      </c>
      <c r="AS139" s="146">
        <f>9973</f>
        <v>9973</v>
      </c>
      <c r="AT139" s="184">
        <v>10471</v>
      </c>
      <c r="AU139" s="184">
        <v>10471</v>
      </c>
      <c r="AV139" s="184">
        <v>10471</v>
      </c>
      <c r="AW139" s="184">
        <v>10471</v>
      </c>
      <c r="AX139" s="184">
        <v>10471</v>
      </c>
      <c r="AY139" s="184">
        <v>10471</v>
      </c>
      <c r="AZ139" s="184">
        <v>10471</v>
      </c>
      <c r="BA139" s="184">
        <v>10471</v>
      </c>
      <c r="BB139" s="184">
        <v>10471</v>
      </c>
      <c r="BC139" s="184">
        <v>10471</v>
      </c>
      <c r="BD139" s="184">
        <v>10471</v>
      </c>
      <c r="BE139" s="184">
        <v>10471</v>
      </c>
      <c r="BF139" s="184">
        <v>10471</v>
      </c>
      <c r="BG139" s="184">
        <v>10471</v>
      </c>
      <c r="BH139" s="184">
        <v>10471</v>
      </c>
      <c r="BI139" s="184">
        <v>10471</v>
      </c>
      <c r="BJ139" s="184">
        <v>10471</v>
      </c>
      <c r="BK139" s="184">
        <v>10471</v>
      </c>
      <c r="BL139" s="184">
        <v>11079</v>
      </c>
      <c r="BM139" s="184">
        <v>11079</v>
      </c>
      <c r="BN139" s="184">
        <v>11079</v>
      </c>
      <c r="BO139" s="184">
        <v>11555</v>
      </c>
      <c r="BP139" s="184">
        <v>11555</v>
      </c>
      <c r="BQ139" s="184">
        <v>11555</v>
      </c>
      <c r="BR139" s="184"/>
      <c r="BS139" s="184"/>
      <c r="BT139" s="184"/>
      <c r="BU139" s="146" cm="1">
        <f t="array" ref="BU139">LOOKUP(2,1/(Y139:BT139&lt;&gt;""),Y139:BH139)</f>
        <v>11555</v>
      </c>
      <c r="BV139" s="145" cm="1">
        <f t="array" aca="1" ref="BV139" ca="1">_xlfn.LET(
    _xlpm.last_col_idx, LOOKUP(2, 1/(Y139:BT139&lt;&gt;""), COLUMN(Y139:BT139) - COLUMN(Y139) + 1),
    _xlpm.header_val, INDEX($Y$3:$BT$3, 1, _xlpm.last_col_idx),
    _xlpm.header_date, IF(ISNUMBER(_xlpm.header_val), _xlpm.header_val, DATEVALUE(_xlpm.header_val)),
    IF(_xlpm.header_date &gt; TODAY(), TODAY(), _xlpm.header_date)
)</f>
        <v>46212</v>
      </c>
      <c r="BW139" s="209" cm="1">
        <f t="array" ref="BW139">(LOOKUP(2,1/(BH139:BT139&lt;&gt;""),BH139:BT139))/(INDEX(BH139:BT139,MATCH(TRUE,INDEX((BH139:BT139&lt;&gt;0),0),0)))-1</f>
        <v>0.10352401871836503</v>
      </c>
      <c r="BX139" s="210">
        <f t="shared" si="32"/>
        <v>11.555</v>
      </c>
      <c r="BY139" s="210">
        <f t="shared" si="33"/>
        <v>11.555</v>
      </c>
      <c r="BZ139" s="210">
        <f>IF(L139="BR",'Impostos e Frete'!$F$6,IF(L139="EU",'Impostos e Frete'!$I$3,IF(L139="CN",'Impostos e Frete'!$I$4,IF(L139="JP",'Impostos e Frete'!$I$5,IF(L139="RU",'Impostos e Frete'!$I$7,"ERRO")))))</f>
        <v>0</v>
      </c>
      <c r="CA139" s="210">
        <f>VLOOKUP(L139,'Impostos e Frete'!$A$3:$B$7,2,0)*'Preços e Condições'!BY139</f>
        <v>0</v>
      </c>
      <c r="CB139" s="147">
        <f t="shared" si="34"/>
        <v>0</v>
      </c>
      <c r="CC139" s="147">
        <f>IF(X139="BRL",'Impostos e Frete'!$B$11,'Impostos e Frete'!$B$12)</f>
        <v>0.2</v>
      </c>
      <c r="CD139" s="211">
        <f t="shared" si="35"/>
        <v>11.754999999999999</v>
      </c>
      <c r="CE139" s="212">
        <f t="shared" si="36"/>
        <v>0.70530000000000004</v>
      </c>
      <c r="CF139" s="213">
        <f>VLOOKUP(L139,'Impostos e Frete'!$A$3:$C$7,3,0)</f>
        <v>45</v>
      </c>
      <c r="CG139" s="213">
        <f t="shared" si="37"/>
        <v>0</v>
      </c>
      <c r="CH139" s="213">
        <f t="shared" si="38"/>
        <v>-45</v>
      </c>
      <c r="CI139" s="214">
        <f t="shared" si="39"/>
        <v>0.26547686239856816</v>
      </c>
      <c r="CJ139" s="215">
        <f t="shared" si="40"/>
        <v>12.020476862398567</v>
      </c>
      <c r="CK139" s="216">
        <f t="shared" si="41"/>
        <v>0.72122861174391406</v>
      </c>
    </row>
    <row r="140" spans="1:89">
      <c r="A140" s="176">
        <v>16056</v>
      </c>
      <c r="B140" s="177">
        <v>104</v>
      </c>
      <c r="C140" s="190">
        <v>80</v>
      </c>
      <c r="D140" s="183">
        <v>1860</v>
      </c>
      <c r="E140" s="178" t="s">
        <v>49</v>
      </c>
      <c r="F140" s="191" t="s">
        <v>1</v>
      </c>
      <c r="G140" s="192" t="s">
        <v>4</v>
      </c>
      <c r="H140" s="183" t="s">
        <v>43</v>
      </c>
      <c r="I140" s="178">
        <v>963</v>
      </c>
      <c r="J140" s="183"/>
      <c r="K140" s="183" t="s">
        <v>28</v>
      </c>
      <c r="L140" s="183" t="s">
        <v>58</v>
      </c>
      <c r="M140" s="183">
        <v>0</v>
      </c>
      <c r="N140" s="183"/>
      <c r="O140" s="183"/>
      <c r="P140" s="183">
        <v>3</v>
      </c>
      <c r="Q140" s="183" t="s">
        <v>27</v>
      </c>
      <c r="R140" s="183" t="s">
        <v>19</v>
      </c>
      <c r="S140" s="181">
        <v>0.12</v>
      </c>
      <c r="T140" s="181" t="s">
        <v>210</v>
      </c>
      <c r="U140" s="182">
        <v>9.2499999999999999E-2</v>
      </c>
      <c r="V140" s="182" t="s">
        <v>35</v>
      </c>
      <c r="W140" s="183">
        <v>40</v>
      </c>
      <c r="X140" s="182" t="s">
        <v>46</v>
      </c>
      <c r="Y140" s="146">
        <f>13500</f>
        <v>13500</v>
      </c>
      <c r="Z140" s="146">
        <f>13500</f>
        <v>13500</v>
      </c>
      <c r="AA140" s="146">
        <f>13500</f>
        <v>13500</v>
      </c>
      <c r="AB140" s="146">
        <f>13500</f>
        <v>13500</v>
      </c>
      <c r="AC140" s="146">
        <f>13500</f>
        <v>13500</v>
      </c>
      <c r="AD140" s="146">
        <f>13500</f>
        <v>13500</v>
      </c>
      <c r="AE140" s="146">
        <f>13000</f>
        <v>13000</v>
      </c>
      <c r="AF140" s="146">
        <f>13000</f>
        <v>13000</v>
      </c>
      <c r="AG140" s="146">
        <f>13000</f>
        <v>13000</v>
      </c>
      <c r="AH140" s="146">
        <f>12500</f>
        <v>12500</v>
      </c>
      <c r="AI140" s="146">
        <f>12500</f>
        <v>12500</v>
      </c>
      <c r="AJ140" s="146">
        <f>12500</f>
        <v>12500</v>
      </c>
      <c r="AK140" s="146">
        <f>11700</f>
        <v>11700</v>
      </c>
      <c r="AL140" s="146">
        <f>11700</f>
        <v>11700</v>
      </c>
      <c r="AM140" s="146">
        <f>11700</f>
        <v>11700</v>
      </c>
      <c r="AN140" s="146">
        <f>11700</f>
        <v>11700</v>
      </c>
      <c r="AO140" s="146">
        <f>11700</f>
        <v>11700</v>
      </c>
      <c r="AP140" s="146">
        <f>11700</f>
        <v>11700</v>
      </c>
      <c r="AQ140" s="146">
        <f>12683</f>
        <v>12683</v>
      </c>
      <c r="AR140" s="146">
        <f>12683</f>
        <v>12683</v>
      </c>
      <c r="AS140" s="146">
        <f>12683</f>
        <v>12683</v>
      </c>
      <c r="AT140" s="184">
        <v>13063</v>
      </c>
      <c r="AU140" s="184">
        <v>13634</v>
      </c>
      <c r="AV140" s="184">
        <v>13634</v>
      </c>
      <c r="AW140" s="184">
        <v>13634</v>
      </c>
      <c r="AX140" s="184">
        <v>13634</v>
      </c>
      <c r="AY140" s="184">
        <v>13634</v>
      </c>
      <c r="AZ140" s="184">
        <v>13634</v>
      </c>
      <c r="BA140" s="184">
        <v>13634</v>
      </c>
      <c r="BB140" s="184">
        <v>13634</v>
      </c>
      <c r="BC140" s="184">
        <v>13634</v>
      </c>
      <c r="BD140" s="184">
        <v>13634</v>
      </c>
      <c r="BE140" s="184">
        <v>13634</v>
      </c>
      <c r="BF140" s="184">
        <v>13634</v>
      </c>
      <c r="BG140" s="184">
        <v>13634</v>
      </c>
      <c r="BH140" s="184">
        <v>13634</v>
      </c>
      <c r="BI140" s="184">
        <v>13634</v>
      </c>
      <c r="BJ140" s="184">
        <v>13634</v>
      </c>
      <c r="BK140" s="184">
        <v>13634</v>
      </c>
      <c r="BL140" s="184">
        <v>14425</v>
      </c>
      <c r="BM140" s="184">
        <v>14425</v>
      </c>
      <c r="BN140" s="184">
        <v>14425</v>
      </c>
      <c r="BO140" s="184">
        <v>15045</v>
      </c>
      <c r="BP140" s="184">
        <v>15045</v>
      </c>
      <c r="BQ140" s="184">
        <v>15045</v>
      </c>
      <c r="BR140" s="184"/>
      <c r="BS140" s="184"/>
      <c r="BT140" s="184"/>
      <c r="BU140" s="146" cm="1">
        <f t="array" ref="BU140">LOOKUP(2,1/(Y140:BT140&lt;&gt;""),Y140:BH140)</f>
        <v>15045</v>
      </c>
      <c r="BV140" s="145" cm="1">
        <f t="array" aca="1" ref="BV140" ca="1">_xlfn.LET(
    _xlpm.last_col_idx, LOOKUP(2, 1/(Y140:BT140&lt;&gt;""), COLUMN(Y140:BT140) - COLUMN(Y140) + 1),
    _xlpm.header_val, INDEX($Y$3:$BT$3, 1, _xlpm.last_col_idx),
    _xlpm.header_date, IF(ISNUMBER(_xlpm.header_val), _xlpm.header_val, DATEVALUE(_xlpm.header_val)),
    IF(_xlpm.header_date &gt; TODAY(), TODAY(), _xlpm.header_date)
)</f>
        <v>46212</v>
      </c>
      <c r="BW140" s="209" cm="1">
        <f t="array" ref="BW140">(LOOKUP(2,1/(BH140:BT140&lt;&gt;""),BH140:BT140))/(INDEX(BH140:BT140,MATCH(TRUE,INDEX((BH140:BT140&lt;&gt;0),0),0)))-1</f>
        <v>0.10349127182044882</v>
      </c>
      <c r="BX140" s="210">
        <f t="shared" si="32"/>
        <v>15.045</v>
      </c>
      <c r="BY140" s="210">
        <f t="shared" si="33"/>
        <v>15.045</v>
      </c>
      <c r="BZ140" s="210">
        <f>IF(L140="BR",'Impostos e Frete'!$F$6,IF(L140="EU",'Impostos e Frete'!$I$3,IF(L140="CN",'Impostos e Frete'!$I$4,IF(L140="JP",'Impostos e Frete'!$I$5,IF(L140="RU",'Impostos e Frete'!$I$7,"ERRO")))))</f>
        <v>0</v>
      </c>
      <c r="CA140" s="210">
        <f>VLOOKUP(L140,'Impostos e Frete'!$A$3:$B$7,2,0)*'Preços e Condições'!BY140</f>
        <v>0</v>
      </c>
      <c r="CB140" s="147">
        <f t="shared" si="34"/>
        <v>0</v>
      </c>
      <c r="CC140" s="147">
        <f>IF(X140="BRL",'Impostos e Frete'!$B$11,'Impostos e Frete'!$B$12)</f>
        <v>0.2</v>
      </c>
      <c r="CD140" s="211">
        <f t="shared" si="35"/>
        <v>15.244999999999999</v>
      </c>
      <c r="CE140" s="212">
        <f t="shared" si="36"/>
        <v>1.2196</v>
      </c>
      <c r="CF140" s="213">
        <f>VLOOKUP(L140,'Impostos e Frete'!$A$3:$C$7,3,0)</f>
        <v>45</v>
      </c>
      <c r="CG140" s="213">
        <f t="shared" si="37"/>
        <v>0</v>
      </c>
      <c r="CH140" s="213">
        <f t="shared" si="38"/>
        <v>-45</v>
      </c>
      <c r="CI140" s="214">
        <f t="shared" si="39"/>
        <v>0.34429559908687146</v>
      </c>
      <c r="CJ140" s="215">
        <f t="shared" si="40"/>
        <v>15.589295599086871</v>
      </c>
      <c r="CK140" s="216">
        <f t="shared" si="41"/>
        <v>1.2471436479269495</v>
      </c>
    </row>
    <row r="141" spans="1:89">
      <c r="A141" s="176">
        <v>16059</v>
      </c>
      <c r="B141" s="177">
        <v>104</v>
      </c>
      <c r="C141" s="190">
        <v>80</v>
      </c>
      <c r="D141" s="183">
        <v>1845</v>
      </c>
      <c r="E141" s="178" t="s">
        <v>49</v>
      </c>
      <c r="F141" s="191" t="s">
        <v>1</v>
      </c>
      <c r="G141" s="192" t="s">
        <v>4</v>
      </c>
      <c r="H141" s="183" t="s">
        <v>43</v>
      </c>
      <c r="I141" s="178">
        <v>963</v>
      </c>
      <c r="J141" s="183"/>
      <c r="K141" s="183" t="s">
        <v>28</v>
      </c>
      <c r="L141" s="183" t="s">
        <v>58</v>
      </c>
      <c r="M141" s="183">
        <v>0</v>
      </c>
      <c r="N141" s="183"/>
      <c r="O141" s="183"/>
      <c r="P141" s="183">
        <v>3</v>
      </c>
      <c r="Q141" s="183" t="s">
        <v>27</v>
      </c>
      <c r="R141" s="183" t="s">
        <v>19</v>
      </c>
      <c r="S141" s="181">
        <v>0.12</v>
      </c>
      <c r="T141" s="181" t="s">
        <v>210</v>
      </c>
      <c r="U141" s="182">
        <v>9.2499999999999999E-2</v>
      </c>
      <c r="V141" s="182" t="s">
        <v>35</v>
      </c>
      <c r="W141" s="183">
        <v>40</v>
      </c>
      <c r="X141" s="182" t="s">
        <v>46</v>
      </c>
      <c r="Y141" s="146">
        <f>13500</f>
        <v>13500</v>
      </c>
      <c r="Z141" s="146">
        <f>13500</f>
        <v>13500</v>
      </c>
      <c r="AA141" s="146">
        <f>13500</f>
        <v>13500</v>
      </c>
      <c r="AB141" s="146">
        <f>13500</f>
        <v>13500</v>
      </c>
      <c r="AC141" s="146">
        <f>13500</f>
        <v>13500</v>
      </c>
      <c r="AD141" s="146">
        <f>13500</f>
        <v>13500</v>
      </c>
      <c r="AE141" s="146">
        <f>13000</f>
        <v>13000</v>
      </c>
      <c r="AF141" s="146">
        <f>13000</f>
        <v>13000</v>
      </c>
      <c r="AG141" s="146">
        <f>13000</f>
        <v>13000</v>
      </c>
      <c r="AH141" s="146">
        <f>12500</f>
        <v>12500</v>
      </c>
      <c r="AI141" s="146">
        <f>12500</f>
        <v>12500</v>
      </c>
      <c r="AJ141" s="146">
        <f>12500</f>
        <v>12500</v>
      </c>
      <c r="AK141" s="146">
        <f>11700</f>
        <v>11700</v>
      </c>
      <c r="AL141" s="146">
        <f>11700</f>
        <v>11700</v>
      </c>
      <c r="AM141" s="146">
        <f>11700</f>
        <v>11700</v>
      </c>
      <c r="AN141" s="146">
        <f>11700</f>
        <v>11700</v>
      </c>
      <c r="AO141" s="146">
        <f>11700</f>
        <v>11700</v>
      </c>
      <c r="AP141" s="146">
        <f>11700</f>
        <v>11700</v>
      </c>
      <c r="AQ141" s="146">
        <f>12683</f>
        <v>12683</v>
      </c>
      <c r="AR141" s="146">
        <f>12683</f>
        <v>12683</v>
      </c>
      <c r="AS141" s="146">
        <f>12683</f>
        <v>12683</v>
      </c>
      <c r="AT141" s="184">
        <v>13063</v>
      </c>
      <c r="AU141" s="184">
        <v>13634</v>
      </c>
      <c r="AV141" s="184">
        <v>13634</v>
      </c>
      <c r="AW141" s="184">
        <v>13634</v>
      </c>
      <c r="AX141" s="184">
        <v>13634</v>
      </c>
      <c r="AY141" s="184">
        <v>13634</v>
      </c>
      <c r="AZ141" s="184">
        <v>13634</v>
      </c>
      <c r="BA141" s="184">
        <v>13634</v>
      </c>
      <c r="BB141" s="184">
        <v>13634</v>
      </c>
      <c r="BC141" s="184">
        <v>13634</v>
      </c>
      <c r="BD141" s="184">
        <v>13634</v>
      </c>
      <c r="BE141" s="184">
        <v>13634</v>
      </c>
      <c r="BF141" s="184">
        <v>13634</v>
      </c>
      <c r="BG141" s="184">
        <v>13634</v>
      </c>
      <c r="BH141" s="184">
        <v>13634</v>
      </c>
      <c r="BI141" s="184">
        <v>13634</v>
      </c>
      <c r="BJ141" s="184">
        <v>13634</v>
      </c>
      <c r="BK141" s="184">
        <v>13634</v>
      </c>
      <c r="BL141" s="184">
        <v>14425</v>
      </c>
      <c r="BM141" s="184">
        <v>14425</v>
      </c>
      <c r="BN141" s="184">
        <v>14425</v>
      </c>
      <c r="BO141" s="184">
        <v>15045</v>
      </c>
      <c r="BP141" s="184">
        <v>15045</v>
      </c>
      <c r="BQ141" s="184">
        <v>15045</v>
      </c>
      <c r="BR141" s="184"/>
      <c r="BS141" s="184"/>
      <c r="BT141" s="184"/>
      <c r="BU141" s="146" cm="1">
        <f t="array" ref="BU141">LOOKUP(2,1/(Y141:BT141&lt;&gt;""),Y141:BH141)</f>
        <v>15045</v>
      </c>
      <c r="BV141" s="145" cm="1">
        <f t="array" aca="1" ref="BV141" ca="1">_xlfn.LET(
    _xlpm.last_col_idx, LOOKUP(2, 1/(Y141:BT141&lt;&gt;""), COLUMN(Y141:BT141) - COLUMN(Y141) + 1),
    _xlpm.header_val, INDEX($Y$3:$BT$3, 1, _xlpm.last_col_idx),
    _xlpm.header_date, IF(ISNUMBER(_xlpm.header_val), _xlpm.header_val, DATEVALUE(_xlpm.header_val)),
    IF(_xlpm.header_date &gt; TODAY(), TODAY(), _xlpm.header_date)
)</f>
        <v>46212</v>
      </c>
      <c r="BW141" s="209" cm="1">
        <f t="array" ref="BW141">(LOOKUP(2,1/(BH141:BT141&lt;&gt;""),BH141:BT141))/(INDEX(BH141:BT141,MATCH(TRUE,INDEX((BH141:BT141&lt;&gt;0),0),0)))-1</f>
        <v>0.10349127182044882</v>
      </c>
      <c r="BX141" s="210">
        <f t="shared" si="32"/>
        <v>15.045</v>
      </c>
      <c r="BY141" s="210">
        <f t="shared" si="33"/>
        <v>15.045</v>
      </c>
      <c r="BZ141" s="210">
        <f>IF(L141="BR",'Impostos e Frete'!$F$6,IF(L141="EU",'Impostos e Frete'!$I$3,IF(L141="CN",'Impostos e Frete'!$I$4,IF(L141="JP",'Impostos e Frete'!$I$5,IF(L141="RU",'Impostos e Frete'!$I$7,"ERRO")))))</f>
        <v>0</v>
      </c>
      <c r="CA141" s="210">
        <f>VLOOKUP(L141,'Impostos e Frete'!$A$3:$B$7,2,0)*'Preços e Condições'!BY141</f>
        <v>0</v>
      </c>
      <c r="CB141" s="147">
        <f t="shared" si="34"/>
        <v>0</v>
      </c>
      <c r="CC141" s="147">
        <f>IF(X141="BRL",'Impostos e Frete'!$B$11,'Impostos e Frete'!$B$12)</f>
        <v>0.2</v>
      </c>
      <c r="CD141" s="211">
        <f t="shared" si="35"/>
        <v>15.244999999999999</v>
      </c>
      <c r="CE141" s="212">
        <f t="shared" si="36"/>
        <v>1.2196</v>
      </c>
      <c r="CF141" s="213">
        <f>VLOOKUP(L141,'Impostos e Frete'!$A$3:$C$7,3,0)</f>
        <v>45</v>
      </c>
      <c r="CG141" s="213">
        <f t="shared" si="37"/>
        <v>0</v>
      </c>
      <c r="CH141" s="213">
        <f t="shared" si="38"/>
        <v>-45</v>
      </c>
      <c r="CI141" s="214">
        <f t="shared" si="39"/>
        <v>0.34429559908687146</v>
      </c>
      <c r="CJ141" s="215">
        <f t="shared" si="40"/>
        <v>15.589295599086871</v>
      </c>
      <c r="CK141" s="216">
        <f t="shared" si="41"/>
        <v>1.2471436479269495</v>
      </c>
    </row>
    <row r="142" spans="1:89">
      <c r="A142" s="176">
        <v>16064</v>
      </c>
      <c r="B142" s="177">
        <v>104</v>
      </c>
      <c r="C142" s="190">
        <v>70</v>
      </c>
      <c r="D142" s="190">
        <v>1870</v>
      </c>
      <c r="E142" s="178" t="s">
        <v>50</v>
      </c>
      <c r="F142" s="191" t="s">
        <v>1</v>
      </c>
      <c r="G142" s="192" t="s">
        <v>6</v>
      </c>
      <c r="H142" s="190" t="s">
        <v>43</v>
      </c>
      <c r="I142" s="178">
        <v>990</v>
      </c>
      <c r="J142" s="183"/>
      <c r="K142" s="190" t="s">
        <v>28</v>
      </c>
      <c r="L142" s="183" t="s">
        <v>58</v>
      </c>
      <c r="M142" s="183">
        <v>0</v>
      </c>
      <c r="N142" s="183"/>
      <c r="O142" s="183"/>
      <c r="P142" s="183">
        <v>3</v>
      </c>
      <c r="Q142" s="183" t="s">
        <v>27</v>
      </c>
      <c r="R142" s="183" t="s">
        <v>19</v>
      </c>
      <c r="S142" s="181">
        <v>0.12</v>
      </c>
      <c r="T142" s="181" t="s">
        <v>210</v>
      </c>
      <c r="U142" s="182">
        <v>9.2499999999999999E-2</v>
      </c>
      <c r="V142" s="182" t="s">
        <v>35</v>
      </c>
      <c r="W142" s="183">
        <v>70</v>
      </c>
      <c r="X142" s="182" t="s">
        <v>46</v>
      </c>
      <c r="Y142" s="146">
        <f>13500</f>
        <v>13500</v>
      </c>
      <c r="Z142" s="146">
        <f>13500</f>
        <v>13500</v>
      </c>
      <c r="AA142" s="146">
        <f>13500</f>
        <v>13500</v>
      </c>
      <c r="AB142" s="146">
        <f>13500</f>
        <v>13500</v>
      </c>
      <c r="AC142" s="146">
        <f>13500</f>
        <v>13500</v>
      </c>
      <c r="AD142" s="146">
        <f>13500</f>
        <v>13500</v>
      </c>
      <c r="AE142" s="146">
        <f>13000</f>
        <v>13000</v>
      </c>
      <c r="AF142" s="146">
        <f>13000</f>
        <v>13000</v>
      </c>
      <c r="AG142" s="146">
        <f>13000</f>
        <v>13000</v>
      </c>
      <c r="AH142" s="146">
        <f>12500</f>
        <v>12500</v>
      </c>
      <c r="AI142" s="146">
        <f>12500</f>
        <v>12500</v>
      </c>
      <c r="AJ142" s="146">
        <f>12500</f>
        <v>12500</v>
      </c>
      <c r="AK142" s="146">
        <f>11700</f>
        <v>11700</v>
      </c>
      <c r="AL142" s="146">
        <f>11700</f>
        <v>11700</v>
      </c>
      <c r="AM142" s="146">
        <f>11700</f>
        <v>11700</v>
      </c>
      <c r="AN142" s="146">
        <f>11700</f>
        <v>11700</v>
      </c>
      <c r="AO142" s="146">
        <f>11700</f>
        <v>11700</v>
      </c>
      <c r="AP142" s="146">
        <f>11700</f>
        <v>11700</v>
      </c>
      <c r="AQ142" s="146">
        <f>12683</f>
        <v>12683</v>
      </c>
      <c r="AR142" s="146">
        <f>12683</f>
        <v>12683</v>
      </c>
      <c r="AS142" s="146">
        <f>12683</f>
        <v>12683</v>
      </c>
      <c r="AT142" s="184">
        <v>13063</v>
      </c>
      <c r="AU142" s="184">
        <v>13634</v>
      </c>
      <c r="AV142" s="184">
        <v>13634</v>
      </c>
      <c r="AW142" s="184">
        <v>13634</v>
      </c>
      <c r="AX142" s="184">
        <v>13634</v>
      </c>
      <c r="AY142" s="184">
        <v>13634</v>
      </c>
      <c r="AZ142" s="184">
        <v>13634</v>
      </c>
      <c r="BA142" s="184">
        <v>13634</v>
      </c>
      <c r="BB142" s="184">
        <v>13634</v>
      </c>
      <c r="BC142" s="184">
        <v>13634</v>
      </c>
      <c r="BD142" s="184">
        <v>13634</v>
      </c>
      <c r="BE142" s="184">
        <v>13634</v>
      </c>
      <c r="BF142" s="184">
        <v>13634</v>
      </c>
      <c r="BG142" s="184">
        <v>13634</v>
      </c>
      <c r="BH142" s="184">
        <v>13634</v>
      </c>
      <c r="BI142" s="184">
        <v>13634</v>
      </c>
      <c r="BJ142" s="184">
        <v>13634</v>
      </c>
      <c r="BK142" s="184">
        <v>13634</v>
      </c>
      <c r="BL142" s="184">
        <v>14425</v>
      </c>
      <c r="BM142" s="184">
        <v>14425</v>
      </c>
      <c r="BN142" s="184">
        <v>14425</v>
      </c>
      <c r="BO142" s="184">
        <v>15045</v>
      </c>
      <c r="BP142" s="184">
        <v>15045</v>
      </c>
      <c r="BQ142" s="184">
        <v>15045</v>
      </c>
      <c r="BR142" s="184"/>
      <c r="BS142" s="184"/>
      <c r="BT142" s="184"/>
      <c r="BU142" s="146" cm="1">
        <f t="array" ref="BU142">LOOKUP(2,1/(Y142:BT142&lt;&gt;""),Y142:BH142)</f>
        <v>15045</v>
      </c>
      <c r="BV142" s="145" cm="1">
        <f t="array" aca="1" ref="BV142" ca="1">_xlfn.LET(
    _xlpm.last_col_idx, LOOKUP(2, 1/(Y142:BT142&lt;&gt;""), COLUMN(Y142:BT142) - COLUMN(Y142) + 1),
    _xlpm.header_val, INDEX($Y$3:$BT$3, 1, _xlpm.last_col_idx),
    _xlpm.header_date, IF(ISNUMBER(_xlpm.header_val), _xlpm.header_val, DATEVALUE(_xlpm.header_val)),
    IF(_xlpm.header_date &gt; TODAY(), TODAY(), _xlpm.header_date)
)</f>
        <v>46212</v>
      </c>
      <c r="BW142" s="209" cm="1">
        <f t="array" ref="BW142">(LOOKUP(2,1/(BH142:BT142&lt;&gt;""),BH142:BT142))/(INDEX(BH142:BT142,MATCH(TRUE,INDEX((BH142:BT142&lt;&gt;0),0),0)))-1</f>
        <v>0.10349127182044882</v>
      </c>
      <c r="BX142" s="210">
        <f t="shared" si="32"/>
        <v>15.045</v>
      </c>
      <c r="BY142" s="210">
        <f t="shared" si="33"/>
        <v>15.045</v>
      </c>
      <c r="BZ142" s="210">
        <f>IF(L142="BR",'Impostos e Frete'!$F$6,IF(L142="EU",'Impostos e Frete'!$I$3,IF(L142="CN",'Impostos e Frete'!$I$4,IF(L142="JP",'Impostos e Frete'!$I$5,IF(L142="RU",'Impostos e Frete'!$I$7,"ERRO")))))</f>
        <v>0</v>
      </c>
      <c r="CA142" s="210">
        <f>VLOOKUP(L142,'Impostos e Frete'!$A$3:$B$7,2,0)*'Preços e Condições'!BY142</f>
        <v>0</v>
      </c>
      <c r="CB142" s="147">
        <f t="shared" si="34"/>
        <v>0</v>
      </c>
      <c r="CC142" s="147">
        <f>IF(X142="BRL",'Impostos e Frete'!$B$11,'Impostos e Frete'!$B$12)</f>
        <v>0.2</v>
      </c>
      <c r="CD142" s="211">
        <f t="shared" si="35"/>
        <v>15.244999999999999</v>
      </c>
      <c r="CE142" s="212">
        <f t="shared" si="36"/>
        <v>1.06715</v>
      </c>
      <c r="CF142" s="213">
        <f>VLOOKUP(L142,'Impostos e Frete'!$A$3:$C$7,3,0)</f>
        <v>45</v>
      </c>
      <c r="CG142" s="213">
        <f t="shared" si="37"/>
        <v>0</v>
      </c>
      <c r="CH142" s="213">
        <f t="shared" si="38"/>
        <v>-45</v>
      </c>
      <c r="CI142" s="214">
        <f t="shared" si="39"/>
        <v>0.34429559908687146</v>
      </c>
      <c r="CJ142" s="215">
        <f t="shared" si="40"/>
        <v>15.589295599086871</v>
      </c>
      <c r="CK142" s="216">
        <f t="shared" si="41"/>
        <v>1.0912506919360809</v>
      </c>
    </row>
    <row r="143" spans="1:89">
      <c r="A143" s="176">
        <v>16064</v>
      </c>
      <c r="B143" s="177">
        <v>104</v>
      </c>
      <c r="C143" s="190">
        <v>70</v>
      </c>
      <c r="D143" s="190">
        <v>2120</v>
      </c>
      <c r="E143" s="178" t="s">
        <v>50</v>
      </c>
      <c r="F143" s="191" t="s">
        <v>1</v>
      </c>
      <c r="G143" s="192" t="s">
        <v>6</v>
      </c>
      <c r="H143" s="190" t="s">
        <v>43</v>
      </c>
      <c r="I143" s="178">
        <v>990</v>
      </c>
      <c r="J143" s="183"/>
      <c r="K143" s="190" t="s">
        <v>28</v>
      </c>
      <c r="L143" s="183" t="s">
        <v>58</v>
      </c>
      <c r="M143" s="183">
        <v>0</v>
      </c>
      <c r="N143" s="183"/>
      <c r="O143" s="183"/>
      <c r="P143" s="183">
        <v>3</v>
      </c>
      <c r="Q143" s="183" t="s">
        <v>27</v>
      </c>
      <c r="R143" s="183" t="s">
        <v>19</v>
      </c>
      <c r="S143" s="181">
        <v>0.12</v>
      </c>
      <c r="T143" s="181" t="s">
        <v>210</v>
      </c>
      <c r="U143" s="182">
        <v>9.2499999999999999E-2</v>
      </c>
      <c r="V143" s="182" t="s">
        <v>35</v>
      </c>
      <c r="W143" s="183">
        <v>70</v>
      </c>
      <c r="X143" s="182" t="s">
        <v>46</v>
      </c>
      <c r="Y143" s="146">
        <f>13500</f>
        <v>13500</v>
      </c>
      <c r="Z143" s="146">
        <f>13500</f>
        <v>13500</v>
      </c>
      <c r="AA143" s="146">
        <f>13500</f>
        <v>13500</v>
      </c>
      <c r="AB143" s="146">
        <f>13500</f>
        <v>13500</v>
      </c>
      <c r="AC143" s="146">
        <f>13500</f>
        <v>13500</v>
      </c>
      <c r="AD143" s="146">
        <f>13500</f>
        <v>13500</v>
      </c>
      <c r="AE143" s="146">
        <f>13000</f>
        <v>13000</v>
      </c>
      <c r="AF143" s="146">
        <f>13000</f>
        <v>13000</v>
      </c>
      <c r="AG143" s="146">
        <f>13000</f>
        <v>13000</v>
      </c>
      <c r="AH143" s="146">
        <f>12500</f>
        <v>12500</v>
      </c>
      <c r="AI143" s="146">
        <f>12500</f>
        <v>12500</v>
      </c>
      <c r="AJ143" s="146">
        <f>12500</f>
        <v>12500</v>
      </c>
      <c r="AK143" s="146">
        <f>11700</f>
        <v>11700</v>
      </c>
      <c r="AL143" s="146">
        <f>11700</f>
        <v>11700</v>
      </c>
      <c r="AM143" s="146">
        <f>11700</f>
        <v>11700</v>
      </c>
      <c r="AN143" s="146">
        <f>11700</f>
        <v>11700</v>
      </c>
      <c r="AO143" s="146">
        <f>11700</f>
        <v>11700</v>
      </c>
      <c r="AP143" s="146">
        <f>11700</f>
        <v>11700</v>
      </c>
      <c r="AQ143" s="146">
        <f>12683</f>
        <v>12683</v>
      </c>
      <c r="AR143" s="146">
        <f>12683</f>
        <v>12683</v>
      </c>
      <c r="AS143" s="146">
        <f>12683</f>
        <v>12683</v>
      </c>
      <c r="AT143" s="184">
        <v>13063</v>
      </c>
      <c r="AU143" s="184">
        <v>13634</v>
      </c>
      <c r="AV143" s="184">
        <v>13634</v>
      </c>
      <c r="AW143" s="184">
        <v>13634</v>
      </c>
      <c r="AX143" s="184">
        <v>13634</v>
      </c>
      <c r="AY143" s="184">
        <v>13634</v>
      </c>
      <c r="AZ143" s="184">
        <v>13634</v>
      </c>
      <c r="BA143" s="184">
        <v>13634</v>
      </c>
      <c r="BB143" s="184">
        <v>13634</v>
      </c>
      <c r="BC143" s="184">
        <v>13634</v>
      </c>
      <c r="BD143" s="184">
        <v>13634</v>
      </c>
      <c r="BE143" s="184">
        <v>13634</v>
      </c>
      <c r="BF143" s="184">
        <v>13634</v>
      </c>
      <c r="BG143" s="184">
        <v>13634</v>
      </c>
      <c r="BH143" s="184">
        <v>13634</v>
      </c>
      <c r="BI143" s="184">
        <v>13634</v>
      </c>
      <c r="BJ143" s="184">
        <v>13634</v>
      </c>
      <c r="BK143" s="184">
        <v>13634</v>
      </c>
      <c r="BL143" s="184">
        <v>14425</v>
      </c>
      <c r="BM143" s="184">
        <v>14425</v>
      </c>
      <c r="BN143" s="184">
        <v>14425</v>
      </c>
      <c r="BO143" s="184">
        <v>15045</v>
      </c>
      <c r="BP143" s="184">
        <v>15045</v>
      </c>
      <c r="BQ143" s="184">
        <v>15045</v>
      </c>
      <c r="BR143" s="184"/>
      <c r="BS143" s="184"/>
      <c r="BT143" s="184"/>
      <c r="BU143" s="146" cm="1">
        <f t="array" ref="BU143">LOOKUP(2,1/(Y143:BT143&lt;&gt;""),Y143:BH143)</f>
        <v>15045</v>
      </c>
      <c r="BV143" s="145" cm="1">
        <f t="array" aca="1" ref="BV143" ca="1">_xlfn.LET(
    _xlpm.last_col_idx, LOOKUP(2, 1/(Y143:BT143&lt;&gt;""), COLUMN(Y143:BT143) - COLUMN(Y143) + 1),
    _xlpm.header_val, INDEX($Y$3:$BT$3, 1, _xlpm.last_col_idx),
    _xlpm.header_date, IF(ISNUMBER(_xlpm.header_val), _xlpm.header_val, DATEVALUE(_xlpm.header_val)),
    IF(_xlpm.header_date &gt; TODAY(), TODAY(), _xlpm.header_date)
)</f>
        <v>46212</v>
      </c>
      <c r="BW143" s="209" cm="1">
        <f t="array" ref="BW143">(LOOKUP(2,1/(BH143:BT143&lt;&gt;""),BH143:BT143))/(INDEX(BH143:BT143,MATCH(TRUE,INDEX((BH143:BT143&lt;&gt;0),0),0)))-1</f>
        <v>0.10349127182044882</v>
      </c>
      <c r="BX143" s="210">
        <f t="shared" si="32"/>
        <v>15.045</v>
      </c>
      <c r="BY143" s="210">
        <f t="shared" si="33"/>
        <v>15.045</v>
      </c>
      <c r="BZ143" s="210">
        <f>IF(L143="BR",'Impostos e Frete'!$F$6,IF(L143="EU",'Impostos e Frete'!$I$3,IF(L143="CN",'Impostos e Frete'!$I$4,IF(L143="JP",'Impostos e Frete'!$I$5,IF(L143="RU",'Impostos e Frete'!$I$7,"ERRO")))))</f>
        <v>0</v>
      </c>
      <c r="CA143" s="210">
        <f>VLOOKUP(L143,'Impostos e Frete'!$A$3:$B$7,2,0)*'Preços e Condições'!BY143</f>
        <v>0</v>
      </c>
      <c r="CB143" s="147">
        <f t="shared" si="34"/>
        <v>0</v>
      </c>
      <c r="CC143" s="147">
        <f>IF(X143="BRL",'Impostos e Frete'!$B$11,'Impostos e Frete'!$B$12)</f>
        <v>0.2</v>
      </c>
      <c r="CD143" s="211">
        <f t="shared" si="35"/>
        <v>15.244999999999999</v>
      </c>
      <c r="CE143" s="212">
        <f t="shared" si="36"/>
        <v>1.06715</v>
      </c>
      <c r="CF143" s="213">
        <f>VLOOKUP(L143,'Impostos e Frete'!$A$3:$C$7,3,0)</f>
        <v>45</v>
      </c>
      <c r="CG143" s="213">
        <f t="shared" si="37"/>
        <v>0</v>
      </c>
      <c r="CH143" s="213">
        <f t="shared" si="38"/>
        <v>-45</v>
      </c>
      <c r="CI143" s="214">
        <f t="shared" si="39"/>
        <v>0.34429559908687146</v>
      </c>
      <c r="CJ143" s="215">
        <f t="shared" si="40"/>
        <v>15.589295599086871</v>
      </c>
      <c r="CK143" s="216">
        <f t="shared" si="41"/>
        <v>1.0912506919360809</v>
      </c>
    </row>
    <row r="144" spans="1:89">
      <c r="A144" s="176">
        <v>16065</v>
      </c>
      <c r="B144" s="177">
        <v>104</v>
      </c>
      <c r="C144" s="190">
        <v>70</v>
      </c>
      <c r="D144" s="190">
        <v>2175</v>
      </c>
      <c r="E144" s="178" t="s">
        <v>50</v>
      </c>
      <c r="F144" s="191" t="s">
        <v>1</v>
      </c>
      <c r="G144" s="192" t="s">
        <v>6</v>
      </c>
      <c r="H144" s="190" t="s">
        <v>43</v>
      </c>
      <c r="I144" s="178">
        <v>990</v>
      </c>
      <c r="J144" s="183"/>
      <c r="K144" s="190" t="s">
        <v>28</v>
      </c>
      <c r="L144" s="183" t="s">
        <v>58</v>
      </c>
      <c r="M144" s="183">
        <v>0</v>
      </c>
      <c r="N144" s="183"/>
      <c r="O144" s="183"/>
      <c r="P144" s="183">
        <v>3</v>
      </c>
      <c r="Q144" s="183" t="s">
        <v>27</v>
      </c>
      <c r="R144" s="183" t="s">
        <v>19</v>
      </c>
      <c r="S144" s="181">
        <v>0.12</v>
      </c>
      <c r="T144" s="181" t="s">
        <v>210</v>
      </c>
      <c r="U144" s="182">
        <v>9.2499999999999999E-2</v>
      </c>
      <c r="V144" s="182" t="s">
        <v>35</v>
      </c>
      <c r="W144" s="183">
        <v>70</v>
      </c>
      <c r="X144" s="182" t="s">
        <v>46</v>
      </c>
      <c r="Y144" s="146">
        <f>13500</f>
        <v>13500</v>
      </c>
      <c r="Z144" s="146">
        <f>13500</f>
        <v>13500</v>
      </c>
      <c r="AA144" s="146">
        <f>13500</f>
        <v>13500</v>
      </c>
      <c r="AB144" s="146">
        <f>13500</f>
        <v>13500</v>
      </c>
      <c r="AC144" s="146">
        <f>13500</f>
        <v>13500</v>
      </c>
      <c r="AD144" s="146">
        <f>13500</f>
        <v>13500</v>
      </c>
      <c r="AE144" s="146">
        <f>13000</f>
        <v>13000</v>
      </c>
      <c r="AF144" s="146">
        <f>13000</f>
        <v>13000</v>
      </c>
      <c r="AG144" s="146">
        <f>13000</f>
        <v>13000</v>
      </c>
      <c r="AH144" s="146">
        <f>12500</f>
        <v>12500</v>
      </c>
      <c r="AI144" s="146">
        <f>12500</f>
        <v>12500</v>
      </c>
      <c r="AJ144" s="146">
        <f>12500</f>
        <v>12500</v>
      </c>
      <c r="AK144" s="146">
        <f>11700</f>
        <v>11700</v>
      </c>
      <c r="AL144" s="146">
        <f>11700</f>
        <v>11700</v>
      </c>
      <c r="AM144" s="146">
        <f>11700</f>
        <v>11700</v>
      </c>
      <c r="AN144" s="146">
        <f>11700</f>
        <v>11700</v>
      </c>
      <c r="AO144" s="146">
        <f>11700</f>
        <v>11700</v>
      </c>
      <c r="AP144" s="146">
        <f>11700</f>
        <v>11700</v>
      </c>
      <c r="AQ144" s="146">
        <f>12683</f>
        <v>12683</v>
      </c>
      <c r="AR144" s="146">
        <f>12683</f>
        <v>12683</v>
      </c>
      <c r="AS144" s="146">
        <f>12683</f>
        <v>12683</v>
      </c>
      <c r="AT144" s="184">
        <v>13063</v>
      </c>
      <c r="AU144" s="184">
        <v>13634</v>
      </c>
      <c r="AV144" s="184">
        <v>13634</v>
      </c>
      <c r="AW144" s="184">
        <v>13634</v>
      </c>
      <c r="AX144" s="184">
        <v>13634</v>
      </c>
      <c r="AY144" s="184">
        <v>13634</v>
      </c>
      <c r="AZ144" s="184">
        <v>13634</v>
      </c>
      <c r="BA144" s="184">
        <v>13634</v>
      </c>
      <c r="BB144" s="184">
        <v>13634</v>
      </c>
      <c r="BC144" s="184">
        <v>13634</v>
      </c>
      <c r="BD144" s="184">
        <v>13634</v>
      </c>
      <c r="BE144" s="184">
        <v>13634</v>
      </c>
      <c r="BF144" s="184">
        <v>13634</v>
      </c>
      <c r="BG144" s="184">
        <v>13634</v>
      </c>
      <c r="BH144" s="184">
        <v>13634</v>
      </c>
      <c r="BI144" s="184">
        <v>13634</v>
      </c>
      <c r="BJ144" s="184">
        <v>13634</v>
      </c>
      <c r="BK144" s="184">
        <v>13634</v>
      </c>
      <c r="BL144" s="184">
        <v>14425</v>
      </c>
      <c r="BM144" s="184">
        <v>14425</v>
      </c>
      <c r="BN144" s="184">
        <v>14425</v>
      </c>
      <c r="BO144" s="184">
        <v>15045</v>
      </c>
      <c r="BP144" s="184">
        <v>15045</v>
      </c>
      <c r="BQ144" s="184">
        <v>15045</v>
      </c>
      <c r="BR144" s="184"/>
      <c r="BS144" s="184"/>
      <c r="BT144" s="184"/>
      <c r="BU144" s="146" cm="1">
        <f t="array" ref="BU144">LOOKUP(2,1/(Y144:BT144&lt;&gt;""),Y144:BH144)</f>
        <v>15045</v>
      </c>
      <c r="BV144" s="145" cm="1">
        <f t="array" aca="1" ref="BV144" ca="1">_xlfn.LET(
    _xlpm.last_col_idx, LOOKUP(2, 1/(Y144:BT144&lt;&gt;""), COLUMN(Y144:BT144) - COLUMN(Y144) + 1),
    _xlpm.header_val, INDEX($Y$3:$BT$3, 1, _xlpm.last_col_idx),
    _xlpm.header_date, IF(ISNUMBER(_xlpm.header_val), _xlpm.header_val, DATEVALUE(_xlpm.header_val)),
    IF(_xlpm.header_date &gt; TODAY(), TODAY(), _xlpm.header_date)
)</f>
        <v>46212</v>
      </c>
      <c r="BW144" s="209" cm="1">
        <f t="array" ref="BW144">(LOOKUP(2,1/(BH144:BT144&lt;&gt;""),BH144:BT144))/(INDEX(BH144:BT144,MATCH(TRUE,INDEX((BH144:BT144&lt;&gt;0),0),0)))-1</f>
        <v>0.10349127182044882</v>
      </c>
      <c r="BX144" s="210">
        <f t="shared" si="32"/>
        <v>15.045</v>
      </c>
      <c r="BY144" s="210">
        <f t="shared" si="33"/>
        <v>15.045</v>
      </c>
      <c r="BZ144" s="210">
        <f>IF(L144="BR",'Impostos e Frete'!$F$6,IF(L144="EU",'Impostos e Frete'!$I$3,IF(L144="CN",'Impostos e Frete'!$I$4,IF(L144="JP",'Impostos e Frete'!$I$5,IF(L144="RU",'Impostos e Frete'!$I$7,"ERRO")))))</f>
        <v>0</v>
      </c>
      <c r="CA144" s="210">
        <f>VLOOKUP(L144,'Impostos e Frete'!$A$3:$B$7,2,0)*'Preços e Condições'!BY144</f>
        <v>0</v>
      </c>
      <c r="CB144" s="147">
        <f t="shared" si="34"/>
        <v>0</v>
      </c>
      <c r="CC144" s="147">
        <f>IF(X144="BRL",'Impostos e Frete'!$B$11,'Impostos e Frete'!$B$12)</f>
        <v>0.2</v>
      </c>
      <c r="CD144" s="211">
        <f t="shared" si="35"/>
        <v>15.244999999999999</v>
      </c>
      <c r="CE144" s="212">
        <f t="shared" si="36"/>
        <v>1.06715</v>
      </c>
      <c r="CF144" s="213">
        <f>VLOOKUP(L144,'Impostos e Frete'!$A$3:$C$7,3,0)</f>
        <v>45</v>
      </c>
      <c r="CG144" s="213">
        <f t="shared" si="37"/>
        <v>0</v>
      </c>
      <c r="CH144" s="213">
        <f t="shared" si="38"/>
        <v>-45</v>
      </c>
      <c r="CI144" s="214">
        <f t="shared" si="39"/>
        <v>0.34429559908687146</v>
      </c>
      <c r="CJ144" s="215">
        <f t="shared" si="40"/>
        <v>15.589295599086871</v>
      </c>
      <c r="CK144" s="216">
        <f t="shared" si="41"/>
        <v>1.0912506919360809</v>
      </c>
    </row>
    <row r="145" spans="1:89">
      <c r="A145" s="176">
        <v>16066</v>
      </c>
      <c r="B145" s="177">
        <v>104</v>
      </c>
      <c r="C145" s="190">
        <v>70</v>
      </c>
      <c r="D145" s="190">
        <v>1870</v>
      </c>
      <c r="E145" s="178" t="s">
        <v>50</v>
      </c>
      <c r="F145" s="191" t="s">
        <v>1</v>
      </c>
      <c r="G145" s="192" t="s">
        <v>6</v>
      </c>
      <c r="H145" s="190" t="s">
        <v>43</v>
      </c>
      <c r="I145" s="178">
        <v>990</v>
      </c>
      <c r="J145" s="183"/>
      <c r="K145" s="190" t="s">
        <v>28</v>
      </c>
      <c r="L145" s="183" t="s">
        <v>58</v>
      </c>
      <c r="M145" s="183">
        <v>0</v>
      </c>
      <c r="N145" s="183"/>
      <c r="O145" s="183"/>
      <c r="P145" s="183">
        <v>3</v>
      </c>
      <c r="Q145" s="183" t="s">
        <v>27</v>
      </c>
      <c r="R145" s="183" t="s">
        <v>19</v>
      </c>
      <c r="S145" s="181">
        <v>0.12</v>
      </c>
      <c r="T145" s="181" t="s">
        <v>210</v>
      </c>
      <c r="U145" s="182">
        <v>9.2499999999999999E-2</v>
      </c>
      <c r="V145" s="182" t="s">
        <v>35</v>
      </c>
      <c r="W145" s="183">
        <v>70</v>
      </c>
      <c r="X145" s="182" t="s">
        <v>46</v>
      </c>
      <c r="Y145" s="146">
        <f>13500</f>
        <v>13500</v>
      </c>
      <c r="Z145" s="146">
        <f>13500</f>
        <v>13500</v>
      </c>
      <c r="AA145" s="146">
        <f>13500</f>
        <v>13500</v>
      </c>
      <c r="AB145" s="146">
        <f>13500</f>
        <v>13500</v>
      </c>
      <c r="AC145" s="146">
        <f>13500</f>
        <v>13500</v>
      </c>
      <c r="AD145" s="146">
        <f>13500</f>
        <v>13500</v>
      </c>
      <c r="AE145" s="146">
        <f>13000</f>
        <v>13000</v>
      </c>
      <c r="AF145" s="146">
        <f>13000</f>
        <v>13000</v>
      </c>
      <c r="AG145" s="146">
        <f>13000</f>
        <v>13000</v>
      </c>
      <c r="AH145" s="146">
        <f>12500</f>
        <v>12500</v>
      </c>
      <c r="AI145" s="146">
        <f>12500</f>
        <v>12500</v>
      </c>
      <c r="AJ145" s="146">
        <f>12500</f>
        <v>12500</v>
      </c>
      <c r="AK145" s="146">
        <f>11700</f>
        <v>11700</v>
      </c>
      <c r="AL145" s="146">
        <f>11700</f>
        <v>11700</v>
      </c>
      <c r="AM145" s="146">
        <f>11700</f>
        <v>11700</v>
      </c>
      <c r="AN145" s="146">
        <f>11700</f>
        <v>11700</v>
      </c>
      <c r="AO145" s="146">
        <f>11700</f>
        <v>11700</v>
      </c>
      <c r="AP145" s="146">
        <f>11700</f>
        <v>11700</v>
      </c>
      <c r="AQ145" s="146">
        <f>12683</f>
        <v>12683</v>
      </c>
      <c r="AR145" s="146">
        <f>12683</f>
        <v>12683</v>
      </c>
      <c r="AS145" s="146">
        <f>12683</f>
        <v>12683</v>
      </c>
      <c r="AT145" s="184">
        <v>13063</v>
      </c>
      <c r="AU145" s="184">
        <v>13634</v>
      </c>
      <c r="AV145" s="184">
        <v>13634</v>
      </c>
      <c r="AW145" s="184">
        <v>13634</v>
      </c>
      <c r="AX145" s="184">
        <v>13634</v>
      </c>
      <c r="AY145" s="184">
        <v>13634</v>
      </c>
      <c r="AZ145" s="184">
        <v>13634</v>
      </c>
      <c r="BA145" s="184">
        <v>13634</v>
      </c>
      <c r="BB145" s="184">
        <v>13634</v>
      </c>
      <c r="BC145" s="184">
        <v>13634</v>
      </c>
      <c r="BD145" s="184">
        <v>13634</v>
      </c>
      <c r="BE145" s="184">
        <v>13634</v>
      </c>
      <c r="BF145" s="184">
        <v>13634</v>
      </c>
      <c r="BG145" s="184">
        <v>13634</v>
      </c>
      <c r="BH145" s="184">
        <v>13634</v>
      </c>
      <c r="BI145" s="184">
        <v>13634</v>
      </c>
      <c r="BJ145" s="184">
        <v>13634</v>
      </c>
      <c r="BK145" s="184">
        <v>13634</v>
      </c>
      <c r="BL145" s="184">
        <v>14425</v>
      </c>
      <c r="BM145" s="184">
        <v>14425</v>
      </c>
      <c r="BN145" s="184">
        <v>14425</v>
      </c>
      <c r="BO145" s="184">
        <v>15045</v>
      </c>
      <c r="BP145" s="184">
        <v>15045</v>
      </c>
      <c r="BQ145" s="184">
        <v>15045</v>
      </c>
      <c r="BR145" s="184"/>
      <c r="BS145" s="184"/>
      <c r="BT145" s="184"/>
      <c r="BU145" s="146" cm="1">
        <f t="array" ref="BU145">LOOKUP(2,1/(Y145:BT145&lt;&gt;""),Y145:BH145)</f>
        <v>15045</v>
      </c>
      <c r="BV145" s="145" cm="1">
        <f t="array" aca="1" ref="BV145" ca="1">_xlfn.LET(
    _xlpm.last_col_idx, LOOKUP(2, 1/(Y145:BT145&lt;&gt;""), COLUMN(Y145:BT145) - COLUMN(Y145) + 1),
    _xlpm.header_val, INDEX($Y$3:$BT$3, 1, _xlpm.last_col_idx),
    _xlpm.header_date, IF(ISNUMBER(_xlpm.header_val), _xlpm.header_val, DATEVALUE(_xlpm.header_val)),
    IF(_xlpm.header_date &gt; TODAY(), TODAY(), _xlpm.header_date)
)</f>
        <v>46212</v>
      </c>
      <c r="BW145" s="209" cm="1">
        <f t="array" ref="BW145">(LOOKUP(2,1/(BH145:BT145&lt;&gt;""),BH145:BT145))/(INDEX(BH145:BT145,MATCH(TRUE,INDEX((BH145:BT145&lt;&gt;0),0),0)))-1</f>
        <v>0.10349127182044882</v>
      </c>
      <c r="BX145" s="210">
        <f t="shared" si="32"/>
        <v>15.045</v>
      </c>
      <c r="BY145" s="210">
        <f t="shared" si="33"/>
        <v>15.045</v>
      </c>
      <c r="BZ145" s="210">
        <f>IF(L145="BR",'Impostos e Frete'!$F$6,IF(L145="EU",'Impostos e Frete'!$I$3,IF(L145="CN",'Impostos e Frete'!$I$4,IF(L145="JP",'Impostos e Frete'!$I$5,IF(L145="RU",'Impostos e Frete'!$I$7,"ERRO")))))</f>
        <v>0</v>
      </c>
      <c r="CA145" s="210">
        <f>VLOOKUP(L145,'Impostos e Frete'!$A$3:$B$7,2,0)*'Preços e Condições'!BY145</f>
        <v>0</v>
      </c>
      <c r="CB145" s="147">
        <f t="shared" si="34"/>
        <v>0</v>
      </c>
      <c r="CC145" s="147">
        <f>IF(X145="BRL",'Impostos e Frete'!$B$11,'Impostos e Frete'!$B$12)</f>
        <v>0.2</v>
      </c>
      <c r="CD145" s="211">
        <f t="shared" si="35"/>
        <v>15.244999999999999</v>
      </c>
      <c r="CE145" s="212">
        <f t="shared" si="36"/>
        <v>1.06715</v>
      </c>
      <c r="CF145" s="213">
        <f>VLOOKUP(L145,'Impostos e Frete'!$A$3:$C$7,3,0)</f>
        <v>45</v>
      </c>
      <c r="CG145" s="213">
        <f t="shared" si="37"/>
        <v>0</v>
      </c>
      <c r="CH145" s="213">
        <f t="shared" si="38"/>
        <v>-45</v>
      </c>
      <c r="CI145" s="214">
        <f t="shared" si="39"/>
        <v>0.34429559908687146</v>
      </c>
      <c r="CJ145" s="215">
        <f t="shared" si="40"/>
        <v>15.589295599086871</v>
      </c>
      <c r="CK145" s="216">
        <f t="shared" si="41"/>
        <v>1.0912506919360809</v>
      </c>
    </row>
    <row r="146" spans="1:89">
      <c r="A146" s="176">
        <v>16068</v>
      </c>
      <c r="B146" s="177">
        <v>104</v>
      </c>
      <c r="C146" s="190">
        <v>80</v>
      </c>
      <c r="D146" s="183">
        <v>1860</v>
      </c>
      <c r="E146" s="178" t="s">
        <v>49</v>
      </c>
      <c r="F146" s="191" t="s">
        <v>1</v>
      </c>
      <c r="G146" s="192" t="s">
        <v>4</v>
      </c>
      <c r="H146" s="183" t="s">
        <v>43</v>
      </c>
      <c r="I146" s="178">
        <v>963</v>
      </c>
      <c r="J146" s="183"/>
      <c r="K146" s="183" t="s">
        <v>28</v>
      </c>
      <c r="L146" s="183" t="s">
        <v>58</v>
      </c>
      <c r="M146" s="183">
        <v>0</v>
      </c>
      <c r="N146" s="183"/>
      <c r="O146" s="183"/>
      <c r="P146" s="183">
        <v>3</v>
      </c>
      <c r="Q146" s="183" t="s">
        <v>27</v>
      </c>
      <c r="R146" s="183" t="s">
        <v>19</v>
      </c>
      <c r="S146" s="181">
        <v>0.12</v>
      </c>
      <c r="T146" s="181" t="s">
        <v>210</v>
      </c>
      <c r="U146" s="182">
        <v>9.2499999999999999E-2</v>
      </c>
      <c r="V146" s="182" t="s">
        <v>35</v>
      </c>
      <c r="W146" s="183">
        <v>40</v>
      </c>
      <c r="X146" s="182" t="s">
        <v>46</v>
      </c>
      <c r="Y146" s="146">
        <f>13500</f>
        <v>13500</v>
      </c>
      <c r="Z146" s="146">
        <f>13500</f>
        <v>13500</v>
      </c>
      <c r="AA146" s="146">
        <f>13500</f>
        <v>13500</v>
      </c>
      <c r="AB146" s="146">
        <f>13500</f>
        <v>13500</v>
      </c>
      <c r="AC146" s="146">
        <f>13500</f>
        <v>13500</v>
      </c>
      <c r="AD146" s="146">
        <f>13500</f>
        <v>13500</v>
      </c>
      <c r="AE146" s="146">
        <f>13000</f>
        <v>13000</v>
      </c>
      <c r="AF146" s="146">
        <f>13000</f>
        <v>13000</v>
      </c>
      <c r="AG146" s="146">
        <f>13000</f>
        <v>13000</v>
      </c>
      <c r="AH146" s="146">
        <f>12500</f>
        <v>12500</v>
      </c>
      <c r="AI146" s="146">
        <f>12500</f>
        <v>12500</v>
      </c>
      <c r="AJ146" s="146">
        <f>12500</f>
        <v>12500</v>
      </c>
      <c r="AK146" s="146">
        <f>11700</f>
        <v>11700</v>
      </c>
      <c r="AL146" s="146">
        <f>11700</f>
        <v>11700</v>
      </c>
      <c r="AM146" s="146">
        <f>11700</f>
        <v>11700</v>
      </c>
      <c r="AN146" s="146">
        <f>11700</f>
        <v>11700</v>
      </c>
      <c r="AO146" s="146">
        <f>11700</f>
        <v>11700</v>
      </c>
      <c r="AP146" s="146">
        <f>11700</f>
        <v>11700</v>
      </c>
      <c r="AQ146" s="146">
        <f>12683</f>
        <v>12683</v>
      </c>
      <c r="AR146" s="146">
        <f>12683</f>
        <v>12683</v>
      </c>
      <c r="AS146" s="146">
        <f>12683</f>
        <v>12683</v>
      </c>
      <c r="AT146" s="184">
        <v>13063</v>
      </c>
      <c r="AU146" s="184">
        <v>13634</v>
      </c>
      <c r="AV146" s="184">
        <v>13634</v>
      </c>
      <c r="AW146" s="184">
        <v>13634</v>
      </c>
      <c r="AX146" s="184">
        <v>13634</v>
      </c>
      <c r="AY146" s="184">
        <v>13634</v>
      </c>
      <c r="AZ146" s="184">
        <v>13634</v>
      </c>
      <c r="BA146" s="184">
        <v>13634</v>
      </c>
      <c r="BB146" s="184">
        <v>13634</v>
      </c>
      <c r="BC146" s="184">
        <v>13634</v>
      </c>
      <c r="BD146" s="184">
        <v>13634</v>
      </c>
      <c r="BE146" s="184">
        <v>13634</v>
      </c>
      <c r="BF146" s="184">
        <v>13634</v>
      </c>
      <c r="BG146" s="184">
        <v>13634</v>
      </c>
      <c r="BH146" s="184">
        <v>13634</v>
      </c>
      <c r="BI146" s="184">
        <v>13634</v>
      </c>
      <c r="BJ146" s="184">
        <v>13634</v>
      </c>
      <c r="BK146" s="184">
        <v>13634</v>
      </c>
      <c r="BL146" s="184">
        <v>14425</v>
      </c>
      <c r="BM146" s="184">
        <v>14425</v>
      </c>
      <c r="BN146" s="184">
        <v>14425</v>
      </c>
      <c r="BO146" s="184">
        <v>15045</v>
      </c>
      <c r="BP146" s="184">
        <v>15045</v>
      </c>
      <c r="BQ146" s="184">
        <v>15045</v>
      </c>
      <c r="BR146" s="184"/>
      <c r="BS146" s="184"/>
      <c r="BT146" s="184"/>
      <c r="BU146" s="146" cm="1">
        <f t="array" ref="BU146">LOOKUP(2,1/(Y146:BT146&lt;&gt;""),Y146:BH146)</f>
        <v>15045</v>
      </c>
      <c r="BV146" s="145" cm="1">
        <f t="array" aca="1" ref="BV146" ca="1">_xlfn.LET(
    _xlpm.last_col_idx, LOOKUP(2, 1/(Y146:BT146&lt;&gt;""), COLUMN(Y146:BT146) - COLUMN(Y146) + 1),
    _xlpm.header_val, INDEX($Y$3:$BT$3, 1, _xlpm.last_col_idx),
    _xlpm.header_date, IF(ISNUMBER(_xlpm.header_val), _xlpm.header_val, DATEVALUE(_xlpm.header_val)),
    IF(_xlpm.header_date &gt; TODAY(), TODAY(), _xlpm.header_date)
)</f>
        <v>46212</v>
      </c>
      <c r="BW146" s="209" cm="1">
        <f t="array" ref="BW146">(LOOKUP(2,1/(BH146:BT146&lt;&gt;""),BH146:BT146))/(INDEX(BH146:BT146,MATCH(TRUE,INDEX((BH146:BT146&lt;&gt;0),0),0)))-1</f>
        <v>0.10349127182044882</v>
      </c>
      <c r="BX146" s="210">
        <f t="shared" si="32"/>
        <v>15.045</v>
      </c>
      <c r="BY146" s="210">
        <f t="shared" si="33"/>
        <v>15.045</v>
      </c>
      <c r="BZ146" s="210">
        <f>IF(L146="BR",'Impostos e Frete'!$F$6,IF(L146="EU",'Impostos e Frete'!$I$3,IF(L146="CN",'Impostos e Frete'!$I$4,IF(L146="JP",'Impostos e Frete'!$I$5,IF(L146="RU",'Impostos e Frete'!$I$7,"ERRO")))))</f>
        <v>0</v>
      </c>
      <c r="CA146" s="210">
        <f>VLOOKUP(L146,'Impostos e Frete'!$A$3:$B$7,2,0)*'Preços e Condições'!BY146</f>
        <v>0</v>
      </c>
      <c r="CB146" s="147">
        <f t="shared" si="34"/>
        <v>0</v>
      </c>
      <c r="CC146" s="147">
        <f>IF(X146="BRL",'Impostos e Frete'!$B$11,'Impostos e Frete'!$B$12)</f>
        <v>0.2</v>
      </c>
      <c r="CD146" s="211">
        <f t="shared" si="35"/>
        <v>15.244999999999999</v>
      </c>
      <c r="CE146" s="212">
        <f t="shared" si="36"/>
        <v>1.2196</v>
      </c>
      <c r="CF146" s="213">
        <f>VLOOKUP(L146,'Impostos e Frete'!$A$3:$C$7,3,0)</f>
        <v>45</v>
      </c>
      <c r="CG146" s="213">
        <f t="shared" si="37"/>
        <v>0</v>
      </c>
      <c r="CH146" s="213">
        <f t="shared" si="38"/>
        <v>-45</v>
      </c>
      <c r="CI146" s="214">
        <f t="shared" si="39"/>
        <v>0.34429559908687146</v>
      </c>
      <c r="CJ146" s="215">
        <f t="shared" si="40"/>
        <v>15.589295599086871</v>
      </c>
      <c r="CK146" s="216">
        <f t="shared" si="41"/>
        <v>1.2471436479269495</v>
      </c>
    </row>
    <row r="147" spans="1:89">
      <c r="A147" s="176">
        <v>17002</v>
      </c>
      <c r="B147" s="177">
        <v>104</v>
      </c>
      <c r="C147" s="178">
        <v>70</v>
      </c>
      <c r="D147" s="178">
        <v>1870</v>
      </c>
      <c r="E147" s="178" t="s">
        <v>50</v>
      </c>
      <c r="F147" s="179" t="s">
        <v>47</v>
      </c>
      <c r="G147" s="185" t="s">
        <v>93</v>
      </c>
      <c r="H147" s="178" t="s">
        <v>43</v>
      </c>
      <c r="I147" s="178">
        <v>6412</v>
      </c>
      <c r="J147" s="178"/>
      <c r="K147" s="178"/>
      <c r="L147" s="178" t="s">
        <v>59</v>
      </c>
      <c r="M147" s="178">
        <v>120</v>
      </c>
      <c r="N147" s="178">
        <v>300</v>
      </c>
      <c r="O147" s="178"/>
      <c r="P147" s="178"/>
      <c r="Q147" s="178"/>
      <c r="R147" s="178" t="s">
        <v>19</v>
      </c>
      <c r="S147" s="181"/>
      <c r="T147" s="181"/>
      <c r="U147" s="182"/>
      <c r="V147" s="182" t="s">
        <v>35</v>
      </c>
      <c r="W147" s="183">
        <v>50</v>
      </c>
      <c r="X147" s="182" t="s">
        <v>51</v>
      </c>
      <c r="Y147" s="184">
        <v>3010</v>
      </c>
      <c r="Z147" s="184">
        <v>3010</v>
      </c>
      <c r="AA147" s="184">
        <v>3010</v>
      </c>
      <c r="AB147" s="184">
        <v>3010</v>
      </c>
      <c r="AC147" s="184">
        <v>3010</v>
      </c>
      <c r="AD147" s="184">
        <v>3010</v>
      </c>
      <c r="AE147" s="184">
        <v>2350</v>
      </c>
      <c r="AF147" s="184">
        <v>2350</v>
      </c>
      <c r="AG147" s="184">
        <v>2350</v>
      </c>
      <c r="AH147" s="184">
        <v>2200</v>
      </c>
      <c r="AI147" s="184">
        <v>2200</v>
      </c>
      <c r="AJ147" s="184">
        <v>2200</v>
      </c>
      <c r="AK147" s="184">
        <v>2260</v>
      </c>
      <c r="AL147" s="184">
        <v>2260</v>
      </c>
      <c r="AM147" s="184">
        <v>2260</v>
      </c>
      <c r="AN147" s="184">
        <v>2390</v>
      </c>
      <c r="AO147" s="184">
        <v>2390</v>
      </c>
      <c r="AP147" s="184">
        <v>2390</v>
      </c>
      <c r="AQ147" s="184">
        <v>2540</v>
      </c>
      <c r="AR147" s="184">
        <v>2540</v>
      </c>
      <c r="AS147" s="184">
        <v>2540</v>
      </c>
      <c r="AT147" s="184">
        <v>2540</v>
      </c>
      <c r="AU147" s="184">
        <v>2540</v>
      </c>
      <c r="AV147" s="184">
        <v>2540</v>
      </c>
      <c r="AW147" s="184">
        <v>2460</v>
      </c>
      <c r="AX147" s="184">
        <v>2460</v>
      </c>
      <c r="AY147" s="184">
        <v>2460</v>
      </c>
      <c r="AZ147" s="184">
        <v>2220</v>
      </c>
      <c r="BA147" s="184">
        <v>2220</v>
      </c>
      <c r="BB147" s="184">
        <v>2350</v>
      </c>
      <c r="BC147" s="184">
        <v>2350</v>
      </c>
      <c r="BD147" s="184">
        <v>2350</v>
      </c>
      <c r="BE147" s="184">
        <v>2350</v>
      </c>
      <c r="BF147" s="184">
        <v>2250</v>
      </c>
      <c r="BG147" s="184">
        <v>2250</v>
      </c>
      <c r="BH147" s="184">
        <v>2250</v>
      </c>
      <c r="BI147" s="184">
        <v>2280</v>
      </c>
      <c r="BJ147" s="184">
        <v>2280</v>
      </c>
      <c r="BK147" s="184">
        <v>2280</v>
      </c>
      <c r="BL147" s="184">
        <v>2380</v>
      </c>
      <c r="BM147" s="184">
        <v>2380</v>
      </c>
      <c r="BN147" s="184">
        <v>2380</v>
      </c>
      <c r="BO147" s="184">
        <v>2460</v>
      </c>
      <c r="BP147" s="184">
        <v>2460</v>
      </c>
      <c r="BQ147" s="184">
        <v>2460</v>
      </c>
      <c r="BR147" s="184"/>
      <c r="BS147" s="184"/>
      <c r="BT147" s="184"/>
      <c r="BU147" s="146" cm="1">
        <f t="array" ref="BU147">LOOKUP(2,1/(Y147:BT147&lt;&gt;""),Y147:BH147)</f>
        <v>2460</v>
      </c>
      <c r="BV147" s="145" cm="1">
        <f t="array" aca="1" ref="BV147" ca="1">_xlfn.LET(
    _xlpm.last_col_idx, LOOKUP(2, 1/(Y147:BT147&lt;&gt;""), COLUMN(Y147:BT147) - COLUMN(Y147) + 1),
    _xlpm.header_val, INDEX($Y$3:$BT$3, 1, _xlpm.last_col_idx),
    _xlpm.header_date, IF(ISNUMBER(_xlpm.header_val), _xlpm.header_val, DATEVALUE(_xlpm.header_val)),
    IF(_xlpm.header_date &gt; TODAY(), TODAY(), _xlpm.header_date)
)</f>
        <v>46212</v>
      </c>
      <c r="BW147" s="209" cm="1">
        <f t="array" ref="BW147">(LOOKUP(2,1/(BH147:BT147&lt;&gt;""),BH147:BT147))/(INDEX(BH147:BT147,MATCH(TRUE,INDEX((BH147:BT147&lt;&gt;0),0),0)))-1</f>
        <v>9.3333333333333268E-2</v>
      </c>
      <c r="BX147" s="210">
        <f t="shared" si="32"/>
        <v>2.46</v>
      </c>
      <c r="BY147" s="210">
        <f t="shared" si="33"/>
        <v>14.514000000000001</v>
      </c>
      <c r="BZ147" s="210">
        <f ca="1">IF(L147="BR",'Impostos e Frete'!$F$6,IF(L147="EU",'Impostos e Frete'!$I$3,IF(L147="CN",'Impostos e Frete'!$I$4,IF(L147="JP",'Impostos e Frete'!$I$5,IF(L147="RU",'Impostos e Frete'!$I$7,"ERRO")))))</f>
        <v>0.1410816</v>
      </c>
      <c r="CA147" s="210">
        <f>VLOOKUP(L147,'Impostos e Frete'!$A$3:$B$7,2,0)*'Preços e Condições'!BY147</f>
        <v>1.8868200000000002</v>
      </c>
      <c r="CB147" s="147">
        <f t="shared" si="34"/>
        <v>0</v>
      </c>
      <c r="CC147" s="147">
        <f>IF(X147="BRL",'Impostos e Frete'!$B$11,'Impostos e Frete'!$B$12)</f>
        <v>9.1999999999999998E-2</v>
      </c>
      <c r="CD147" s="211">
        <f t="shared" ca="1" si="35"/>
        <v>16.633901600000002</v>
      </c>
      <c r="CE147" s="212">
        <f t="shared" ca="1" si="36"/>
        <v>1.164373112</v>
      </c>
      <c r="CF147" s="213">
        <f>VLOOKUP(L147,'Impostos e Frete'!$A$3:$C$7,3,0)</f>
        <v>105</v>
      </c>
      <c r="CG147" s="213">
        <f t="shared" si="37"/>
        <v>120</v>
      </c>
      <c r="CH147" s="213">
        <f t="shared" si="38"/>
        <v>15</v>
      </c>
      <c r="CI147" s="214">
        <f t="shared" ca="1" si="39"/>
        <v>-0.12336809292760975</v>
      </c>
      <c r="CJ147" s="215">
        <f t="shared" ca="1" si="40"/>
        <v>16.510533507072392</v>
      </c>
      <c r="CK147" s="216">
        <f t="shared" ca="1" si="41"/>
        <v>1.1557373454950675</v>
      </c>
    </row>
    <row r="148" spans="1:89">
      <c r="A148" s="176">
        <v>17002</v>
      </c>
      <c r="B148" s="177">
        <v>104</v>
      </c>
      <c r="C148" s="178">
        <v>70</v>
      </c>
      <c r="D148" s="178">
        <v>1870</v>
      </c>
      <c r="E148" s="178" t="s">
        <v>50</v>
      </c>
      <c r="F148" s="179" t="s">
        <v>47</v>
      </c>
      <c r="G148" s="185" t="s">
        <v>93</v>
      </c>
      <c r="H148" s="178" t="s">
        <v>43</v>
      </c>
      <c r="I148" s="178">
        <v>6412</v>
      </c>
      <c r="J148" s="178"/>
      <c r="K148" s="178"/>
      <c r="L148" s="178" t="s">
        <v>59</v>
      </c>
      <c r="M148" s="178">
        <v>120</v>
      </c>
      <c r="N148" s="178">
        <v>300</v>
      </c>
      <c r="O148" s="178"/>
      <c r="P148" s="178"/>
      <c r="Q148" s="178"/>
      <c r="R148" s="178" t="s">
        <v>19</v>
      </c>
      <c r="S148" s="181"/>
      <c r="T148" s="181"/>
      <c r="U148" s="182"/>
      <c r="V148" s="182" t="s">
        <v>35</v>
      </c>
      <c r="W148" s="183">
        <v>30</v>
      </c>
      <c r="X148" s="182" t="s">
        <v>51</v>
      </c>
      <c r="Y148" s="184">
        <v>3060</v>
      </c>
      <c r="Z148" s="184">
        <v>3060</v>
      </c>
      <c r="AA148" s="184">
        <v>3060</v>
      </c>
      <c r="AB148" s="184">
        <v>3060</v>
      </c>
      <c r="AC148" s="184">
        <v>3060</v>
      </c>
      <c r="AD148" s="184">
        <v>3060</v>
      </c>
      <c r="AE148" s="184">
        <v>2400</v>
      </c>
      <c r="AF148" s="184">
        <v>2400</v>
      </c>
      <c r="AG148" s="184">
        <v>2400</v>
      </c>
      <c r="AH148" s="184">
        <v>2250</v>
      </c>
      <c r="AI148" s="184">
        <v>2250</v>
      </c>
      <c r="AJ148" s="184">
        <v>2250</v>
      </c>
      <c r="AK148" s="146">
        <f>AK147+50</f>
        <v>2310</v>
      </c>
      <c r="AL148" s="146">
        <f>AL147+50</f>
        <v>2310</v>
      </c>
      <c r="AM148" s="146">
        <f>AM147+50</f>
        <v>2310</v>
      </c>
      <c r="AN148" s="184">
        <v>2440</v>
      </c>
      <c r="AO148" s="184">
        <v>2440</v>
      </c>
      <c r="AP148" s="184">
        <v>2440</v>
      </c>
      <c r="AQ148" s="184">
        <v>2590</v>
      </c>
      <c r="AR148" s="184">
        <v>2590</v>
      </c>
      <c r="AS148" s="184">
        <v>2590</v>
      </c>
      <c r="AT148" s="184">
        <v>2590</v>
      </c>
      <c r="AU148" s="184">
        <v>2590</v>
      </c>
      <c r="AV148" s="184">
        <v>2590</v>
      </c>
      <c r="AW148" s="184">
        <v>2510</v>
      </c>
      <c r="AX148" s="184">
        <v>2510</v>
      </c>
      <c r="AY148" s="184">
        <v>2510</v>
      </c>
      <c r="AZ148" s="184">
        <v>2270</v>
      </c>
      <c r="BA148" s="184">
        <v>2270</v>
      </c>
      <c r="BB148" s="184">
        <v>2400</v>
      </c>
      <c r="BC148" s="184">
        <v>2400</v>
      </c>
      <c r="BD148" s="184">
        <v>2400</v>
      </c>
      <c r="BE148" s="184">
        <v>2400</v>
      </c>
      <c r="BF148" s="184">
        <v>2300</v>
      </c>
      <c r="BG148" s="184">
        <v>2300</v>
      </c>
      <c r="BH148" s="184">
        <v>2300</v>
      </c>
      <c r="BI148" s="184">
        <v>2330</v>
      </c>
      <c r="BJ148" s="184">
        <v>2330</v>
      </c>
      <c r="BK148" s="184">
        <v>2330</v>
      </c>
      <c r="BL148" s="184">
        <v>2430</v>
      </c>
      <c r="BM148" s="184">
        <v>2430</v>
      </c>
      <c r="BN148" s="184">
        <v>2430</v>
      </c>
      <c r="BO148" s="184">
        <v>2510</v>
      </c>
      <c r="BP148" s="184">
        <v>2510</v>
      </c>
      <c r="BQ148" s="184">
        <v>2510</v>
      </c>
      <c r="BR148" s="184"/>
      <c r="BS148" s="184"/>
      <c r="BT148" s="184"/>
      <c r="BU148" s="146" cm="1">
        <f t="array" ref="BU148">LOOKUP(2,1/(Y148:BT148&lt;&gt;""),Y148:BH148)</f>
        <v>2510</v>
      </c>
      <c r="BV148" s="145" cm="1">
        <f t="array" aca="1" ref="BV148" ca="1">_xlfn.LET(
    _xlpm.last_col_idx, LOOKUP(2, 1/(Y148:BT148&lt;&gt;""), COLUMN(Y148:BT148) - COLUMN(Y148) + 1),
    _xlpm.header_val, INDEX($Y$3:$BT$3, 1, _xlpm.last_col_idx),
    _xlpm.header_date, IF(ISNUMBER(_xlpm.header_val), _xlpm.header_val, DATEVALUE(_xlpm.header_val)),
    IF(_xlpm.header_date &gt; TODAY(), TODAY(), _xlpm.header_date)
)</f>
        <v>46212</v>
      </c>
      <c r="BW148" s="209" cm="1">
        <f t="array" ref="BW148">(LOOKUP(2,1/(BH148:BT148&lt;&gt;""),BH148:BT148))/(INDEX(BH148:BT148,MATCH(TRUE,INDEX((BH148:BT148&lt;&gt;0),0),0)))-1</f>
        <v>9.1304347826086873E-2</v>
      </c>
      <c r="BX148" s="210">
        <f t="shared" si="32"/>
        <v>2.5099999999999998</v>
      </c>
      <c r="BY148" s="210">
        <f t="shared" si="33"/>
        <v>14.808999999999999</v>
      </c>
      <c r="BZ148" s="210">
        <f ca="1">IF(L148="BR",'Impostos e Frete'!$F$6,IF(L148="EU",'Impostos e Frete'!$I$3,IF(L148="CN",'Impostos e Frete'!$I$4,IF(L148="JP",'Impostos e Frete'!$I$5,IF(L148="RU",'Impostos e Frete'!$I$7,"ERRO")))))</f>
        <v>0.1410816</v>
      </c>
      <c r="CA148" s="210">
        <f>VLOOKUP(L148,'Impostos e Frete'!$A$3:$B$7,2,0)*'Preços e Condições'!BY148</f>
        <v>1.92517</v>
      </c>
      <c r="CB148" s="147">
        <f t="shared" si="34"/>
        <v>0</v>
      </c>
      <c r="CC148" s="147">
        <f>IF(X148="BRL",'Impostos e Frete'!$B$11,'Impostos e Frete'!$B$12)</f>
        <v>9.1999999999999998E-2</v>
      </c>
      <c r="CD148" s="211">
        <f t="shared" ca="1" si="35"/>
        <v>16.967251599999997</v>
      </c>
      <c r="CE148" s="212">
        <f t="shared" ca="1" si="36"/>
        <v>1.1877076119999999</v>
      </c>
      <c r="CF148" s="213">
        <f>VLOOKUP(L148,'Impostos e Frete'!$A$3:$C$7,3,0)</f>
        <v>105</v>
      </c>
      <c r="CG148" s="213">
        <f t="shared" si="37"/>
        <v>120</v>
      </c>
      <c r="CH148" s="213">
        <f t="shared" si="38"/>
        <v>15</v>
      </c>
      <c r="CI148" s="214">
        <f t="shared" ca="1" si="39"/>
        <v>-0.12584043854840132</v>
      </c>
      <c r="CJ148" s="215">
        <f t="shared" ca="1" si="40"/>
        <v>16.841411161451596</v>
      </c>
      <c r="CK148" s="216">
        <f t="shared" ca="1" si="41"/>
        <v>1.1788987813016116</v>
      </c>
    </row>
    <row r="149" spans="1:89">
      <c r="A149" s="176">
        <v>17002</v>
      </c>
      <c r="B149" s="177">
        <v>104</v>
      </c>
      <c r="C149" s="178">
        <v>70</v>
      </c>
      <c r="D149" s="178">
        <v>1870</v>
      </c>
      <c r="E149" s="178" t="s">
        <v>50</v>
      </c>
      <c r="F149" s="179" t="s">
        <v>47</v>
      </c>
      <c r="G149" s="185" t="s">
        <v>93</v>
      </c>
      <c r="H149" s="178" t="s">
        <v>43</v>
      </c>
      <c r="I149" s="178">
        <v>6412</v>
      </c>
      <c r="J149" s="178"/>
      <c r="K149" s="178"/>
      <c r="L149" s="178" t="s">
        <v>59</v>
      </c>
      <c r="M149" s="178">
        <v>120</v>
      </c>
      <c r="N149" s="178">
        <v>300</v>
      </c>
      <c r="O149" s="178"/>
      <c r="P149" s="178"/>
      <c r="Q149" s="178"/>
      <c r="R149" s="178" t="s">
        <v>19</v>
      </c>
      <c r="S149" s="181"/>
      <c r="T149" s="181"/>
      <c r="U149" s="182"/>
      <c r="V149" s="182" t="s">
        <v>35</v>
      </c>
      <c r="W149" s="183">
        <v>20</v>
      </c>
      <c r="X149" s="182" t="s">
        <v>51</v>
      </c>
      <c r="Y149" s="184">
        <v>3110</v>
      </c>
      <c r="Z149" s="184">
        <v>3110</v>
      </c>
      <c r="AA149" s="184">
        <v>3110</v>
      </c>
      <c r="AB149" s="184">
        <v>3110</v>
      </c>
      <c r="AC149" s="184">
        <v>3110</v>
      </c>
      <c r="AD149" s="184">
        <v>3110</v>
      </c>
      <c r="AE149" s="184">
        <v>2450</v>
      </c>
      <c r="AF149" s="184">
        <v>2450</v>
      </c>
      <c r="AG149" s="184">
        <v>2450</v>
      </c>
      <c r="AH149" s="184">
        <v>2300</v>
      </c>
      <c r="AI149" s="184">
        <v>2300</v>
      </c>
      <c r="AJ149" s="184">
        <v>2300</v>
      </c>
      <c r="AK149" s="146">
        <f>AK147+100</f>
        <v>2360</v>
      </c>
      <c r="AL149" s="146">
        <f>AL147+100</f>
        <v>2360</v>
      </c>
      <c r="AM149" s="146">
        <f>AM147+100</f>
        <v>2360</v>
      </c>
      <c r="AN149" s="184">
        <v>2490</v>
      </c>
      <c r="AO149" s="184">
        <v>2490</v>
      </c>
      <c r="AP149" s="184">
        <v>2490</v>
      </c>
      <c r="AQ149" s="184">
        <v>2640</v>
      </c>
      <c r="AR149" s="184">
        <v>2640</v>
      </c>
      <c r="AS149" s="184">
        <v>2640</v>
      </c>
      <c r="AT149" s="184">
        <v>2640</v>
      </c>
      <c r="AU149" s="184">
        <v>2640</v>
      </c>
      <c r="AV149" s="184">
        <v>2640</v>
      </c>
      <c r="AW149" s="184">
        <v>2560</v>
      </c>
      <c r="AX149" s="184">
        <v>2560</v>
      </c>
      <c r="AY149" s="184">
        <v>2560</v>
      </c>
      <c r="AZ149" s="184">
        <v>2320</v>
      </c>
      <c r="BA149" s="184">
        <v>2320</v>
      </c>
      <c r="BB149" s="184">
        <v>2450</v>
      </c>
      <c r="BC149" s="184">
        <v>2450</v>
      </c>
      <c r="BD149" s="184">
        <v>2450</v>
      </c>
      <c r="BE149" s="184">
        <v>2450</v>
      </c>
      <c r="BF149" s="184">
        <v>2350</v>
      </c>
      <c r="BG149" s="184">
        <v>2350</v>
      </c>
      <c r="BH149" s="184">
        <v>2350</v>
      </c>
      <c r="BI149" s="184">
        <v>2380</v>
      </c>
      <c r="BJ149" s="184">
        <v>2380</v>
      </c>
      <c r="BK149" s="184">
        <v>2380</v>
      </c>
      <c r="BL149" s="184">
        <v>2480</v>
      </c>
      <c r="BM149" s="184">
        <v>2480</v>
      </c>
      <c r="BN149" s="184">
        <v>2480</v>
      </c>
      <c r="BO149" s="184">
        <v>2560</v>
      </c>
      <c r="BP149" s="184">
        <v>2560</v>
      </c>
      <c r="BQ149" s="184">
        <v>2560</v>
      </c>
      <c r="BR149" s="184"/>
      <c r="BS149" s="184"/>
      <c r="BT149" s="184"/>
      <c r="BU149" s="146" cm="1">
        <f t="array" ref="BU149">LOOKUP(2,1/(Y149:BT149&lt;&gt;""),Y149:BH149)</f>
        <v>2560</v>
      </c>
      <c r="BV149" s="145" cm="1">
        <f t="array" aca="1" ref="BV149" ca="1">_xlfn.LET(
    _xlpm.last_col_idx, LOOKUP(2, 1/(Y149:BT149&lt;&gt;""), COLUMN(Y149:BT149) - COLUMN(Y149) + 1),
    _xlpm.header_val, INDEX($Y$3:$BT$3, 1, _xlpm.last_col_idx),
    _xlpm.header_date, IF(ISNUMBER(_xlpm.header_val), _xlpm.header_val, DATEVALUE(_xlpm.header_val)),
    IF(_xlpm.header_date &gt; TODAY(), TODAY(), _xlpm.header_date)
)</f>
        <v>46212</v>
      </c>
      <c r="BW149" s="209" cm="1">
        <f t="array" ref="BW149">(LOOKUP(2,1/(BH149:BT149&lt;&gt;""),BH149:BT149))/(INDEX(BH149:BT149,MATCH(TRUE,INDEX((BH149:BT149&lt;&gt;0),0),0)))-1</f>
        <v>8.9361702127659592E-2</v>
      </c>
      <c r="BX149" s="210">
        <f t="shared" si="32"/>
        <v>2.56</v>
      </c>
      <c r="BY149" s="210">
        <f t="shared" si="33"/>
        <v>15.104000000000001</v>
      </c>
      <c r="BZ149" s="210">
        <f ca="1">IF(L149="BR",'Impostos e Frete'!$F$6,IF(L149="EU",'Impostos e Frete'!$I$3,IF(L149="CN",'Impostos e Frete'!$I$4,IF(L149="JP",'Impostos e Frete'!$I$5,IF(L149="RU",'Impostos e Frete'!$I$7,"ERRO")))))</f>
        <v>0.1410816</v>
      </c>
      <c r="CA149" s="210">
        <f>VLOOKUP(L149,'Impostos e Frete'!$A$3:$B$7,2,0)*'Preços e Condições'!BY149</f>
        <v>1.9635200000000002</v>
      </c>
      <c r="CB149" s="147">
        <f t="shared" si="34"/>
        <v>0</v>
      </c>
      <c r="CC149" s="147">
        <f>IF(X149="BRL",'Impostos e Frete'!$B$11,'Impostos e Frete'!$B$12)</f>
        <v>9.1999999999999998E-2</v>
      </c>
      <c r="CD149" s="211">
        <f t="shared" ca="1" si="35"/>
        <v>17.3006016</v>
      </c>
      <c r="CE149" s="212">
        <f t="shared" ca="1" si="36"/>
        <v>1.2110421119999999</v>
      </c>
      <c r="CF149" s="213">
        <f>VLOOKUP(L149,'Impostos e Frete'!$A$3:$C$7,3,0)</f>
        <v>105</v>
      </c>
      <c r="CG149" s="213">
        <f t="shared" si="37"/>
        <v>120</v>
      </c>
      <c r="CH149" s="213">
        <f t="shared" si="38"/>
        <v>15</v>
      </c>
      <c r="CI149" s="214">
        <f t="shared" ca="1" si="39"/>
        <v>-0.12831278416918934</v>
      </c>
      <c r="CJ149" s="215">
        <f t="shared" ca="1" si="40"/>
        <v>17.172288815830811</v>
      </c>
      <c r="CK149" s="216">
        <f t="shared" ca="1" si="41"/>
        <v>1.2020602171081567</v>
      </c>
    </row>
    <row r="150" spans="1:89">
      <c r="A150" s="176">
        <v>17002</v>
      </c>
      <c r="B150" s="177">
        <v>104</v>
      </c>
      <c r="C150" s="178">
        <v>70</v>
      </c>
      <c r="D150" s="178">
        <v>1870</v>
      </c>
      <c r="E150" s="178" t="s">
        <v>50</v>
      </c>
      <c r="F150" s="179" t="s">
        <v>47</v>
      </c>
      <c r="G150" s="185" t="s">
        <v>93</v>
      </c>
      <c r="H150" s="178" t="s">
        <v>43</v>
      </c>
      <c r="I150" s="178">
        <v>6412</v>
      </c>
      <c r="J150" s="178"/>
      <c r="K150" s="178"/>
      <c r="L150" s="178" t="s">
        <v>59</v>
      </c>
      <c r="M150" s="178">
        <v>120</v>
      </c>
      <c r="N150" s="178">
        <v>300</v>
      </c>
      <c r="O150" s="178"/>
      <c r="P150" s="178"/>
      <c r="Q150" s="178"/>
      <c r="R150" s="178" t="s">
        <v>19</v>
      </c>
      <c r="S150" s="181"/>
      <c r="T150" s="181"/>
      <c r="U150" s="182"/>
      <c r="V150" s="182" t="s">
        <v>35</v>
      </c>
      <c r="W150" s="183">
        <v>10</v>
      </c>
      <c r="X150" s="182" t="s">
        <v>51</v>
      </c>
      <c r="Y150" s="184">
        <v>3190</v>
      </c>
      <c r="Z150" s="184">
        <v>3190</v>
      </c>
      <c r="AA150" s="184">
        <v>3190</v>
      </c>
      <c r="AB150" s="184">
        <v>3190</v>
      </c>
      <c r="AC150" s="184">
        <v>3190</v>
      </c>
      <c r="AD150" s="184">
        <v>3190</v>
      </c>
      <c r="AE150" s="184">
        <v>2530</v>
      </c>
      <c r="AF150" s="184">
        <v>2530</v>
      </c>
      <c r="AG150" s="184">
        <v>2530</v>
      </c>
      <c r="AH150" s="184">
        <v>2380</v>
      </c>
      <c r="AI150" s="184">
        <v>2380</v>
      </c>
      <c r="AJ150" s="184">
        <v>2380</v>
      </c>
      <c r="AK150" s="146">
        <f>AK147+180</f>
        <v>2440</v>
      </c>
      <c r="AL150" s="146">
        <f>AL147+180</f>
        <v>2440</v>
      </c>
      <c r="AM150" s="146">
        <f>AM147+180</f>
        <v>2440</v>
      </c>
      <c r="AN150" s="184">
        <v>2570</v>
      </c>
      <c r="AO150" s="184">
        <v>2570</v>
      </c>
      <c r="AP150" s="184">
        <v>2570</v>
      </c>
      <c r="AQ150" s="184">
        <v>2720</v>
      </c>
      <c r="AR150" s="184">
        <v>2720</v>
      </c>
      <c r="AS150" s="184">
        <v>2720</v>
      </c>
      <c r="AT150" s="184">
        <v>2720</v>
      </c>
      <c r="AU150" s="184">
        <v>2720</v>
      </c>
      <c r="AV150" s="184">
        <v>2720</v>
      </c>
      <c r="AW150" s="184">
        <v>2640</v>
      </c>
      <c r="AX150" s="184">
        <v>2640</v>
      </c>
      <c r="AY150" s="184">
        <v>2640</v>
      </c>
      <c r="AZ150" s="184">
        <v>2400</v>
      </c>
      <c r="BA150" s="184">
        <v>2400</v>
      </c>
      <c r="BB150" s="184">
        <v>2530</v>
      </c>
      <c r="BC150" s="184">
        <v>2530</v>
      </c>
      <c r="BD150" s="184">
        <v>2530</v>
      </c>
      <c r="BE150" s="184">
        <v>2530</v>
      </c>
      <c r="BF150" s="184">
        <v>2430</v>
      </c>
      <c r="BG150" s="184">
        <v>2430</v>
      </c>
      <c r="BH150" s="184">
        <v>2430</v>
      </c>
      <c r="BI150" s="184">
        <v>2460</v>
      </c>
      <c r="BJ150" s="184">
        <v>2460</v>
      </c>
      <c r="BK150" s="184">
        <v>2460</v>
      </c>
      <c r="BL150" s="184">
        <v>2560</v>
      </c>
      <c r="BM150" s="184">
        <v>2560</v>
      </c>
      <c r="BN150" s="184">
        <v>2560</v>
      </c>
      <c r="BO150" s="184">
        <v>2640</v>
      </c>
      <c r="BP150" s="184">
        <v>2640</v>
      </c>
      <c r="BQ150" s="184">
        <v>2640</v>
      </c>
      <c r="BR150" s="184"/>
      <c r="BS150" s="184"/>
      <c r="BT150" s="184"/>
      <c r="BU150" s="146" cm="1">
        <f t="array" ref="BU150">LOOKUP(2,1/(Y150:BT150&lt;&gt;""),Y150:BH150)</f>
        <v>2640</v>
      </c>
      <c r="BV150" s="145" cm="1">
        <f t="array" aca="1" ref="BV150" ca="1">_xlfn.LET(
    _xlpm.last_col_idx, LOOKUP(2, 1/(Y150:BT150&lt;&gt;""), COLUMN(Y150:BT150) - COLUMN(Y150) + 1),
    _xlpm.header_val, INDEX($Y$3:$BT$3, 1, _xlpm.last_col_idx),
    _xlpm.header_date, IF(ISNUMBER(_xlpm.header_val), _xlpm.header_val, DATEVALUE(_xlpm.header_val)),
    IF(_xlpm.header_date &gt; TODAY(), TODAY(), _xlpm.header_date)
)</f>
        <v>46212</v>
      </c>
      <c r="BW150" s="209" cm="1">
        <f t="array" ref="BW150">(LOOKUP(2,1/(BH150:BT150&lt;&gt;""),BH150:BT150))/(INDEX(BH150:BT150,MATCH(TRUE,INDEX((BH150:BT150&lt;&gt;0),0),0)))-1</f>
        <v>8.6419753086419693E-2</v>
      </c>
      <c r="BX150" s="210">
        <f t="shared" si="32"/>
        <v>2.64</v>
      </c>
      <c r="BY150" s="210">
        <f t="shared" si="33"/>
        <v>15.576000000000002</v>
      </c>
      <c r="BZ150" s="210">
        <f ca="1">IF(L150="BR",'Impostos e Frete'!$F$6,IF(L150="EU",'Impostos e Frete'!$I$3,IF(L150="CN",'Impostos e Frete'!$I$4,IF(L150="JP",'Impostos e Frete'!$I$5,IF(L150="RU",'Impostos e Frete'!$I$7,"ERRO")))))</f>
        <v>0.1410816</v>
      </c>
      <c r="CA150" s="210">
        <f>VLOOKUP(L150,'Impostos e Frete'!$A$3:$B$7,2,0)*'Preços e Condições'!BY150</f>
        <v>2.0248800000000005</v>
      </c>
      <c r="CB150" s="147">
        <f t="shared" si="34"/>
        <v>0</v>
      </c>
      <c r="CC150" s="147">
        <f>IF(X150="BRL",'Impostos e Frete'!$B$11,'Impostos e Frete'!$B$12)</f>
        <v>9.1999999999999998E-2</v>
      </c>
      <c r="CD150" s="211">
        <f t="shared" ca="1" si="35"/>
        <v>17.833961600000002</v>
      </c>
      <c r="CE150" s="212">
        <f t="shared" ca="1" si="36"/>
        <v>1.2483773120000001</v>
      </c>
      <c r="CF150" s="213">
        <f>VLOOKUP(L150,'Impostos e Frete'!$A$3:$C$7,3,0)</f>
        <v>105</v>
      </c>
      <c r="CG150" s="213">
        <f t="shared" si="37"/>
        <v>120</v>
      </c>
      <c r="CH150" s="213">
        <f t="shared" si="38"/>
        <v>15</v>
      </c>
      <c r="CI150" s="214">
        <f t="shared" ca="1" si="39"/>
        <v>-0.13226853716245301</v>
      </c>
      <c r="CJ150" s="215">
        <f t="shared" ca="1" si="40"/>
        <v>17.701693062837549</v>
      </c>
      <c r="CK150" s="216">
        <f t="shared" ca="1" si="41"/>
        <v>1.2391185143986283</v>
      </c>
    </row>
    <row r="151" spans="1:89">
      <c r="A151" s="176">
        <v>17011</v>
      </c>
      <c r="B151" s="177">
        <v>399</v>
      </c>
      <c r="C151" s="178">
        <v>68</v>
      </c>
      <c r="D151" s="178">
        <v>2175</v>
      </c>
      <c r="E151" s="178" t="s">
        <v>50</v>
      </c>
      <c r="F151" s="179" t="s">
        <v>47</v>
      </c>
      <c r="G151" s="179" t="s">
        <v>79</v>
      </c>
      <c r="H151" s="178" t="s">
        <v>42</v>
      </c>
      <c r="I151" s="178">
        <v>6656</v>
      </c>
      <c r="J151" s="178"/>
      <c r="K151" s="178"/>
      <c r="L151" s="178" t="s">
        <v>59</v>
      </c>
      <c r="M151" s="178">
        <v>120</v>
      </c>
      <c r="N151" s="178">
        <v>300</v>
      </c>
      <c r="O151" s="178"/>
      <c r="P151" s="178"/>
      <c r="Q151" s="178"/>
      <c r="R151" s="178" t="s">
        <v>19</v>
      </c>
      <c r="S151" s="181"/>
      <c r="T151" s="181"/>
      <c r="U151" s="182"/>
      <c r="V151" s="182" t="s">
        <v>35</v>
      </c>
      <c r="W151" s="183">
        <v>50</v>
      </c>
      <c r="X151" s="182" t="s">
        <v>51</v>
      </c>
      <c r="Y151" s="184">
        <v>2760</v>
      </c>
      <c r="Z151" s="184">
        <v>2760</v>
      </c>
      <c r="AA151" s="184">
        <v>2760</v>
      </c>
      <c r="AB151" s="184">
        <v>2760</v>
      </c>
      <c r="AC151" s="184">
        <v>2760</v>
      </c>
      <c r="AD151" s="184">
        <v>2760</v>
      </c>
      <c r="AE151" s="184">
        <v>2400</v>
      </c>
      <c r="AF151" s="184">
        <v>2400</v>
      </c>
      <c r="AG151" s="184">
        <v>2400</v>
      </c>
      <c r="AH151" s="184">
        <v>2250</v>
      </c>
      <c r="AI151" s="184">
        <v>2250</v>
      </c>
      <c r="AJ151" s="184">
        <v>2250</v>
      </c>
      <c r="AK151" s="184">
        <v>2310</v>
      </c>
      <c r="AL151" s="184">
        <v>2310</v>
      </c>
      <c r="AM151" s="184">
        <v>2310</v>
      </c>
      <c r="AN151" s="184">
        <v>2440</v>
      </c>
      <c r="AO151" s="184">
        <v>2440</v>
      </c>
      <c r="AP151" s="184">
        <v>2440</v>
      </c>
      <c r="AQ151" s="184">
        <v>2590</v>
      </c>
      <c r="AR151" s="184">
        <v>2590</v>
      </c>
      <c r="AS151" s="184">
        <v>2590</v>
      </c>
      <c r="AT151" s="184">
        <v>2590</v>
      </c>
      <c r="AU151" s="184">
        <v>2590</v>
      </c>
      <c r="AV151" s="184">
        <v>2590</v>
      </c>
      <c r="AW151" s="184">
        <v>2510</v>
      </c>
      <c r="AX151" s="184">
        <v>2510</v>
      </c>
      <c r="AY151" s="184">
        <v>2510</v>
      </c>
      <c r="AZ151" s="184">
        <v>2290</v>
      </c>
      <c r="BA151" s="184">
        <v>2290</v>
      </c>
      <c r="BB151" s="184">
        <v>2590</v>
      </c>
      <c r="BC151" s="184">
        <v>2590</v>
      </c>
      <c r="BD151" s="184">
        <v>2590</v>
      </c>
      <c r="BE151" s="184">
        <v>2590</v>
      </c>
      <c r="BF151" s="184">
        <v>2510</v>
      </c>
      <c r="BG151" s="184">
        <v>2510</v>
      </c>
      <c r="BH151" s="184">
        <v>2510</v>
      </c>
      <c r="BI151" s="184">
        <v>2540</v>
      </c>
      <c r="BJ151" s="184">
        <v>2540</v>
      </c>
      <c r="BK151" s="184">
        <v>2540</v>
      </c>
      <c r="BL151" s="184">
        <v>2640</v>
      </c>
      <c r="BM151" s="184">
        <v>2640</v>
      </c>
      <c r="BN151" s="184">
        <v>2640</v>
      </c>
      <c r="BO151" s="184">
        <v>2720</v>
      </c>
      <c r="BP151" s="184">
        <v>2720</v>
      </c>
      <c r="BQ151" s="184">
        <v>2720</v>
      </c>
      <c r="BR151" s="184"/>
      <c r="BS151" s="184"/>
      <c r="BT151" s="184"/>
      <c r="BU151" s="146" cm="1">
        <f t="array" ref="BU151">LOOKUP(2,1/(Y151:BT151&lt;&gt;""),Y151:BH151)</f>
        <v>2720</v>
      </c>
      <c r="BV151" s="145" cm="1">
        <f t="array" aca="1" ref="BV151" ca="1">_xlfn.LET(
    _xlpm.last_col_idx, LOOKUP(2, 1/(Y151:BT151&lt;&gt;""), COLUMN(Y151:BT151) - COLUMN(Y151) + 1),
    _xlpm.header_val, INDEX($Y$3:$BT$3, 1, _xlpm.last_col_idx),
    _xlpm.header_date, IF(ISNUMBER(_xlpm.header_val), _xlpm.header_val, DATEVALUE(_xlpm.header_val)),
    IF(_xlpm.header_date &gt; TODAY(), TODAY(), _xlpm.header_date)
)</f>
        <v>46212</v>
      </c>
      <c r="BW151" s="209" cm="1">
        <f t="array" ref="BW151">(LOOKUP(2,1/(BH151:BT151&lt;&gt;""),BH151:BT151))/(INDEX(BH151:BT151,MATCH(TRUE,INDEX((BH151:BT151&lt;&gt;0),0),0)))-1</f>
        <v>8.3665338645418252E-2</v>
      </c>
      <c r="BX151" s="210">
        <f t="shared" si="32"/>
        <v>2.72</v>
      </c>
      <c r="BY151" s="210">
        <f t="shared" si="33"/>
        <v>16.048000000000002</v>
      </c>
      <c r="BZ151" s="210">
        <f ca="1">IF(L151="BR",'Impostos e Frete'!$F$6,IF(L151="EU",'Impostos e Frete'!$I$3,IF(L151="CN",'Impostos e Frete'!$I$4,IF(L151="JP",'Impostos e Frete'!$I$5,IF(L151="RU",'Impostos e Frete'!$I$7,"ERRO")))))</f>
        <v>0.1410816</v>
      </c>
      <c r="CA151" s="210">
        <f>VLOOKUP(L151,'Impostos e Frete'!$A$3:$B$7,2,0)*'Preços e Condições'!BY151</f>
        <v>2.0862400000000001</v>
      </c>
      <c r="CB151" s="147">
        <f t="shared" si="34"/>
        <v>0</v>
      </c>
      <c r="CC151" s="147">
        <f>IF(X151="BRL",'Impostos e Frete'!$B$11,'Impostos e Frete'!$B$12)</f>
        <v>9.1999999999999998E-2</v>
      </c>
      <c r="CD151" s="211">
        <f t="shared" ca="1" si="35"/>
        <v>18.3673216</v>
      </c>
      <c r="CE151" s="212">
        <f t="shared" ca="1" si="36"/>
        <v>1.2489778687999999</v>
      </c>
      <c r="CF151" s="213">
        <f>VLOOKUP(L151,'Impostos e Frete'!$A$3:$C$7,3,0)</f>
        <v>105</v>
      </c>
      <c r="CG151" s="213">
        <f t="shared" si="37"/>
        <v>120</v>
      </c>
      <c r="CH151" s="213">
        <f t="shared" si="38"/>
        <v>15</v>
      </c>
      <c r="CI151" s="214">
        <f t="shared" ca="1" si="39"/>
        <v>-0.13622429015572024</v>
      </c>
      <c r="CJ151" s="215">
        <f t="shared" ca="1" si="40"/>
        <v>18.23109730984428</v>
      </c>
      <c r="CK151" s="216">
        <f t="shared" ca="1" si="41"/>
        <v>1.2397146170694111</v>
      </c>
    </row>
    <row r="152" spans="1:89">
      <c r="A152" s="176">
        <v>17011</v>
      </c>
      <c r="B152" s="177">
        <v>399</v>
      </c>
      <c r="C152" s="178">
        <v>68</v>
      </c>
      <c r="D152" s="178">
        <v>2175</v>
      </c>
      <c r="E152" s="178" t="s">
        <v>50</v>
      </c>
      <c r="F152" s="179" t="s">
        <v>47</v>
      </c>
      <c r="G152" s="179" t="s">
        <v>79</v>
      </c>
      <c r="H152" s="178" t="s">
        <v>42</v>
      </c>
      <c r="I152" s="178">
        <v>6656</v>
      </c>
      <c r="J152" s="178"/>
      <c r="K152" s="178"/>
      <c r="L152" s="178" t="s">
        <v>59</v>
      </c>
      <c r="M152" s="178">
        <v>120</v>
      </c>
      <c r="N152" s="178">
        <v>300</v>
      </c>
      <c r="O152" s="178"/>
      <c r="P152" s="178"/>
      <c r="Q152" s="178"/>
      <c r="R152" s="178" t="s">
        <v>19</v>
      </c>
      <c r="S152" s="181"/>
      <c r="T152" s="181"/>
      <c r="U152" s="182"/>
      <c r="V152" s="182" t="s">
        <v>35</v>
      </c>
      <c r="W152" s="183">
        <v>30</v>
      </c>
      <c r="X152" s="182" t="s">
        <v>51</v>
      </c>
      <c r="Y152" s="184">
        <v>2810</v>
      </c>
      <c r="Z152" s="184">
        <v>2810</v>
      </c>
      <c r="AA152" s="184">
        <v>2810</v>
      </c>
      <c r="AB152" s="184">
        <v>2810</v>
      </c>
      <c r="AC152" s="184">
        <v>2810</v>
      </c>
      <c r="AD152" s="184">
        <v>2810</v>
      </c>
      <c r="AE152" s="184">
        <v>2450</v>
      </c>
      <c r="AF152" s="184">
        <v>2450</v>
      </c>
      <c r="AG152" s="184">
        <v>2450</v>
      </c>
      <c r="AH152" s="184">
        <v>2300</v>
      </c>
      <c r="AI152" s="184">
        <v>2300</v>
      </c>
      <c r="AJ152" s="184">
        <v>2300</v>
      </c>
      <c r="AK152" s="184">
        <v>2360</v>
      </c>
      <c r="AL152" s="184">
        <v>2360</v>
      </c>
      <c r="AM152" s="184">
        <v>2360</v>
      </c>
      <c r="AN152" s="184">
        <v>2490</v>
      </c>
      <c r="AO152" s="184">
        <v>2490</v>
      </c>
      <c r="AP152" s="184">
        <v>2490</v>
      </c>
      <c r="AQ152" s="184">
        <v>2640</v>
      </c>
      <c r="AR152" s="184">
        <v>2640</v>
      </c>
      <c r="AS152" s="184">
        <v>2640</v>
      </c>
      <c r="AT152" s="184">
        <v>2640</v>
      </c>
      <c r="AU152" s="184">
        <v>2640</v>
      </c>
      <c r="AV152" s="184">
        <v>2640</v>
      </c>
      <c r="AW152" s="184">
        <v>2560</v>
      </c>
      <c r="AX152" s="184">
        <v>2560</v>
      </c>
      <c r="AY152" s="184">
        <v>2560</v>
      </c>
      <c r="AZ152" s="184">
        <v>2340</v>
      </c>
      <c r="BA152" s="184">
        <v>2340</v>
      </c>
      <c r="BB152" s="184">
        <v>2640</v>
      </c>
      <c r="BC152" s="184">
        <v>2640</v>
      </c>
      <c r="BD152" s="184">
        <v>2640</v>
      </c>
      <c r="BE152" s="184">
        <v>2640</v>
      </c>
      <c r="BF152" s="184">
        <v>2560</v>
      </c>
      <c r="BG152" s="184">
        <v>2560</v>
      </c>
      <c r="BH152" s="184">
        <v>2560</v>
      </c>
      <c r="BI152" s="184">
        <v>2590</v>
      </c>
      <c r="BJ152" s="184">
        <v>2590</v>
      </c>
      <c r="BK152" s="184">
        <v>2590</v>
      </c>
      <c r="BL152" s="184">
        <v>2690</v>
      </c>
      <c r="BM152" s="184">
        <v>2690</v>
      </c>
      <c r="BN152" s="184">
        <v>2690</v>
      </c>
      <c r="BO152" s="184">
        <v>2770</v>
      </c>
      <c r="BP152" s="184">
        <v>2770</v>
      </c>
      <c r="BQ152" s="184">
        <v>2770</v>
      </c>
      <c r="BR152" s="184"/>
      <c r="BS152" s="184"/>
      <c r="BT152" s="184"/>
      <c r="BU152" s="146" cm="1">
        <f t="array" ref="BU152">LOOKUP(2,1/(Y152:BT152&lt;&gt;""),Y152:BH152)</f>
        <v>2770</v>
      </c>
      <c r="BV152" s="145" cm="1">
        <f t="array" aca="1" ref="BV152" ca="1">_xlfn.LET(
    _xlpm.last_col_idx, LOOKUP(2, 1/(Y152:BT152&lt;&gt;""), COLUMN(Y152:BT152) - COLUMN(Y152) + 1),
    _xlpm.header_val, INDEX($Y$3:$BT$3, 1, _xlpm.last_col_idx),
    _xlpm.header_date, IF(ISNUMBER(_xlpm.header_val), _xlpm.header_val, DATEVALUE(_xlpm.header_val)),
    IF(_xlpm.header_date &gt; TODAY(), TODAY(), _xlpm.header_date)
)</f>
        <v>46212</v>
      </c>
      <c r="BW152" s="209" cm="1">
        <f t="array" ref="BW152">(LOOKUP(2,1/(BH152:BT152&lt;&gt;""),BH152:BT152))/(INDEX(BH152:BT152,MATCH(TRUE,INDEX((BH152:BT152&lt;&gt;0),0),0)))-1</f>
        <v>8.203125E-2</v>
      </c>
      <c r="BX152" s="210">
        <f t="shared" si="32"/>
        <v>2.77</v>
      </c>
      <c r="BY152" s="210">
        <f t="shared" si="33"/>
        <v>16.343</v>
      </c>
      <c r="BZ152" s="210">
        <f ca="1">IF(L152="BR",'Impostos e Frete'!$F$6,IF(L152="EU",'Impostos e Frete'!$I$3,IF(L152="CN",'Impostos e Frete'!$I$4,IF(L152="JP",'Impostos e Frete'!$I$5,IF(L152="RU",'Impostos e Frete'!$I$7,"ERRO")))))</f>
        <v>0.1410816</v>
      </c>
      <c r="CA152" s="210">
        <f>VLOOKUP(L152,'Impostos e Frete'!$A$3:$B$7,2,0)*'Preços e Condições'!BY152</f>
        <v>2.12459</v>
      </c>
      <c r="CB152" s="147">
        <f t="shared" si="34"/>
        <v>0</v>
      </c>
      <c r="CC152" s="147">
        <f>IF(X152="BRL",'Impostos e Frete'!$B$11,'Impostos e Frete'!$B$12)</f>
        <v>9.1999999999999998E-2</v>
      </c>
      <c r="CD152" s="211">
        <f t="shared" ca="1" si="35"/>
        <v>18.7006716</v>
      </c>
      <c r="CE152" s="212">
        <f t="shared" ca="1" si="36"/>
        <v>1.2716456688</v>
      </c>
      <c r="CF152" s="213">
        <f>VLOOKUP(L152,'Impostos e Frete'!$A$3:$C$7,3,0)</f>
        <v>105</v>
      </c>
      <c r="CG152" s="213">
        <f t="shared" si="37"/>
        <v>120</v>
      </c>
      <c r="CH152" s="213">
        <f t="shared" si="38"/>
        <v>15</v>
      </c>
      <c r="CI152" s="214">
        <f t="shared" ca="1" si="39"/>
        <v>-0.13869663577650826</v>
      </c>
      <c r="CJ152" s="215">
        <f t="shared" ca="1" si="40"/>
        <v>18.561974964223491</v>
      </c>
      <c r="CK152" s="216">
        <f t="shared" ca="1" si="41"/>
        <v>1.2622142975671975</v>
      </c>
    </row>
    <row r="153" spans="1:89">
      <c r="A153" s="176">
        <v>17011</v>
      </c>
      <c r="B153" s="177">
        <v>399</v>
      </c>
      <c r="C153" s="178">
        <v>68</v>
      </c>
      <c r="D153" s="178">
        <v>2175</v>
      </c>
      <c r="E153" s="178" t="s">
        <v>50</v>
      </c>
      <c r="F153" s="179" t="s">
        <v>47</v>
      </c>
      <c r="G153" s="179" t="s">
        <v>79</v>
      </c>
      <c r="H153" s="178" t="s">
        <v>42</v>
      </c>
      <c r="I153" s="178">
        <v>6656</v>
      </c>
      <c r="J153" s="178"/>
      <c r="K153" s="178"/>
      <c r="L153" s="178" t="s">
        <v>59</v>
      </c>
      <c r="M153" s="178">
        <v>120</v>
      </c>
      <c r="N153" s="178">
        <v>300</v>
      </c>
      <c r="O153" s="178"/>
      <c r="P153" s="178"/>
      <c r="Q153" s="178"/>
      <c r="R153" s="178" t="s">
        <v>19</v>
      </c>
      <c r="S153" s="181"/>
      <c r="T153" s="181"/>
      <c r="U153" s="182"/>
      <c r="V153" s="182" t="s">
        <v>35</v>
      </c>
      <c r="W153" s="183">
        <v>20</v>
      </c>
      <c r="X153" s="182" t="s">
        <v>51</v>
      </c>
      <c r="Y153" s="184">
        <v>2860</v>
      </c>
      <c r="Z153" s="184">
        <v>2860</v>
      </c>
      <c r="AA153" s="184">
        <v>2860</v>
      </c>
      <c r="AB153" s="184">
        <v>2860</v>
      </c>
      <c r="AC153" s="184">
        <v>2860</v>
      </c>
      <c r="AD153" s="184">
        <v>2860</v>
      </c>
      <c r="AE153" s="184">
        <v>2500</v>
      </c>
      <c r="AF153" s="184">
        <v>2500</v>
      </c>
      <c r="AG153" s="184">
        <v>2500</v>
      </c>
      <c r="AH153" s="184">
        <v>2350</v>
      </c>
      <c r="AI153" s="184">
        <v>2350</v>
      </c>
      <c r="AJ153" s="184">
        <v>2350</v>
      </c>
      <c r="AK153" s="184">
        <v>2410</v>
      </c>
      <c r="AL153" s="184">
        <v>2410</v>
      </c>
      <c r="AM153" s="184">
        <v>2410</v>
      </c>
      <c r="AN153" s="184">
        <v>2540</v>
      </c>
      <c r="AO153" s="184">
        <v>2540</v>
      </c>
      <c r="AP153" s="184">
        <v>2540</v>
      </c>
      <c r="AQ153" s="184">
        <v>2690</v>
      </c>
      <c r="AR153" s="184">
        <v>2690</v>
      </c>
      <c r="AS153" s="184">
        <v>2690</v>
      </c>
      <c r="AT153" s="184">
        <v>2690</v>
      </c>
      <c r="AU153" s="184">
        <v>2690</v>
      </c>
      <c r="AV153" s="184">
        <v>2690</v>
      </c>
      <c r="AW153" s="184">
        <v>2610</v>
      </c>
      <c r="AX153" s="184">
        <v>2610</v>
      </c>
      <c r="AY153" s="184">
        <v>2610</v>
      </c>
      <c r="AZ153" s="184">
        <v>2390</v>
      </c>
      <c r="BA153" s="184">
        <v>2390</v>
      </c>
      <c r="BB153" s="184">
        <v>2690</v>
      </c>
      <c r="BC153" s="184">
        <v>2690</v>
      </c>
      <c r="BD153" s="184">
        <v>2690</v>
      </c>
      <c r="BE153" s="184">
        <v>2690</v>
      </c>
      <c r="BF153" s="184">
        <v>2610</v>
      </c>
      <c r="BG153" s="184">
        <v>2610</v>
      </c>
      <c r="BH153" s="184">
        <v>2610</v>
      </c>
      <c r="BI153" s="184">
        <v>2640</v>
      </c>
      <c r="BJ153" s="184">
        <v>2640</v>
      </c>
      <c r="BK153" s="184">
        <v>2640</v>
      </c>
      <c r="BL153" s="184">
        <v>2740</v>
      </c>
      <c r="BM153" s="184">
        <v>2740</v>
      </c>
      <c r="BN153" s="184">
        <v>2740</v>
      </c>
      <c r="BO153" s="184">
        <v>2820</v>
      </c>
      <c r="BP153" s="184">
        <v>2820</v>
      </c>
      <c r="BQ153" s="184">
        <v>2820</v>
      </c>
      <c r="BR153" s="184"/>
      <c r="BS153" s="184"/>
      <c r="BT153" s="184"/>
      <c r="BU153" s="146" cm="1">
        <f t="array" ref="BU153">LOOKUP(2,1/(Y153:BT153&lt;&gt;""),Y153:BH153)</f>
        <v>2820</v>
      </c>
      <c r="BV153" s="145" cm="1">
        <f t="array" aca="1" ref="BV153" ca="1">_xlfn.LET(
    _xlpm.last_col_idx, LOOKUP(2, 1/(Y153:BT153&lt;&gt;""), COLUMN(Y153:BT153) - COLUMN(Y153) + 1),
    _xlpm.header_val, INDEX($Y$3:$BT$3, 1, _xlpm.last_col_idx),
    _xlpm.header_date, IF(ISNUMBER(_xlpm.header_val), _xlpm.header_val, DATEVALUE(_xlpm.header_val)),
    IF(_xlpm.header_date &gt; TODAY(), TODAY(), _xlpm.header_date)
)</f>
        <v>46212</v>
      </c>
      <c r="BW153" s="209" cm="1">
        <f t="array" ref="BW153">(LOOKUP(2,1/(BH153:BT153&lt;&gt;""),BH153:BT153))/(INDEX(BH153:BT153,MATCH(TRUE,INDEX((BH153:BT153&lt;&gt;0),0),0)))-1</f>
        <v>8.0459770114942541E-2</v>
      </c>
      <c r="BX153" s="210">
        <f t="shared" si="32"/>
        <v>2.82</v>
      </c>
      <c r="BY153" s="210">
        <f t="shared" si="33"/>
        <v>16.638000000000002</v>
      </c>
      <c r="BZ153" s="210">
        <f ca="1">IF(L153="BR",'Impostos e Frete'!$F$6,IF(L153="EU",'Impostos e Frete'!$I$3,IF(L153="CN",'Impostos e Frete'!$I$4,IF(L153="JP",'Impostos e Frete'!$I$5,IF(L153="RU",'Impostos e Frete'!$I$7,"ERRO")))))</f>
        <v>0.1410816</v>
      </c>
      <c r="CA153" s="210">
        <f>VLOOKUP(L153,'Impostos e Frete'!$A$3:$B$7,2,0)*'Preços e Condições'!BY153</f>
        <v>2.1629400000000003</v>
      </c>
      <c r="CB153" s="147">
        <f t="shared" si="34"/>
        <v>0</v>
      </c>
      <c r="CC153" s="147">
        <f>IF(X153="BRL",'Impostos e Frete'!$B$11,'Impostos e Frete'!$B$12)</f>
        <v>9.1999999999999998E-2</v>
      </c>
      <c r="CD153" s="211">
        <f t="shared" ca="1" si="35"/>
        <v>19.034021599999999</v>
      </c>
      <c r="CE153" s="212">
        <f t="shared" ca="1" si="36"/>
        <v>1.2943134688</v>
      </c>
      <c r="CF153" s="213">
        <f>VLOOKUP(L153,'Impostos e Frete'!$A$3:$C$7,3,0)</f>
        <v>105</v>
      </c>
      <c r="CG153" s="213">
        <f t="shared" si="37"/>
        <v>120</v>
      </c>
      <c r="CH153" s="213">
        <f t="shared" si="38"/>
        <v>15</v>
      </c>
      <c r="CI153" s="214">
        <f t="shared" ca="1" si="39"/>
        <v>-0.14116898139729983</v>
      </c>
      <c r="CJ153" s="215">
        <f t="shared" ca="1" si="40"/>
        <v>18.892852618602699</v>
      </c>
      <c r="CK153" s="216">
        <f t="shared" ca="1" si="41"/>
        <v>1.2847139780649834</v>
      </c>
    </row>
    <row r="154" spans="1:89">
      <c r="A154" s="176">
        <v>17011</v>
      </c>
      <c r="B154" s="177">
        <v>399</v>
      </c>
      <c r="C154" s="178">
        <v>68</v>
      </c>
      <c r="D154" s="178">
        <v>2175</v>
      </c>
      <c r="E154" s="178" t="s">
        <v>50</v>
      </c>
      <c r="F154" s="179" t="s">
        <v>47</v>
      </c>
      <c r="G154" s="179" t="s">
        <v>79</v>
      </c>
      <c r="H154" s="178" t="s">
        <v>42</v>
      </c>
      <c r="I154" s="178">
        <v>6656</v>
      </c>
      <c r="J154" s="178"/>
      <c r="K154" s="178"/>
      <c r="L154" s="178" t="s">
        <v>59</v>
      </c>
      <c r="M154" s="178">
        <v>120</v>
      </c>
      <c r="N154" s="178">
        <v>300</v>
      </c>
      <c r="O154" s="178"/>
      <c r="P154" s="178"/>
      <c r="Q154" s="178"/>
      <c r="R154" s="178" t="s">
        <v>19</v>
      </c>
      <c r="S154" s="181"/>
      <c r="T154" s="181"/>
      <c r="U154" s="182"/>
      <c r="V154" s="182" t="s">
        <v>35</v>
      </c>
      <c r="W154" s="183">
        <v>10</v>
      </c>
      <c r="X154" s="182" t="s">
        <v>51</v>
      </c>
      <c r="Y154" s="184">
        <v>2940</v>
      </c>
      <c r="Z154" s="184">
        <v>2940</v>
      </c>
      <c r="AA154" s="184">
        <v>2940</v>
      </c>
      <c r="AB154" s="184">
        <v>2940</v>
      </c>
      <c r="AC154" s="184">
        <v>2940</v>
      </c>
      <c r="AD154" s="184">
        <v>2940</v>
      </c>
      <c r="AE154" s="184">
        <v>2580</v>
      </c>
      <c r="AF154" s="184">
        <v>2580</v>
      </c>
      <c r="AG154" s="184">
        <v>2580</v>
      </c>
      <c r="AH154" s="184">
        <v>2430</v>
      </c>
      <c r="AI154" s="184">
        <v>2430</v>
      </c>
      <c r="AJ154" s="184">
        <v>2430</v>
      </c>
      <c r="AK154" s="184">
        <v>2490</v>
      </c>
      <c r="AL154" s="184">
        <v>2490</v>
      </c>
      <c r="AM154" s="184">
        <v>2490</v>
      </c>
      <c r="AN154" s="184">
        <v>2620</v>
      </c>
      <c r="AO154" s="184">
        <v>2620</v>
      </c>
      <c r="AP154" s="184">
        <v>2620</v>
      </c>
      <c r="AQ154" s="184">
        <v>2770</v>
      </c>
      <c r="AR154" s="184">
        <v>2770</v>
      </c>
      <c r="AS154" s="184">
        <v>2770</v>
      </c>
      <c r="AT154" s="184">
        <v>2770</v>
      </c>
      <c r="AU154" s="184">
        <v>2770</v>
      </c>
      <c r="AV154" s="184">
        <v>2770</v>
      </c>
      <c r="AW154" s="184">
        <v>2690</v>
      </c>
      <c r="AX154" s="184">
        <v>2690</v>
      </c>
      <c r="AY154" s="184">
        <v>2690</v>
      </c>
      <c r="AZ154" s="184">
        <v>2470</v>
      </c>
      <c r="BA154" s="184">
        <v>2470</v>
      </c>
      <c r="BB154" s="184">
        <v>2770</v>
      </c>
      <c r="BC154" s="184">
        <v>2770</v>
      </c>
      <c r="BD154" s="184">
        <v>2770</v>
      </c>
      <c r="BE154" s="184">
        <v>2770</v>
      </c>
      <c r="BF154" s="184">
        <v>2690</v>
      </c>
      <c r="BG154" s="184">
        <v>2690</v>
      </c>
      <c r="BH154" s="184">
        <v>2690</v>
      </c>
      <c r="BI154" s="184">
        <v>2720</v>
      </c>
      <c r="BJ154" s="184">
        <v>2720</v>
      </c>
      <c r="BK154" s="184">
        <v>2720</v>
      </c>
      <c r="BL154" s="184">
        <v>2820</v>
      </c>
      <c r="BM154" s="184">
        <v>2820</v>
      </c>
      <c r="BN154" s="184">
        <v>2820</v>
      </c>
      <c r="BO154" s="184">
        <v>2900</v>
      </c>
      <c r="BP154" s="184">
        <v>2900</v>
      </c>
      <c r="BQ154" s="184">
        <v>2900</v>
      </c>
      <c r="BR154" s="184"/>
      <c r="BS154" s="184"/>
      <c r="BT154" s="184"/>
      <c r="BU154" s="146" cm="1">
        <f t="array" ref="BU154">LOOKUP(2,1/(Y154:BT154&lt;&gt;""),Y154:BH154)</f>
        <v>2900</v>
      </c>
      <c r="BV154" s="145" cm="1">
        <f t="array" aca="1" ref="BV154" ca="1">_xlfn.LET(
    _xlpm.last_col_idx, LOOKUP(2, 1/(Y154:BT154&lt;&gt;""), COLUMN(Y154:BT154) - COLUMN(Y154) + 1),
    _xlpm.header_val, INDEX($Y$3:$BT$3, 1, _xlpm.last_col_idx),
    _xlpm.header_date, IF(ISNUMBER(_xlpm.header_val), _xlpm.header_val, DATEVALUE(_xlpm.header_val)),
    IF(_xlpm.header_date &gt; TODAY(), TODAY(), _xlpm.header_date)
)</f>
        <v>46212</v>
      </c>
      <c r="BW154" s="209" cm="1">
        <f t="array" ref="BW154">(LOOKUP(2,1/(BH154:BT154&lt;&gt;""),BH154:BT154))/(INDEX(BH154:BT154,MATCH(TRUE,INDEX((BH154:BT154&lt;&gt;0),0),0)))-1</f>
        <v>7.8066914498141182E-2</v>
      </c>
      <c r="BX154" s="210">
        <f t="shared" si="32"/>
        <v>2.9</v>
      </c>
      <c r="BY154" s="210">
        <f t="shared" si="33"/>
        <v>17.11</v>
      </c>
      <c r="BZ154" s="210">
        <f ca="1">IF(L154="BR",'Impostos e Frete'!$F$6,IF(L154="EU",'Impostos e Frete'!$I$3,IF(L154="CN",'Impostos e Frete'!$I$4,IF(L154="JP",'Impostos e Frete'!$I$5,IF(L154="RU",'Impostos e Frete'!$I$7,"ERRO")))))</f>
        <v>0.1410816</v>
      </c>
      <c r="CA154" s="210">
        <f>VLOOKUP(L154,'Impostos e Frete'!$A$3:$B$7,2,0)*'Preços e Condições'!BY154</f>
        <v>2.2242999999999999</v>
      </c>
      <c r="CB154" s="147">
        <f t="shared" si="34"/>
        <v>0</v>
      </c>
      <c r="CC154" s="147">
        <f>IF(X154="BRL",'Impostos e Frete'!$B$11,'Impostos e Frete'!$B$12)</f>
        <v>9.1999999999999998E-2</v>
      </c>
      <c r="CD154" s="211">
        <f t="shared" ca="1" si="35"/>
        <v>19.567381599999997</v>
      </c>
      <c r="CE154" s="212">
        <f t="shared" ca="1" si="36"/>
        <v>1.3305819487999997</v>
      </c>
      <c r="CF154" s="213">
        <f>VLOOKUP(L154,'Impostos e Frete'!$A$3:$C$7,3,0)</f>
        <v>105</v>
      </c>
      <c r="CG154" s="213">
        <f t="shared" si="37"/>
        <v>120</v>
      </c>
      <c r="CH154" s="213">
        <f t="shared" si="38"/>
        <v>15</v>
      </c>
      <c r="CI154" s="214">
        <f t="shared" ca="1" si="39"/>
        <v>-0.1451247343905635</v>
      </c>
      <c r="CJ154" s="215">
        <f t="shared" ca="1" si="40"/>
        <v>19.422256865609434</v>
      </c>
      <c r="CK154" s="216">
        <f t="shared" ca="1" si="41"/>
        <v>1.3207134668614415</v>
      </c>
    </row>
    <row r="155" spans="1:89">
      <c r="A155" s="176">
        <v>17012</v>
      </c>
      <c r="B155" s="186">
        <v>8269</v>
      </c>
      <c r="C155" s="178">
        <v>70</v>
      </c>
      <c r="D155" s="178">
        <v>1870</v>
      </c>
      <c r="E155" s="178" t="s">
        <v>50</v>
      </c>
      <c r="F155" s="179" t="s">
        <v>47</v>
      </c>
      <c r="G155" s="185" t="s">
        <v>91</v>
      </c>
      <c r="H155" s="178" t="s">
        <v>42</v>
      </c>
      <c r="I155" s="178">
        <v>6552</v>
      </c>
      <c r="J155" s="178"/>
      <c r="K155" s="178"/>
      <c r="L155" s="178" t="s">
        <v>59</v>
      </c>
      <c r="M155" s="178">
        <v>120</v>
      </c>
      <c r="N155" s="178">
        <v>300</v>
      </c>
      <c r="O155" s="178"/>
      <c r="P155" s="178"/>
      <c r="Q155" s="178"/>
      <c r="R155" s="178" t="s">
        <v>19</v>
      </c>
      <c r="S155" s="181"/>
      <c r="T155" s="181"/>
      <c r="U155" s="182"/>
      <c r="V155" s="182" t="s">
        <v>35</v>
      </c>
      <c r="W155" s="183">
        <v>50</v>
      </c>
      <c r="X155" s="182" t="s">
        <v>51</v>
      </c>
      <c r="Y155" s="184">
        <v>2910</v>
      </c>
      <c r="Z155" s="184">
        <v>2910</v>
      </c>
      <c r="AA155" s="184">
        <v>2910</v>
      </c>
      <c r="AB155" s="184">
        <v>2910</v>
      </c>
      <c r="AC155" s="184">
        <v>2910</v>
      </c>
      <c r="AD155" s="184">
        <v>2910</v>
      </c>
      <c r="AE155" s="184">
        <v>2300</v>
      </c>
      <c r="AF155" s="184">
        <v>2300</v>
      </c>
      <c r="AG155" s="184">
        <v>2300</v>
      </c>
      <c r="AH155" s="184">
        <v>2150</v>
      </c>
      <c r="AI155" s="184">
        <v>2150</v>
      </c>
      <c r="AJ155" s="184">
        <v>2120</v>
      </c>
      <c r="AK155" s="184">
        <v>2210</v>
      </c>
      <c r="AL155" s="184">
        <v>2210</v>
      </c>
      <c r="AM155" s="184">
        <v>2210</v>
      </c>
      <c r="AN155" s="184">
        <v>2340</v>
      </c>
      <c r="AO155" s="184">
        <v>2340</v>
      </c>
      <c r="AP155" s="184">
        <v>2340</v>
      </c>
      <c r="AQ155" s="184">
        <v>2490</v>
      </c>
      <c r="AR155" s="184">
        <v>2490</v>
      </c>
      <c r="AS155" s="184">
        <v>2490</v>
      </c>
      <c r="AT155" s="184">
        <v>2490</v>
      </c>
      <c r="AU155" s="184">
        <v>2490</v>
      </c>
      <c r="AV155" s="184">
        <v>2490</v>
      </c>
      <c r="AW155" s="184">
        <v>2410</v>
      </c>
      <c r="AX155" s="184">
        <v>2410</v>
      </c>
      <c r="AY155" s="184">
        <v>2410</v>
      </c>
      <c r="AZ155" s="184">
        <v>2170</v>
      </c>
      <c r="BA155" s="184">
        <v>2170</v>
      </c>
      <c r="BB155" s="184">
        <v>2300</v>
      </c>
      <c r="BC155" s="184">
        <v>2300</v>
      </c>
      <c r="BD155" s="184">
        <v>2300</v>
      </c>
      <c r="BE155" s="184">
        <v>2300</v>
      </c>
      <c r="BF155" s="184">
        <v>2200</v>
      </c>
      <c r="BG155" s="184">
        <v>2200</v>
      </c>
      <c r="BH155" s="184">
        <v>2200</v>
      </c>
      <c r="BI155" s="184">
        <v>2230</v>
      </c>
      <c r="BJ155" s="184">
        <v>2230</v>
      </c>
      <c r="BK155" s="184">
        <v>2230</v>
      </c>
      <c r="BL155" s="184">
        <v>2330</v>
      </c>
      <c r="BM155" s="184">
        <v>2330</v>
      </c>
      <c r="BN155" s="184">
        <v>2330</v>
      </c>
      <c r="BO155" s="184">
        <v>2410</v>
      </c>
      <c r="BP155" s="184">
        <v>2410</v>
      </c>
      <c r="BQ155" s="184">
        <v>2410</v>
      </c>
      <c r="BR155" s="184"/>
      <c r="BS155" s="184"/>
      <c r="BT155" s="184"/>
      <c r="BU155" s="146" cm="1">
        <f t="array" ref="BU155">LOOKUP(2,1/(Y155:BT155&lt;&gt;""),Y155:BH155)</f>
        <v>2410</v>
      </c>
      <c r="BV155" s="145" cm="1">
        <f t="array" aca="1" ref="BV155" ca="1">_xlfn.LET(
    _xlpm.last_col_idx, LOOKUP(2, 1/(Y155:BT155&lt;&gt;""), COLUMN(Y155:BT155) - COLUMN(Y155) + 1),
    _xlpm.header_val, INDEX($Y$3:$BT$3, 1, _xlpm.last_col_idx),
    _xlpm.header_date, IF(ISNUMBER(_xlpm.header_val), _xlpm.header_val, DATEVALUE(_xlpm.header_val)),
    IF(_xlpm.header_date &gt; TODAY(), TODAY(), _xlpm.header_date)
)</f>
        <v>46212</v>
      </c>
      <c r="BW155" s="209" cm="1">
        <f t="array" ref="BW155">(LOOKUP(2,1/(BH155:BT155&lt;&gt;""),BH155:BT155))/(INDEX(BH155:BT155,MATCH(TRUE,INDEX((BH155:BT155&lt;&gt;0),0),0)))-1</f>
        <v>9.5454545454545459E-2</v>
      </c>
      <c r="BX155" s="210">
        <f t="shared" si="32"/>
        <v>2.41</v>
      </c>
      <c r="BY155" s="210">
        <f t="shared" si="33"/>
        <v>14.219000000000001</v>
      </c>
      <c r="BZ155" s="210">
        <f ca="1">IF(L155="BR",'Impostos e Frete'!$F$6,IF(L155="EU",'Impostos e Frete'!$I$3,IF(L155="CN",'Impostos e Frete'!$I$4,IF(L155="JP",'Impostos e Frete'!$I$5,IF(L155="RU",'Impostos e Frete'!$I$7,"ERRO")))))</f>
        <v>0.1410816</v>
      </c>
      <c r="CA155" s="210">
        <f>VLOOKUP(L155,'Impostos e Frete'!$A$3:$B$7,2,0)*'Preços e Condições'!BY155</f>
        <v>1.8484700000000003</v>
      </c>
      <c r="CB155" s="147">
        <f t="shared" si="34"/>
        <v>0</v>
      </c>
      <c r="CC155" s="147">
        <f>IF(X155="BRL",'Impostos e Frete'!$B$11,'Impostos e Frete'!$B$12)</f>
        <v>9.1999999999999998E-2</v>
      </c>
      <c r="CD155" s="211">
        <f t="shared" ca="1" si="35"/>
        <v>16.300551599999999</v>
      </c>
      <c r="CE155" s="212">
        <f t="shared" ca="1" si="36"/>
        <v>1.1410386119999998</v>
      </c>
      <c r="CF155" s="213">
        <f>VLOOKUP(L155,'Impostos e Frete'!$A$3:$C$7,3,0)</f>
        <v>105</v>
      </c>
      <c r="CG155" s="213">
        <f t="shared" si="37"/>
        <v>120</v>
      </c>
      <c r="CH155" s="213">
        <f t="shared" si="38"/>
        <v>15</v>
      </c>
      <c r="CI155" s="214">
        <f t="shared" ca="1" si="39"/>
        <v>-0.12089574730681818</v>
      </c>
      <c r="CJ155" s="215">
        <f t="shared" ca="1" si="40"/>
        <v>16.17965585269318</v>
      </c>
      <c r="CK155" s="216">
        <f t="shared" ca="1" si="41"/>
        <v>1.1325759096885226</v>
      </c>
    </row>
    <row r="156" spans="1:89">
      <c r="A156" s="176">
        <v>17012</v>
      </c>
      <c r="B156" s="186">
        <v>8269</v>
      </c>
      <c r="C156" s="178">
        <v>70</v>
      </c>
      <c r="D156" s="178">
        <v>1870</v>
      </c>
      <c r="E156" s="178" t="s">
        <v>50</v>
      </c>
      <c r="F156" s="179" t="s">
        <v>47</v>
      </c>
      <c r="G156" s="185" t="s">
        <v>91</v>
      </c>
      <c r="H156" s="178" t="s">
        <v>42</v>
      </c>
      <c r="I156" s="178">
        <v>6552</v>
      </c>
      <c r="J156" s="178"/>
      <c r="K156" s="178"/>
      <c r="L156" s="178" t="s">
        <v>59</v>
      </c>
      <c r="M156" s="178">
        <v>120</v>
      </c>
      <c r="N156" s="178">
        <v>300</v>
      </c>
      <c r="O156" s="178"/>
      <c r="P156" s="178"/>
      <c r="Q156" s="178"/>
      <c r="R156" s="178" t="s">
        <v>19</v>
      </c>
      <c r="S156" s="181"/>
      <c r="T156" s="181"/>
      <c r="U156" s="182"/>
      <c r="V156" s="182" t="s">
        <v>35</v>
      </c>
      <c r="W156" s="183">
        <v>30</v>
      </c>
      <c r="X156" s="182" t="s">
        <v>51</v>
      </c>
      <c r="Y156" s="184">
        <v>2960</v>
      </c>
      <c r="Z156" s="184">
        <v>2960</v>
      </c>
      <c r="AA156" s="184">
        <v>2960</v>
      </c>
      <c r="AB156" s="184">
        <v>2960</v>
      </c>
      <c r="AC156" s="184">
        <v>2960</v>
      </c>
      <c r="AD156" s="184">
        <v>2960</v>
      </c>
      <c r="AE156" s="184">
        <v>2350</v>
      </c>
      <c r="AF156" s="184">
        <v>2350</v>
      </c>
      <c r="AG156" s="184">
        <v>2350</v>
      </c>
      <c r="AH156" s="184">
        <v>2200</v>
      </c>
      <c r="AI156" s="184">
        <v>2200</v>
      </c>
      <c r="AJ156" s="184">
        <v>2170</v>
      </c>
      <c r="AK156" s="146">
        <f>AK155+50</f>
        <v>2260</v>
      </c>
      <c r="AL156" s="146">
        <f>AL155+50</f>
        <v>2260</v>
      </c>
      <c r="AM156" s="146">
        <f>AM155+50</f>
        <v>2260</v>
      </c>
      <c r="AN156" s="184">
        <v>2390</v>
      </c>
      <c r="AO156" s="184">
        <v>2390</v>
      </c>
      <c r="AP156" s="184">
        <v>2390</v>
      </c>
      <c r="AQ156" s="184">
        <v>2540</v>
      </c>
      <c r="AR156" s="184">
        <v>2540</v>
      </c>
      <c r="AS156" s="184">
        <v>2540</v>
      </c>
      <c r="AT156" s="184">
        <v>2540</v>
      </c>
      <c r="AU156" s="184">
        <v>2540</v>
      </c>
      <c r="AV156" s="184">
        <v>2540</v>
      </c>
      <c r="AW156" s="184">
        <v>2460</v>
      </c>
      <c r="AX156" s="184">
        <v>2460</v>
      </c>
      <c r="AY156" s="184">
        <v>2460</v>
      </c>
      <c r="AZ156" s="184">
        <v>2220</v>
      </c>
      <c r="BA156" s="184">
        <v>2220</v>
      </c>
      <c r="BB156" s="184">
        <v>2350</v>
      </c>
      <c r="BC156" s="184">
        <v>2350</v>
      </c>
      <c r="BD156" s="184">
        <v>2350</v>
      </c>
      <c r="BE156" s="184">
        <v>2350</v>
      </c>
      <c r="BF156" s="184">
        <v>2250</v>
      </c>
      <c r="BG156" s="184">
        <v>2250</v>
      </c>
      <c r="BH156" s="184">
        <v>2250</v>
      </c>
      <c r="BI156" s="184">
        <v>2280</v>
      </c>
      <c r="BJ156" s="184">
        <v>2280</v>
      </c>
      <c r="BK156" s="184">
        <v>2280</v>
      </c>
      <c r="BL156" s="184">
        <v>2380</v>
      </c>
      <c r="BM156" s="184">
        <v>2380</v>
      </c>
      <c r="BN156" s="184">
        <v>2380</v>
      </c>
      <c r="BO156" s="184">
        <v>2460</v>
      </c>
      <c r="BP156" s="184">
        <v>2460</v>
      </c>
      <c r="BQ156" s="184">
        <v>2460</v>
      </c>
      <c r="BR156" s="184"/>
      <c r="BS156" s="184"/>
      <c r="BT156" s="184"/>
      <c r="BU156" s="146" cm="1">
        <f t="array" ref="BU156">LOOKUP(2,1/(Y156:BT156&lt;&gt;""),Y156:BH156)</f>
        <v>2460</v>
      </c>
      <c r="BV156" s="145" cm="1">
        <f t="array" aca="1" ref="BV156" ca="1">_xlfn.LET(
    _xlpm.last_col_idx, LOOKUP(2, 1/(Y156:BT156&lt;&gt;""), COLUMN(Y156:BT156) - COLUMN(Y156) + 1),
    _xlpm.header_val, INDEX($Y$3:$BT$3, 1, _xlpm.last_col_idx),
    _xlpm.header_date, IF(ISNUMBER(_xlpm.header_val), _xlpm.header_val, DATEVALUE(_xlpm.header_val)),
    IF(_xlpm.header_date &gt; TODAY(), TODAY(), _xlpm.header_date)
)</f>
        <v>46212</v>
      </c>
      <c r="BW156" s="209" cm="1">
        <f t="array" ref="BW156">(LOOKUP(2,1/(BH156:BT156&lt;&gt;""),BH156:BT156))/(INDEX(BH156:BT156,MATCH(TRUE,INDEX((BH156:BT156&lt;&gt;0),0),0)))-1</f>
        <v>9.3333333333333268E-2</v>
      </c>
      <c r="BX156" s="210">
        <f t="shared" si="32"/>
        <v>2.46</v>
      </c>
      <c r="BY156" s="210">
        <f t="shared" si="33"/>
        <v>14.514000000000001</v>
      </c>
      <c r="BZ156" s="210">
        <f ca="1">IF(L156="BR",'Impostos e Frete'!$F$6,IF(L156="EU",'Impostos e Frete'!$I$3,IF(L156="CN",'Impostos e Frete'!$I$4,IF(L156="JP",'Impostos e Frete'!$I$5,IF(L156="RU",'Impostos e Frete'!$I$7,"ERRO")))))</f>
        <v>0.1410816</v>
      </c>
      <c r="CA156" s="210">
        <f>VLOOKUP(L156,'Impostos e Frete'!$A$3:$B$7,2,0)*'Preços e Condições'!BY156</f>
        <v>1.8868200000000002</v>
      </c>
      <c r="CB156" s="147">
        <f t="shared" si="34"/>
        <v>0</v>
      </c>
      <c r="CC156" s="147">
        <f>IF(X156="BRL",'Impostos e Frete'!$B$11,'Impostos e Frete'!$B$12)</f>
        <v>9.1999999999999998E-2</v>
      </c>
      <c r="CD156" s="211">
        <f t="shared" ca="1" si="35"/>
        <v>16.633901600000002</v>
      </c>
      <c r="CE156" s="212">
        <f t="shared" ca="1" si="36"/>
        <v>1.164373112</v>
      </c>
      <c r="CF156" s="213">
        <f>VLOOKUP(L156,'Impostos e Frete'!$A$3:$C$7,3,0)</f>
        <v>105</v>
      </c>
      <c r="CG156" s="213">
        <f t="shared" si="37"/>
        <v>120</v>
      </c>
      <c r="CH156" s="213">
        <f t="shared" si="38"/>
        <v>15</v>
      </c>
      <c r="CI156" s="214">
        <f t="shared" ca="1" si="39"/>
        <v>-0.12336809292760975</v>
      </c>
      <c r="CJ156" s="215">
        <f t="shared" ca="1" si="40"/>
        <v>16.510533507072392</v>
      </c>
      <c r="CK156" s="216">
        <f t="shared" ca="1" si="41"/>
        <v>1.1557373454950675</v>
      </c>
    </row>
    <row r="157" spans="1:89">
      <c r="A157" s="176">
        <v>17012</v>
      </c>
      <c r="B157" s="186">
        <v>8269</v>
      </c>
      <c r="C157" s="178">
        <v>70</v>
      </c>
      <c r="D157" s="178">
        <v>1870</v>
      </c>
      <c r="E157" s="178" t="s">
        <v>50</v>
      </c>
      <c r="F157" s="179" t="s">
        <v>47</v>
      </c>
      <c r="G157" s="185" t="s">
        <v>91</v>
      </c>
      <c r="H157" s="178" t="s">
        <v>42</v>
      </c>
      <c r="I157" s="178">
        <v>6552</v>
      </c>
      <c r="J157" s="178"/>
      <c r="K157" s="178"/>
      <c r="L157" s="178" t="s">
        <v>59</v>
      </c>
      <c r="M157" s="178">
        <v>120</v>
      </c>
      <c r="N157" s="178">
        <v>300</v>
      </c>
      <c r="O157" s="178"/>
      <c r="P157" s="178"/>
      <c r="Q157" s="178"/>
      <c r="R157" s="178" t="s">
        <v>19</v>
      </c>
      <c r="S157" s="181"/>
      <c r="T157" s="181"/>
      <c r="U157" s="182"/>
      <c r="V157" s="182" t="s">
        <v>35</v>
      </c>
      <c r="W157" s="183">
        <v>20</v>
      </c>
      <c r="X157" s="182" t="s">
        <v>51</v>
      </c>
      <c r="Y157" s="184">
        <v>3010</v>
      </c>
      <c r="Z157" s="184">
        <v>3010</v>
      </c>
      <c r="AA157" s="184">
        <v>3010</v>
      </c>
      <c r="AB157" s="184">
        <v>3010</v>
      </c>
      <c r="AC157" s="184">
        <v>3010</v>
      </c>
      <c r="AD157" s="184">
        <v>3010</v>
      </c>
      <c r="AE157" s="184">
        <v>2400</v>
      </c>
      <c r="AF157" s="184">
        <v>2400</v>
      </c>
      <c r="AG157" s="184">
        <v>2400</v>
      </c>
      <c r="AH157" s="184">
        <v>2250</v>
      </c>
      <c r="AI157" s="184">
        <v>2250</v>
      </c>
      <c r="AJ157" s="184">
        <v>2220</v>
      </c>
      <c r="AK157" s="146">
        <f>AK155+100</f>
        <v>2310</v>
      </c>
      <c r="AL157" s="146">
        <f>AL155+100</f>
        <v>2310</v>
      </c>
      <c r="AM157" s="146">
        <f>AM155+100</f>
        <v>2310</v>
      </c>
      <c r="AN157" s="184">
        <v>2440</v>
      </c>
      <c r="AO157" s="184">
        <v>2440</v>
      </c>
      <c r="AP157" s="184">
        <v>2440</v>
      </c>
      <c r="AQ157" s="184">
        <v>2590</v>
      </c>
      <c r="AR157" s="184">
        <v>2590</v>
      </c>
      <c r="AS157" s="184">
        <v>2590</v>
      </c>
      <c r="AT157" s="184">
        <v>2590</v>
      </c>
      <c r="AU157" s="184">
        <v>2590</v>
      </c>
      <c r="AV157" s="184">
        <v>2590</v>
      </c>
      <c r="AW157" s="184">
        <v>2510</v>
      </c>
      <c r="AX157" s="184">
        <v>2510</v>
      </c>
      <c r="AY157" s="184">
        <v>2510</v>
      </c>
      <c r="AZ157" s="184">
        <v>2270</v>
      </c>
      <c r="BA157" s="184">
        <v>2270</v>
      </c>
      <c r="BB157" s="184">
        <v>2400</v>
      </c>
      <c r="BC157" s="184">
        <v>2400</v>
      </c>
      <c r="BD157" s="184">
        <v>2400</v>
      </c>
      <c r="BE157" s="184">
        <v>2400</v>
      </c>
      <c r="BF157" s="184">
        <v>2300</v>
      </c>
      <c r="BG157" s="184">
        <v>2300</v>
      </c>
      <c r="BH157" s="184">
        <v>2300</v>
      </c>
      <c r="BI157" s="184">
        <v>2330</v>
      </c>
      <c r="BJ157" s="184">
        <v>2330</v>
      </c>
      <c r="BK157" s="184">
        <v>2330</v>
      </c>
      <c r="BL157" s="184">
        <v>2430</v>
      </c>
      <c r="BM157" s="184">
        <v>2430</v>
      </c>
      <c r="BN157" s="184">
        <v>2430</v>
      </c>
      <c r="BO157" s="184">
        <v>2510</v>
      </c>
      <c r="BP157" s="184">
        <v>2510</v>
      </c>
      <c r="BQ157" s="184">
        <v>2510</v>
      </c>
      <c r="BR157" s="184"/>
      <c r="BS157" s="184"/>
      <c r="BT157" s="184"/>
      <c r="BU157" s="146" cm="1">
        <f t="array" ref="BU157">LOOKUP(2,1/(Y157:BT157&lt;&gt;""),Y157:BH157)</f>
        <v>2510</v>
      </c>
      <c r="BV157" s="145" cm="1">
        <f t="array" aca="1" ref="BV157" ca="1">_xlfn.LET(
    _xlpm.last_col_idx, LOOKUP(2, 1/(Y157:BT157&lt;&gt;""), COLUMN(Y157:BT157) - COLUMN(Y157) + 1),
    _xlpm.header_val, INDEX($Y$3:$BT$3, 1, _xlpm.last_col_idx),
    _xlpm.header_date, IF(ISNUMBER(_xlpm.header_val), _xlpm.header_val, DATEVALUE(_xlpm.header_val)),
    IF(_xlpm.header_date &gt; TODAY(), TODAY(), _xlpm.header_date)
)</f>
        <v>46212</v>
      </c>
      <c r="BW157" s="209" cm="1">
        <f t="array" ref="BW157">(LOOKUP(2,1/(BH157:BT157&lt;&gt;""),BH157:BT157))/(INDEX(BH157:BT157,MATCH(TRUE,INDEX((BH157:BT157&lt;&gt;0),0),0)))-1</f>
        <v>9.1304347826086873E-2</v>
      </c>
      <c r="BX157" s="210">
        <f t="shared" si="32"/>
        <v>2.5099999999999998</v>
      </c>
      <c r="BY157" s="210">
        <f t="shared" si="33"/>
        <v>14.808999999999999</v>
      </c>
      <c r="BZ157" s="210">
        <f ca="1">IF(L157="BR",'Impostos e Frete'!$F$6,IF(L157="EU",'Impostos e Frete'!$I$3,IF(L157="CN",'Impostos e Frete'!$I$4,IF(L157="JP",'Impostos e Frete'!$I$5,IF(L157="RU",'Impostos e Frete'!$I$7,"ERRO")))))</f>
        <v>0.1410816</v>
      </c>
      <c r="CA157" s="210">
        <f>VLOOKUP(L157,'Impostos e Frete'!$A$3:$B$7,2,0)*'Preços e Condições'!BY157</f>
        <v>1.92517</v>
      </c>
      <c r="CB157" s="147">
        <f t="shared" si="34"/>
        <v>0</v>
      </c>
      <c r="CC157" s="147">
        <f>IF(X157="BRL",'Impostos e Frete'!$B$11,'Impostos e Frete'!$B$12)</f>
        <v>9.1999999999999998E-2</v>
      </c>
      <c r="CD157" s="211">
        <f t="shared" ca="1" si="35"/>
        <v>16.967251599999997</v>
      </c>
      <c r="CE157" s="212">
        <f t="shared" ca="1" si="36"/>
        <v>1.1877076119999999</v>
      </c>
      <c r="CF157" s="213">
        <f>VLOOKUP(L157,'Impostos e Frete'!$A$3:$C$7,3,0)</f>
        <v>105</v>
      </c>
      <c r="CG157" s="213">
        <f t="shared" si="37"/>
        <v>120</v>
      </c>
      <c r="CH157" s="213">
        <f t="shared" si="38"/>
        <v>15</v>
      </c>
      <c r="CI157" s="214">
        <f t="shared" ca="1" si="39"/>
        <v>-0.12584043854840132</v>
      </c>
      <c r="CJ157" s="215">
        <f t="shared" ca="1" si="40"/>
        <v>16.841411161451596</v>
      </c>
      <c r="CK157" s="216">
        <f t="shared" ca="1" si="41"/>
        <v>1.1788987813016116</v>
      </c>
    </row>
    <row r="158" spans="1:89">
      <c r="A158" s="176">
        <v>17012</v>
      </c>
      <c r="B158" s="186">
        <v>8269</v>
      </c>
      <c r="C158" s="178">
        <v>70</v>
      </c>
      <c r="D158" s="178">
        <v>1870</v>
      </c>
      <c r="E158" s="178" t="s">
        <v>50</v>
      </c>
      <c r="F158" s="179" t="s">
        <v>47</v>
      </c>
      <c r="G158" s="185" t="s">
        <v>91</v>
      </c>
      <c r="H158" s="178" t="s">
        <v>42</v>
      </c>
      <c r="I158" s="178">
        <v>6552</v>
      </c>
      <c r="J158" s="178"/>
      <c r="K158" s="178"/>
      <c r="L158" s="178" t="s">
        <v>59</v>
      </c>
      <c r="M158" s="178">
        <v>120</v>
      </c>
      <c r="N158" s="178">
        <v>300</v>
      </c>
      <c r="O158" s="178"/>
      <c r="P158" s="178"/>
      <c r="Q158" s="178"/>
      <c r="R158" s="178" t="s">
        <v>19</v>
      </c>
      <c r="S158" s="181"/>
      <c r="T158" s="181"/>
      <c r="U158" s="182"/>
      <c r="V158" s="182" t="s">
        <v>35</v>
      </c>
      <c r="W158" s="183">
        <v>10</v>
      </c>
      <c r="X158" s="182" t="s">
        <v>51</v>
      </c>
      <c r="Y158" s="184">
        <v>3090</v>
      </c>
      <c r="Z158" s="184">
        <v>3090</v>
      </c>
      <c r="AA158" s="184">
        <v>3090</v>
      </c>
      <c r="AB158" s="184">
        <v>3090</v>
      </c>
      <c r="AC158" s="184">
        <v>3090</v>
      </c>
      <c r="AD158" s="184">
        <v>3090</v>
      </c>
      <c r="AE158" s="184">
        <v>2480</v>
      </c>
      <c r="AF158" s="184">
        <v>2480</v>
      </c>
      <c r="AG158" s="184">
        <v>2480</v>
      </c>
      <c r="AH158" s="184">
        <v>2330</v>
      </c>
      <c r="AI158" s="184">
        <v>2330</v>
      </c>
      <c r="AJ158" s="184">
        <v>2300</v>
      </c>
      <c r="AK158" s="146">
        <f>AK155+180</f>
        <v>2390</v>
      </c>
      <c r="AL158" s="146">
        <f>AL155+180</f>
        <v>2390</v>
      </c>
      <c r="AM158" s="146">
        <f>AM155+180</f>
        <v>2390</v>
      </c>
      <c r="AN158" s="184">
        <v>2520</v>
      </c>
      <c r="AO158" s="184">
        <v>2520</v>
      </c>
      <c r="AP158" s="184">
        <v>2520</v>
      </c>
      <c r="AQ158" s="184">
        <v>2670</v>
      </c>
      <c r="AR158" s="184">
        <v>2670</v>
      </c>
      <c r="AS158" s="184">
        <v>2670</v>
      </c>
      <c r="AT158" s="184">
        <v>2670</v>
      </c>
      <c r="AU158" s="184">
        <v>2670</v>
      </c>
      <c r="AV158" s="184">
        <v>2670</v>
      </c>
      <c r="AW158" s="184">
        <v>2590</v>
      </c>
      <c r="AX158" s="184">
        <v>2590</v>
      </c>
      <c r="AY158" s="184">
        <v>2590</v>
      </c>
      <c r="AZ158" s="184">
        <v>2350</v>
      </c>
      <c r="BA158" s="184">
        <v>2350</v>
      </c>
      <c r="BB158" s="184">
        <v>2480</v>
      </c>
      <c r="BC158" s="184">
        <v>2480</v>
      </c>
      <c r="BD158" s="184">
        <v>2480</v>
      </c>
      <c r="BE158" s="184">
        <v>2480</v>
      </c>
      <c r="BF158" s="184">
        <v>2380</v>
      </c>
      <c r="BG158" s="184">
        <v>2380</v>
      </c>
      <c r="BH158" s="184">
        <v>2380</v>
      </c>
      <c r="BI158" s="184">
        <v>2410</v>
      </c>
      <c r="BJ158" s="184">
        <v>2410</v>
      </c>
      <c r="BK158" s="184">
        <v>2410</v>
      </c>
      <c r="BL158" s="184">
        <v>2510</v>
      </c>
      <c r="BM158" s="184">
        <v>2510</v>
      </c>
      <c r="BN158" s="184">
        <v>2510</v>
      </c>
      <c r="BO158" s="184">
        <v>2590</v>
      </c>
      <c r="BP158" s="184">
        <v>2590</v>
      </c>
      <c r="BQ158" s="184">
        <v>2590</v>
      </c>
      <c r="BR158" s="184"/>
      <c r="BS158" s="184"/>
      <c r="BT158" s="184"/>
      <c r="BU158" s="146" cm="1">
        <f t="array" ref="BU158">LOOKUP(2,1/(Y158:BT158&lt;&gt;""),Y158:BH158)</f>
        <v>2590</v>
      </c>
      <c r="BV158" s="145" cm="1">
        <f t="array" aca="1" ref="BV158" ca="1">_xlfn.LET(
    _xlpm.last_col_idx, LOOKUP(2, 1/(Y158:BT158&lt;&gt;""), COLUMN(Y158:BT158) - COLUMN(Y158) + 1),
    _xlpm.header_val, INDEX($Y$3:$BT$3, 1, _xlpm.last_col_idx),
    _xlpm.header_date, IF(ISNUMBER(_xlpm.header_val), _xlpm.header_val, DATEVALUE(_xlpm.header_val)),
    IF(_xlpm.header_date &gt; TODAY(), TODAY(), _xlpm.header_date)
)</f>
        <v>46212</v>
      </c>
      <c r="BW158" s="209" cm="1">
        <f t="array" ref="BW158">(LOOKUP(2,1/(BH158:BT158&lt;&gt;""),BH158:BT158))/(INDEX(BH158:BT158,MATCH(TRUE,INDEX((BH158:BT158&lt;&gt;0),0),0)))-1</f>
        <v>8.8235294117646967E-2</v>
      </c>
      <c r="BX158" s="210">
        <f t="shared" si="32"/>
        <v>2.59</v>
      </c>
      <c r="BY158" s="210">
        <f t="shared" si="33"/>
        <v>15.281000000000001</v>
      </c>
      <c r="BZ158" s="210">
        <f ca="1">IF(L158="BR",'Impostos e Frete'!$F$6,IF(L158="EU",'Impostos e Frete'!$I$3,IF(L158="CN",'Impostos e Frete'!$I$4,IF(L158="JP",'Impostos e Frete'!$I$5,IF(L158="RU",'Impostos e Frete'!$I$7,"ERRO")))))</f>
        <v>0.1410816</v>
      </c>
      <c r="CA158" s="210">
        <f>VLOOKUP(L158,'Impostos e Frete'!$A$3:$B$7,2,0)*'Preços e Condições'!BY158</f>
        <v>1.9865300000000001</v>
      </c>
      <c r="CB158" s="147">
        <f t="shared" si="34"/>
        <v>0</v>
      </c>
      <c r="CC158" s="147">
        <f>IF(X158="BRL",'Impostos e Frete'!$B$11,'Impostos e Frete'!$B$12)</f>
        <v>9.1999999999999998E-2</v>
      </c>
      <c r="CD158" s="211">
        <f t="shared" ca="1" si="35"/>
        <v>17.500611599999999</v>
      </c>
      <c r="CE158" s="212">
        <f t="shared" ca="1" si="36"/>
        <v>1.2250428120000001</v>
      </c>
      <c r="CF158" s="213">
        <f>VLOOKUP(L158,'Impostos e Frete'!$A$3:$C$7,3,0)</f>
        <v>105</v>
      </c>
      <c r="CG158" s="213">
        <f t="shared" si="37"/>
        <v>120</v>
      </c>
      <c r="CH158" s="213">
        <f t="shared" si="38"/>
        <v>15</v>
      </c>
      <c r="CI158" s="214">
        <f t="shared" ca="1" si="39"/>
        <v>-0.129796191541665</v>
      </c>
      <c r="CJ158" s="215">
        <f t="shared" ca="1" si="40"/>
        <v>17.370815408458334</v>
      </c>
      <c r="CK158" s="216">
        <f t="shared" ca="1" si="41"/>
        <v>1.2159570785920835</v>
      </c>
    </row>
    <row r="159" spans="1:89">
      <c r="A159" s="176">
        <v>17012</v>
      </c>
      <c r="B159" s="186">
        <v>8269</v>
      </c>
      <c r="C159" s="178">
        <v>70</v>
      </c>
      <c r="D159" s="178">
        <v>1870</v>
      </c>
      <c r="E159" s="178" t="s">
        <v>50</v>
      </c>
      <c r="F159" s="179" t="s">
        <v>47</v>
      </c>
      <c r="G159" s="185" t="s">
        <v>91</v>
      </c>
      <c r="H159" s="178" t="s">
        <v>42</v>
      </c>
      <c r="I159" s="178">
        <v>6552</v>
      </c>
      <c r="J159" s="178"/>
      <c r="K159" s="178"/>
      <c r="L159" s="178" t="s">
        <v>59</v>
      </c>
      <c r="M159" s="178">
        <v>120</v>
      </c>
      <c r="N159" s="178">
        <v>300</v>
      </c>
      <c r="O159" s="178"/>
      <c r="P159" s="178"/>
      <c r="Q159" s="178"/>
      <c r="R159" s="178" t="s">
        <v>19</v>
      </c>
      <c r="S159" s="181"/>
      <c r="T159" s="181"/>
      <c r="U159" s="182"/>
      <c r="V159" s="182" t="s">
        <v>35</v>
      </c>
      <c r="W159" s="183">
        <v>100</v>
      </c>
      <c r="X159" s="182" t="s">
        <v>51</v>
      </c>
      <c r="Y159" s="184"/>
      <c r="Z159" s="184"/>
      <c r="AA159" s="184"/>
      <c r="AB159" s="184"/>
      <c r="AC159" s="184"/>
      <c r="AD159" s="184"/>
      <c r="AE159" s="184"/>
      <c r="AF159" s="184"/>
      <c r="AG159" s="184"/>
      <c r="AH159" s="184"/>
      <c r="AI159" s="184"/>
      <c r="AJ159" s="184"/>
      <c r="AK159" s="184"/>
      <c r="AL159" s="184"/>
      <c r="AM159" s="184"/>
      <c r="AN159" s="184"/>
      <c r="AO159" s="184"/>
      <c r="AP159" s="184"/>
      <c r="AQ159" s="184">
        <v>2050</v>
      </c>
      <c r="AR159" s="184">
        <v>2050</v>
      </c>
      <c r="AS159" s="184">
        <v>2050</v>
      </c>
      <c r="AT159" s="184">
        <v>2050</v>
      </c>
      <c r="AU159" s="184">
        <v>2050</v>
      </c>
      <c r="AV159" s="184">
        <v>2050</v>
      </c>
      <c r="AW159" s="184">
        <v>2050</v>
      </c>
      <c r="AX159" s="184">
        <v>2050</v>
      </c>
      <c r="AY159" s="184">
        <v>2050</v>
      </c>
      <c r="AZ159" s="184">
        <v>1750</v>
      </c>
      <c r="BA159" s="184">
        <v>1750</v>
      </c>
      <c r="BB159" s="184"/>
      <c r="BC159" s="184"/>
      <c r="BD159" s="184"/>
      <c r="BE159" s="184"/>
      <c r="BF159" s="184"/>
      <c r="BG159" s="184"/>
      <c r="BH159" s="184"/>
      <c r="BI159" s="184"/>
      <c r="BJ159" s="184"/>
      <c r="BK159" s="184"/>
      <c r="BL159" s="184"/>
      <c r="BM159" s="184"/>
      <c r="BN159" s="184"/>
      <c r="BO159" s="184"/>
      <c r="BP159" s="184"/>
      <c r="BQ159" s="184"/>
      <c r="BR159" s="184"/>
      <c r="BS159" s="184"/>
      <c r="BT159" s="184"/>
      <c r="BU159" s="146" cm="1">
        <f t="array" ref="BU159">LOOKUP(2,1/(Y159:BT159&lt;&gt;""),Y159:BH159)</f>
        <v>1750</v>
      </c>
      <c r="BV159" s="145" cm="1">
        <f t="array" aca="1" ref="BV159" ca="1">_xlfn.LET(
    _xlpm.last_col_idx, LOOKUP(2, 1/(Y159:BT159&lt;&gt;""), COLUMN(Y159:BT159) - COLUMN(Y159) + 1),
    _xlpm.header_val, INDEX($Y$3:$BT$3, 1, _xlpm.last_col_idx),
    _xlpm.header_date, IF(ISNUMBER(_xlpm.header_val), _xlpm.header_val, DATEVALUE(_xlpm.header_val)),
    IF(_xlpm.header_date &gt; TODAY(), TODAY(), _xlpm.header_date)
)</f>
        <v>45778</v>
      </c>
      <c r="BW159" s="209" t="e" cm="1">
        <f t="array" ref="BW159">(LOOKUP(2,1/(BH159:BT159&lt;&gt;""),BH159:BT159))/(INDEX(BH159:BT159,MATCH(TRUE,INDEX((BH159:BT159&lt;&gt;0),0),0)))-1</f>
        <v>#N/A</v>
      </c>
      <c r="BX159" s="210">
        <f t="shared" si="32"/>
        <v>1.75</v>
      </c>
      <c r="BY159" s="210">
        <f t="shared" si="33"/>
        <v>10.325000000000001</v>
      </c>
      <c r="BZ159" s="210">
        <f ca="1">IF(L159="BR",'Impostos e Frete'!$F$6,IF(L159="EU",'Impostos e Frete'!$I$3,IF(L159="CN",'Impostos e Frete'!$I$4,IF(L159="JP",'Impostos e Frete'!$I$5,IF(L159="RU",'Impostos e Frete'!$I$7,"ERRO")))))</f>
        <v>0.1410816</v>
      </c>
      <c r="CA159" s="210">
        <f>VLOOKUP(L159,'Impostos e Frete'!$A$3:$B$7,2,0)*'Preços e Condições'!BY159</f>
        <v>1.3422500000000002</v>
      </c>
      <c r="CB159" s="147">
        <f t="shared" si="34"/>
        <v>0</v>
      </c>
      <c r="CC159" s="147">
        <f>IF(X159="BRL",'Impostos e Frete'!$B$11,'Impostos e Frete'!$B$12)</f>
        <v>9.1999999999999998E-2</v>
      </c>
      <c r="CD159" s="211">
        <f t="shared" ca="1" si="35"/>
        <v>11.900331600000001</v>
      </c>
      <c r="CE159" s="212">
        <f t="shared" ca="1" si="36"/>
        <v>0.83302321200000007</v>
      </c>
      <c r="CF159" s="213">
        <f>VLOOKUP(L159,'Impostos e Frete'!$A$3:$C$7,3,0)</f>
        <v>105</v>
      </c>
      <c r="CG159" s="213">
        <f t="shared" si="37"/>
        <v>120</v>
      </c>
      <c r="CH159" s="213">
        <f t="shared" si="38"/>
        <v>15</v>
      </c>
      <c r="CI159" s="214">
        <f t="shared" ca="1" si="39"/>
        <v>-8.8260785112385776E-2</v>
      </c>
      <c r="CJ159" s="215">
        <f t="shared" ca="1" si="40"/>
        <v>11.812070814887615</v>
      </c>
      <c r="CK159" s="216">
        <f t="shared" ca="1" si="41"/>
        <v>0.82684495704213301</v>
      </c>
    </row>
    <row r="160" spans="1:89">
      <c r="A160" s="176">
        <v>17023</v>
      </c>
      <c r="B160" s="186">
        <v>8291</v>
      </c>
      <c r="C160" s="178">
        <v>72</v>
      </c>
      <c r="D160" s="178">
        <v>1870</v>
      </c>
      <c r="E160" s="178"/>
      <c r="F160" s="179" t="s">
        <v>47</v>
      </c>
      <c r="G160" s="185" t="s">
        <v>95</v>
      </c>
      <c r="H160" s="178" t="s">
        <v>43</v>
      </c>
      <c r="I160" s="178">
        <v>6723</v>
      </c>
      <c r="J160" s="178"/>
      <c r="K160" s="178"/>
      <c r="L160" s="178" t="s">
        <v>59</v>
      </c>
      <c r="M160" s="178">
        <v>120</v>
      </c>
      <c r="N160" s="178">
        <v>300</v>
      </c>
      <c r="O160" s="178"/>
      <c r="P160" s="178"/>
      <c r="Q160" s="178"/>
      <c r="R160" s="178" t="s">
        <v>19</v>
      </c>
      <c r="S160" s="181"/>
      <c r="T160" s="181"/>
      <c r="U160" s="182"/>
      <c r="V160" s="182" t="s">
        <v>35</v>
      </c>
      <c r="W160" s="183">
        <v>50</v>
      </c>
      <c r="X160" s="182" t="s">
        <v>51</v>
      </c>
      <c r="Y160" s="184">
        <v>2580</v>
      </c>
      <c r="Z160" s="184">
        <v>2580</v>
      </c>
      <c r="AA160" s="184">
        <v>2580</v>
      </c>
      <c r="AB160" s="184">
        <v>2580</v>
      </c>
      <c r="AC160" s="184">
        <v>2580</v>
      </c>
      <c r="AD160" s="184">
        <v>2580</v>
      </c>
      <c r="AE160" s="184">
        <v>2150</v>
      </c>
      <c r="AF160" s="184">
        <v>2150</v>
      </c>
      <c r="AG160" s="184">
        <v>2150</v>
      </c>
      <c r="AH160" s="184">
        <v>2000</v>
      </c>
      <c r="AI160" s="184">
        <v>2000</v>
      </c>
      <c r="AJ160" s="184">
        <v>2000</v>
      </c>
      <c r="AK160" s="184">
        <v>2060</v>
      </c>
      <c r="AL160" s="184">
        <v>2060</v>
      </c>
      <c r="AM160" s="184">
        <v>2060</v>
      </c>
      <c r="AN160" s="184">
        <v>2190</v>
      </c>
      <c r="AO160" s="184">
        <v>2190</v>
      </c>
      <c r="AP160" s="184">
        <v>2190</v>
      </c>
      <c r="AQ160" s="184">
        <v>2340</v>
      </c>
      <c r="AR160" s="184">
        <v>2340</v>
      </c>
      <c r="AS160" s="184">
        <v>2340</v>
      </c>
      <c r="AT160" s="184">
        <v>2340</v>
      </c>
      <c r="AU160" s="184">
        <v>2340</v>
      </c>
      <c r="AV160" s="184">
        <v>2340</v>
      </c>
      <c r="AW160" s="184">
        <v>2260</v>
      </c>
      <c r="AX160" s="184">
        <v>2260</v>
      </c>
      <c r="AY160" s="184">
        <v>2260</v>
      </c>
      <c r="AZ160" s="184">
        <v>2060</v>
      </c>
      <c r="BA160" s="184">
        <v>2060</v>
      </c>
      <c r="BB160" s="184">
        <v>2360</v>
      </c>
      <c r="BC160" s="184">
        <v>2360</v>
      </c>
      <c r="BD160" s="184">
        <v>2360</v>
      </c>
      <c r="BE160" s="184">
        <v>2360</v>
      </c>
      <c r="BF160" s="184">
        <v>2280</v>
      </c>
      <c r="BG160" s="184">
        <v>2280</v>
      </c>
      <c r="BH160" s="184">
        <v>2280</v>
      </c>
      <c r="BI160" s="184">
        <v>2310</v>
      </c>
      <c r="BJ160" s="184">
        <v>2310</v>
      </c>
      <c r="BK160" s="184">
        <v>2310</v>
      </c>
      <c r="BL160" s="184">
        <v>2410</v>
      </c>
      <c r="BM160" s="184">
        <v>2410</v>
      </c>
      <c r="BN160" s="184">
        <v>2410</v>
      </c>
      <c r="BO160" s="184">
        <v>2490</v>
      </c>
      <c r="BP160" s="184">
        <v>2490</v>
      </c>
      <c r="BQ160" s="184">
        <v>2490</v>
      </c>
      <c r="BR160" s="184"/>
      <c r="BS160" s="184"/>
      <c r="BT160" s="184"/>
      <c r="BU160" s="146" cm="1">
        <f t="array" ref="BU160">LOOKUP(2,1/(Y160:BT160&lt;&gt;""),Y160:BH160)</f>
        <v>2490</v>
      </c>
      <c r="BV160" s="145" cm="1">
        <f t="array" aca="1" ref="BV160" ca="1">_xlfn.LET(
    _xlpm.last_col_idx, LOOKUP(2, 1/(Y160:BT160&lt;&gt;""), COLUMN(Y160:BT160) - COLUMN(Y160) + 1),
    _xlpm.header_val, INDEX($Y$3:$BT$3, 1, _xlpm.last_col_idx),
    _xlpm.header_date, IF(ISNUMBER(_xlpm.header_val), _xlpm.header_val, DATEVALUE(_xlpm.header_val)),
    IF(_xlpm.header_date &gt; TODAY(), TODAY(), _xlpm.header_date)
)</f>
        <v>46212</v>
      </c>
      <c r="BW160" s="209" cm="1">
        <f t="array" ref="BW160">(LOOKUP(2,1/(BH160:BT160&lt;&gt;""),BH160:BT160))/(INDEX(BH160:BT160,MATCH(TRUE,INDEX((BH160:BT160&lt;&gt;0),0),0)))-1</f>
        <v>9.210526315789469E-2</v>
      </c>
      <c r="BX160" s="210">
        <f t="shared" si="32"/>
        <v>2.4900000000000002</v>
      </c>
      <c r="BY160" s="210">
        <f t="shared" si="33"/>
        <v>14.691000000000003</v>
      </c>
      <c r="BZ160" s="210">
        <f ca="1">IF(L160="BR",'Impostos e Frete'!$F$6,IF(L160="EU",'Impostos e Frete'!$I$3,IF(L160="CN",'Impostos e Frete'!$I$4,IF(L160="JP",'Impostos e Frete'!$I$5,IF(L160="RU",'Impostos e Frete'!$I$7,"ERRO")))))</f>
        <v>0.1410816</v>
      </c>
      <c r="CA160" s="210">
        <f>VLOOKUP(L160,'Impostos e Frete'!$A$3:$B$7,2,0)*'Preços e Condições'!BY160</f>
        <v>1.9098300000000004</v>
      </c>
      <c r="CB160" s="147">
        <f t="shared" si="34"/>
        <v>0</v>
      </c>
      <c r="CC160" s="147">
        <f>IF(X160="BRL",'Impostos e Frete'!$B$11,'Impostos e Frete'!$B$12)</f>
        <v>9.1999999999999998E-2</v>
      </c>
      <c r="CD160" s="211">
        <f t="shared" ca="1" si="35"/>
        <v>16.8339116</v>
      </c>
      <c r="CE160" s="212">
        <f t="shared" ca="1" si="36"/>
        <v>1.2120416352000001</v>
      </c>
      <c r="CF160" s="213">
        <f>VLOOKUP(L160,'Impostos e Frete'!$A$3:$C$7,3,0)</f>
        <v>105</v>
      </c>
      <c r="CG160" s="213">
        <f t="shared" si="37"/>
        <v>120</v>
      </c>
      <c r="CH160" s="213">
        <f t="shared" si="38"/>
        <v>15</v>
      </c>
      <c r="CI160" s="214">
        <f t="shared" ca="1" si="39"/>
        <v>-0.12485150030008185</v>
      </c>
      <c r="CJ160" s="215">
        <f t="shared" ca="1" si="40"/>
        <v>16.709060099699919</v>
      </c>
      <c r="CK160" s="216">
        <f t="shared" ca="1" si="41"/>
        <v>1.2030523271783942</v>
      </c>
    </row>
    <row r="161" spans="1:89">
      <c r="A161" s="176">
        <v>17023</v>
      </c>
      <c r="B161" s="186">
        <v>8291</v>
      </c>
      <c r="C161" s="178">
        <v>72</v>
      </c>
      <c r="D161" s="178">
        <v>1870</v>
      </c>
      <c r="E161" s="178"/>
      <c r="F161" s="179" t="s">
        <v>47</v>
      </c>
      <c r="G161" s="185" t="s">
        <v>95</v>
      </c>
      <c r="H161" s="178" t="s">
        <v>43</v>
      </c>
      <c r="I161" s="178">
        <v>6723</v>
      </c>
      <c r="J161" s="178"/>
      <c r="K161" s="178"/>
      <c r="L161" s="178" t="s">
        <v>59</v>
      </c>
      <c r="M161" s="178">
        <v>120</v>
      </c>
      <c r="N161" s="178">
        <v>300</v>
      </c>
      <c r="O161" s="178"/>
      <c r="P161" s="178"/>
      <c r="Q161" s="178"/>
      <c r="R161" s="178" t="s">
        <v>19</v>
      </c>
      <c r="S161" s="181"/>
      <c r="T161" s="181"/>
      <c r="U161" s="182"/>
      <c r="V161" s="182" t="s">
        <v>35</v>
      </c>
      <c r="W161" s="183">
        <v>30</v>
      </c>
      <c r="X161" s="182" t="s">
        <v>51</v>
      </c>
      <c r="Y161" s="184">
        <v>2630</v>
      </c>
      <c r="Z161" s="184">
        <v>2630</v>
      </c>
      <c r="AA161" s="184">
        <v>2630</v>
      </c>
      <c r="AB161" s="184">
        <v>2630</v>
      </c>
      <c r="AC161" s="184">
        <v>2630</v>
      </c>
      <c r="AD161" s="184">
        <v>2630</v>
      </c>
      <c r="AE161" s="184">
        <v>2200</v>
      </c>
      <c r="AF161" s="184">
        <v>2200</v>
      </c>
      <c r="AG161" s="184">
        <v>2200</v>
      </c>
      <c r="AH161" s="184">
        <v>2050</v>
      </c>
      <c r="AI161" s="184">
        <v>2050</v>
      </c>
      <c r="AJ161" s="184">
        <v>2050</v>
      </c>
      <c r="AK161" s="146">
        <f>AK160+50</f>
        <v>2110</v>
      </c>
      <c r="AL161" s="146">
        <f>AL160+50</f>
        <v>2110</v>
      </c>
      <c r="AM161" s="146">
        <f>AM160+50</f>
        <v>2110</v>
      </c>
      <c r="AN161" s="184">
        <v>2240</v>
      </c>
      <c r="AO161" s="184">
        <v>2240</v>
      </c>
      <c r="AP161" s="184">
        <v>2240</v>
      </c>
      <c r="AQ161" s="184">
        <v>2390</v>
      </c>
      <c r="AR161" s="184">
        <v>2390</v>
      </c>
      <c r="AS161" s="184">
        <v>2390</v>
      </c>
      <c r="AT161" s="184">
        <v>2390</v>
      </c>
      <c r="AU161" s="184">
        <v>2390</v>
      </c>
      <c r="AV161" s="184">
        <v>2390</v>
      </c>
      <c r="AW161" s="184">
        <v>2310</v>
      </c>
      <c r="AX161" s="184">
        <v>2310</v>
      </c>
      <c r="AY161" s="184">
        <v>2310</v>
      </c>
      <c r="AZ161" s="184">
        <v>2110</v>
      </c>
      <c r="BA161" s="184">
        <v>2110</v>
      </c>
      <c r="BB161" s="184">
        <v>2410</v>
      </c>
      <c r="BC161" s="184">
        <v>2410</v>
      </c>
      <c r="BD161" s="184">
        <v>2410</v>
      </c>
      <c r="BE161" s="184">
        <v>2410</v>
      </c>
      <c r="BF161" s="184">
        <v>2330</v>
      </c>
      <c r="BG161" s="184">
        <v>2330</v>
      </c>
      <c r="BH161" s="184">
        <v>2330</v>
      </c>
      <c r="BI161" s="184"/>
      <c r="BJ161" s="184"/>
      <c r="BK161" s="184"/>
      <c r="BL161" s="184"/>
      <c r="BM161" s="184"/>
      <c r="BN161" s="184"/>
      <c r="BO161" s="184"/>
      <c r="BP161" s="184"/>
      <c r="BQ161" s="184"/>
      <c r="BR161" s="184"/>
      <c r="BS161" s="184"/>
      <c r="BT161" s="184"/>
      <c r="BU161" s="146" cm="1">
        <f t="array" ref="BU161">LOOKUP(2,1/(Y161:BT161&lt;&gt;""),Y161:BH161)</f>
        <v>2330</v>
      </c>
      <c r="BV161" s="145" cm="1">
        <f t="array" aca="1" ref="BV161" ca="1">_xlfn.LET(
    _xlpm.last_col_idx, LOOKUP(2, 1/(Y161:BT161&lt;&gt;""), COLUMN(Y161:BT161) - COLUMN(Y161) + 1),
    _xlpm.header_val, INDEX($Y$3:$BT$3, 1, _xlpm.last_col_idx),
    _xlpm.header_date, IF(ISNUMBER(_xlpm.header_val), _xlpm.header_val, DATEVALUE(_xlpm.header_val)),
    IF(_xlpm.header_date &gt; TODAY(), TODAY(), _xlpm.header_date)
)</f>
        <v>45992</v>
      </c>
      <c r="BW161" s="209" cm="1">
        <f t="array" ref="BW161">(LOOKUP(2,1/(BH161:BT161&lt;&gt;""),BH161:BT161))/(INDEX(BH161:BT161,MATCH(TRUE,INDEX((BH161:BT161&lt;&gt;0),0),0)))-1</f>
        <v>0</v>
      </c>
      <c r="BX161" s="210">
        <f t="shared" si="32"/>
        <v>2.33</v>
      </c>
      <c r="BY161" s="210">
        <f t="shared" si="33"/>
        <v>13.747000000000002</v>
      </c>
      <c r="BZ161" s="210">
        <f ca="1">IF(L161="BR",'Impostos e Frete'!$F$6,IF(L161="EU",'Impostos e Frete'!$I$3,IF(L161="CN",'Impostos e Frete'!$I$4,IF(L161="JP",'Impostos e Frete'!$I$5,IF(L161="RU",'Impostos e Frete'!$I$7,"ERRO")))))</f>
        <v>0.1410816</v>
      </c>
      <c r="CA161" s="210">
        <f>VLOOKUP(L161,'Impostos e Frete'!$A$3:$B$7,2,0)*'Preços e Condições'!BY161</f>
        <v>1.7871100000000002</v>
      </c>
      <c r="CB161" s="147">
        <f t="shared" si="34"/>
        <v>0</v>
      </c>
      <c r="CC161" s="147">
        <f>IF(X161="BRL",'Impostos e Frete'!$B$11,'Impostos e Frete'!$B$12)</f>
        <v>9.1999999999999998E-2</v>
      </c>
      <c r="CD161" s="211">
        <f t="shared" ca="1" si="35"/>
        <v>15.767191600000002</v>
      </c>
      <c r="CE161" s="212">
        <f t="shared" ca="1" si="36"/>
        <v>1.1352377952000001</v>
      </c>
      <c r="CF161" s="213">
        <f>VLOOKUP(L161,'Impostos e Frete'!$A$3:$C$7,3,0)</f>
        <v>105</v>
      </c>
      <c r="CG161" s="213">
        <f t="shared" si="37"/>
        <v>120</v>
      </c>
      <c r="CH161" s="213">
        <f t="shared" si="38"/>
        <v>15</v>
      </c>
      <c r="CI161" s="214">
        <f t="shared" ca="1" si="39"/>
        <v>-0.11693999431355451</v>
      </c>
      <c r="CJ161" s="215">
        <f t="shared" ca="1" si="40"/>
        <v>15.650251605686448</v>
      </c>
      <c r="CK161" s="216">
        <f t="shared" ca="1" si="41"/>
        <v>1.1268181156094241</v>
      </c>
    </row>
    <row r="162" spans="1:89">
      <c r="A162" s="176">
        <v>17023</v>
      </c>
      <c r="B162" s="186">
        <v>8291</v>
      </c>
      <c r="C162" s="178">
        <v>72</v>
      </c>
      <c r="D162" s="178">
        <v>1870</v>
      </c>
      <c r="E162" s="178"/>
      <c r="F162" s="179" t="s">
        <v>47</v>
      </c>
      <c r="G162" s="185" t="s">
        <v>95</v>
      </c>
      <c r="H162" s="178" t="s">
        <v>43</v>
      </c>
      <c r="I162" s="178">
        <v>6723</v>
      </c>
      <c r="J162" s="178"/>
      <c r="K162" s="178"/>
      <c r="L162" s="178" t="s">
        <v>59</v>
      </c>
      <c r="M162" s="178">
        <v>120</v>
      </c>
      <c r="N162" s="178">
        <v>300</v>
      </c>
      <c r="O162" s="178"/>
      <c r="P162" s="178"/>
      <c r="Q162" s="178"/>
      <c r="R162" s="178" t="s">
        <v>19</v>
      </c>
      <c r="S162" s="181"/>
      <c r="T162" s="181"/>
      <c r="U162" s="182"/>
      <c r="V162" s="182" t="s">
        <v>35</v>
      </c>
      <c r="W162" s="183">
        <v>20</v>
      </c>
      <c r="X162" s="182" t="s">
        <v>51</v>
      </c>
      <c r="Y162" s="184">
        <v>2680</v>
      </c>
      <c r="Z162" s="184">
        <v>2680</v>
      </c>
      <c r="AA162" s="184">
        <v>2680</v>
      </c>
      <c r="AB162" s="184">
        <v>2680</v>
      </c>
      <c r="AC162" s="184">
        <v>2680</v>
      </c>
      <c r="AD162" s="184">
        <v>2680</v>
      </c>
      <c r="AE162" s="184">
        <v>2250</v>
      </c>
      <c r="AF162" s="184">
        <v>2250</v>
      </c>
      <c r="AG162" s="184">
        <v>2250</v>
      </c>
      <c r="AH162" s="184">
        <v>2100</v>
      </c>
      <c r="AI162" s="184">
        <v>2100</v>
      </c>
      <c r="AJ162" s="184">
        <v>2100</v>
      </c>
      <c r="AK162" s="146">
        <f>AK160+100</f>
        <v>2160</v>
      </c>
      <c r="AL162" s="146">
        <f>AL160+100</f>
        <v>2160</v>
      </c>
      <c r="AM162" s="146">
        <f>AM160+100</f>
        <v>2160</v>
      </c>
      <c r="AN162" s="184">
        <v>2290</v>
      </c>
      <c r="AO162" s="184">
        <v>2290</v>
      </c>
      <c r="AP162" s="184">
        <v>2290</v>
      </c>
      <c r="AQ162" s="184">
        <v>2440</v>
      </c>
      <c r="AR162" s="184">
        <v>2440</v>
      </c>
      <c r="AS162" s="184">
        <v>2440</v>
      </c>
      <c r="AT162" s="184">
        <v>2440</v>
      </c>
      <c r="AU162" s="184">
        <v>2440</v>
      </c>
      <c r="AV162" s="184">
        <v>2440</v>
      </c>
      <c r="AW162" s="184">
        <v>2360</v>
      </c>
      <c r="AX162" s="184">
        <v>2360</v>
      </c>
      <c r="AY162" s="184">
        <v>2360</v>
      </c>
      <c r="AZ162" s="184">
        <v>2160</v>
      </c>
      <c r="BA162" s="184">
        <v>2160</v>
      </c>
      <c r="BB162" s="184">
        <v>2460</v>
      </c>
      <c r="BC162" s="184">
        <v>2460</v>
      </c>
      <c r="BD162" s="184">
        <v>2460</v>
      </c>
      <c r="BE162" s="184">
        <v>2460</v>
      </c>
      <c r="BF162" s="184">
        <v>2380</v>
      </c>
      <c r="BG162" s="184">
        <v>2380</v>
      </c>
      <c r="BH162" s="184">
        <v>2380</v>
      </c>
      <c r="BI162" s="184"/>
      <c r="BJ162" s="184"/>
      <c r="BK162" s="184"/>
      <c r="BL162" s="184"/>
      <c r="BM162" s="184"/>
      <c r="BN162" s="184"/>
      <c r="BO162" s="184"/>
      <c r="BP162" s="184"/>
      <c r="BQ162" s="184"/>
      <c r="BR162" s="184"/>
      <c r="BS162" s="184"/>
      <c r="BT162" s="184"/>
      <c r="BU162" s="146" cm="1">
        <f t="array" ref="BU162">LOOKUP(2,1/(Y162:BT162&lt;&gt;""),Y162:BH162)</f>
        <v>2380</v>
      </c>
      <c r="BV162" s="145" cm="1">
        <f t="array" aca="1" ref="BV162" ca="1">_xlfn.LET(
    _xlpm.last_col_idx, LOOKUP(2, 1/(Y162:BT162&lt;&gt;""), COLUMN(Y162:BT162) - COLUMN(Y162) + 1),
    _xlpm.header_val, INDEX($Y$3:$BT$3, 1, _xlpm.last_col_idx),
    _xlpm.header_date, IF(ISNUMBER(_xlpm.header_val), _xlpm.header_val, DATEVALUE(_xlpm.header_val)),
    IF(_xlpm.header_date &gt; TODAY(), TODAY(), _xlpm.header_date)
)</f>
        <v>45992</v>
      </c>
      <c r="BW162" s="209" cm="1">
        <f t="array" ref="BW162">(LOOKUP(2,1/(BH162:BT162&lt;&gt;""),BH162:BT162))/(INDEX(BH162:BT162,MATCH(TRUE,INDEX((BH162:BT162&lt;&gt;0),0),0)))-1</f>
        <v>0</v>
      </c>
      <c r="BX162" s="210">
        <f t="shared" si="32"/>
        <v>2.38</v>
      </c>
      <c r="BY162" s="210">
        <f t="shared" si="33"/>
        <v>14.042</v>
      </c>
      <c r="BZ162" s="210">
        <f ca="1">IF(L162="BR",'Impostos e Frete'!$F$6,IF(L162="EU",'Impostos e Frete'!$I$3,IF(L162="CN",'Impostos e Frete'!$I$4,IF(L162="JP",'Impostos e Frete'!$I$5,IF(L162="RU",'Impostos e Frete'!$I$7,"ERRO")))))</f>
        <v>0.1410816</v>
      </c>
      <c r="CA162" s="210">
        <f>VLOOKUP(L162,'Impostos e Frete'!$A$3:$B$7,2,0)*'Preços e Condições'!BY162</f>
        <v>1.8254600000000001</v>
      </c>
      <c r="CB162" s="147">
        <f t="shared" si="34"/>
        <v>0</v>
      </c>
      <c r="CC162" s="147">
        <f>IF(X162="BRL",'Impostos e Frete'!$B$11,'Impostos e Frete'!$B$12)</f>
        <v>9.1999999999999998E-2</v>
      </c>
      <c r="CD162" s="211">
        <f t="shared" ca="1" si="35"/>
        <v>16.1005416</v>
      </c>
      <c r="CE162" s="212">
        <f t="shared" ca="1" si="36"/>
        <v>1.1592389952</v>
      </c>
      <c r="CF162" s="213">
        <f>VLOOKUP(L162,'Impostos e Frete'!$A$3:$C$7,3,0)</f>
        <v>105</v>
      </c>
      <c r="CG162" s="213">
        <f t="shared" si="37"/>
        <v>120</v>
      </c>
      <c r="CH162" s="213">
        <f t="shared" si="38"/>
        <v>15</v>
      </c>
      <c r="CI162" s="214">
        <f t="shared" ca="1" si="39"/>
        <v>-0.1194123399343443</v>
      </c>
      <c r="CJ162" s="215">
        <f t="shared" ca="1" si="40"/>
        <v>15.981129260065655</v>
      </c>
      <c r="CK162" s="216">
        <f t="shared" ca="1" si="41"/>
        <v>1.1506413067247272</v>
      </c>
    </row>
    <row r="163" spans="1:89">
      <c r="A163" s="176">
        <v>17023</v>
      </c>
      <c r="B163" s="186">
        <v>8291</v>
      </c>
      <c r="C163" s="178">
        <v>72</v>
      </c>
      <c r="D163" s="178">
        <v>1870</v>
      </c>
      <c r="E163" s="178"/>
      <c r="F163" s="179" t="s">
        <v>47</v>
      </c>
      <c r="G163" s="185" t="s">
        <v>95</v>
      </c>
      <c r="H163" s="178" t="s">
        <v>43</v>
      </c>
      <c r="I163" s="178">
        <v>6723</v>
      </c>
      <c r="J163" s="178"/>
      <c r="K163" s="178"/>
      <c r="L163" s="178" t="s">
        <v>59</v>
      </c>
      <c r="M163" s="178">
        <v>120</v>
      </c>
      <c r="N163" s="178">
        <v>300</v>
      </c>
      <c r="O163" s="178"/>
      <c r="P163" s="178"/>
      <c r="Q163" s="178"/>
      <c r="R163" s="178" t="s">
        <v>19</v>
      </c>
      <c r="S163" s="181"/>
      <c r="T163" s="181"/>
      <c r="U163" s="182"/>
      <c r="V163" s="182" t="s">
        <v>35</v>
      </c>
      <c r="W163" s="183">
        <v>10</v>
      </c>
      <c r="X163" s="182" t="s">
        <v>51</v>
      </c>
      <c r="Y163" s="184">
        <v>2760</v>
      </c>
      <c r="Z163" s="184">
        <v>2760</v>
      </c>
      <c r="AA163" s="184">
        <v>2760</v>
      </c>
      <c r="AB163" s="184">
        <v>2760</v>
      </c>
      <c r="AC163" s="184">
        <v>2760</v>
      </c>
      <c r="AD163" s="184">
        <v>2760</v>
      </c>
      <c r="AE163" s="184">
        <v>2330</v>
      </c>
      <c r="AF163" s="184">
        <v>2330</v>
      </c>
      <c r="AG163" s="184">
        <v>2330</v>
      </c>
      <c r="AH163" s="184">
        <v>2180</v>
      </c>
      <c r="AI163" s="184">
        <v>2180</v>
      </c>
      <c r="AJ163" s="184">
        <v>2180</v>
      </c>
      <c r="AK163" s="146">
        <f>AK160+180</f>
        <v>2240</v>
      </c>
      <c r="AL163" s="146">
        <f>AL160+180</f>
        <v>2240</v>
      </c>
      <c r="AM163" s="146">
        <f>AM160+180</f>
        <v>2240</v>
      </c>
      <c r="AN163" s="184">
        <v>2370</v>
      </c>
      <c r="AO163" s="184">
        <v>2370</v>
      </c>
      <c r="AP163" s="184">
        <v>2370</v>
      </c>
      <c r="AQ163" s="184">
        <v>2520</v>
      </c>
      <c r="AR163" s="184">
        <v>2520</v>
      </c>
      <c r="AS163" s="184">
        <v>2520</v>
      </c>
      <c r="AT163" s="184">
        <v>2520</v>
      </c>
      <c r="AU163" s="184">
        <v>2520</v>
      </c>
      <c r="AV163" s="184">
        <v>2520</v>
      </c>
      <c r="AW163" s="184">
        <v>2440</v>
      </c>
      <c r="AX163" s="184">
        <v>2440</v>
      </c>
      <c r="AY163" s="184">
        <v>2440</v>
      </c>
      <c r="AZ163" s="184">
        <v>2240</v>
      </c>
      <c r="BA163" s="184">
        <v>2240</v>
      </c>
      <c r="BB163" s="184">
        <v>2540</v>
      </c>
      <c r="BC163" s="184">
        <v>2540</v>
      </c>
      <c r="BD163" s="184">
        <v>2540</v>
      </c>
      <c r="BE163" s="184">
        <v>2540</v>
      </c>
      <c r="BF163" s="184">
        <v>2460</v>
      </c>
      <c r="BG163" s="184">
        <v>2460</v>
      </c>
      <c r="BH163" s="184">
        <v>2460</v>
      </c>
      <c r="BI163" s="184"/>
      <c r="BJ163" s="184"/>
      <c r="BK163" s="184"/>
      <c r="BL163" s="184"/>
      <c r="BM163" s="184"/>
      <c r="BN163" s="184"/>
      <c r="BO163" s="184"/>
      <c r="BP163" s="184"/>
      <c r="BQ163" s="184"/>
      <c r="BR163" s="184"/>
      <c r="BS163" s="184"/>
      <c r="BT163" s="184"/>
      <c r="BU163" s="146" cm="1">
        <f t="array" ref="BU163">LOOKUP(2,1/(Y163:BT163&lt;&gt;""),Y163:BH163)</f>
        <v>2460</v>
      </c>
      <c r="BV163" s="145" cm="1">
        <f t="array" aca="1" ref="BV163" ca="1">_xlfn.LET(
    _xlpm.last_col_idx, LOOKUP(2, 1/(Y163:BT163&lt;&gt;""), COLUMN(Y163:BT163) - COLUMN(Y163) + 1),
    _xlpm.header_val, INDEX($Y$3:$BT$3, 1, _xlpm.last_col_idx),
    _xlpm.header_date, IF(ISNUMBER(_xlpm.header_val), _xlpm.header_val, DATEVALUE(_xlpm.header_val)),
    IF(_xlpm.header_date &gt; TODAY(), TODAY(), _xlpm.header_date)
)</f>
        <v>45992</v>
      </c>
      <c r="BW163" s="209" cm="1">
        <f t="array" ref="BW163">(LOOKUP(2,1/(BH163:BT163&lt;&gt;""),BH163:BT163))/(INDEX(BH163:BT163,MATCH(TRUE,INDEX((BH163:BT163&lt;&gt;0),0),0)))-1</f>
        <v>0</v>
      </c>
      <c r="BX163" s="210">
        <f t="shared" si="32"/>
        <v>2.46</v>
      </c>
      <c r="BY163" s="210">
        <f t="shared" si="33"/>
        <v>14.514000000000001</v>
      </c>
      <c r="BZ163" s="210">
        <f ca="1">IF(L163="BR",'Impostos e Frete'!$F$6,IF(L163="EU",'Impostos e Frete'!$I$3,IF(L163="CN",'Impostos e Frete'!$I$4,IF(L163="JP",'Impostos e Frete'!$I$5,IF(L163="RU",'Impostos e Frete'!$I$7,"ERRO")))))</f>
        <v>0.1410816</v>
      </c>
      <c r="CA163" s="210">
        <f>VLOOKUP(L163,'Impostos e Frete'!$A$3:$B$7,2,0)*'Preços e Condições'!BY163</f>
        <v>1.8868200000000002</v>
      </c>
      <c r="CB163" s="147">
        <f t="shared" si="34"/>
        <v>0</v>
      </c>
      <c r="CC163" s="147">
        <f>IF(X163="BRL",'Impostos e Frete'!$B$11,'Impostos e Frete'!$B$12)</f>
        <v>9.1999999999999998E-2</v>
      </c>
      <c r="CD163" s="211">
        <f t="shared" ca="1" si="35"/>
        <v>16.633901600000002</v>
      </c>
      <c r="CE163" s="212">
        <f t="shared" ca="1" si="36"/>
        <v>1.1976409152</v>
      </c>
      <c r="CF163" s="213">
        <f>VLOOKUP(L163,'Impostos e Frete'!$A$3:$C$7,3,0)</f>
        <v>105</v>
      </c>
      <c r="CG163" s="213">
        <f t="shared" si="37"/>
        <v>120</v>
      </c>
      <c r="CH163" s="213">
        <f t="shared" si="38"/>
        <v>15</v>
      </c>
      <c r="CI163" s="214">
        <f t="shared" ca="1" si="39"/>
        <v>-0.12336809292760975</v>
      </c>
      <c r="CJ163" s="215">
        <f t="shared" ca="1" si="40"/>
        <v>16.510533507072392</v>
      </c>
      <c r="CK163" s="216">
        <f t="shared" ca="1" si="41"/>
        <v>1.1887584125092121</v>
      </c>
    </row>
    <row r="164" spans="1:89">
      <c r="A164" s="176">
        <v>17024</v>
      </c>
      <c r="B164" s="177">
        <v>399</v>
      </c>
      <c r="C164" s="178">
        <v>68</v>
      </c>
      <c r="D164" s="178">
        <v>1870</v>
      </c>
      <c r="E164" s="178" t="s">
        <v>50</v>
      </c>
      <c r="F164" s="179" t="s">
        <v>47</v>
      </c>
      <c r="G164" s="179" t="s">
        <v>79</v>
      </c>
      <c r="H164" s="178" t="s">
        <v>42</v>
      </c>
      <c r="I164" s="178">
        <v>6656</v>
      </c>
      <c r="J164" s="178"/>
      <c r="K164" s="178"/>
      <c r="L164" s="178" t="s">
        <v>59</v>
      </c>
      <c r="M164" s="178">
        <v>120</v>
      </c>
      <c r="N164" s="178">
        <v>300</v>
      </c>
      <c r="O164" s="178"/>
      <c r="P164" s="178"/>
      <c r="Q164" s="178"/>
      <c r="R164" s="178" t="s">
        <v>19</v>
      </c>
      <c r="S164" s="181"/>
      <c r="T164" s="181"/>
      <c r="U164" s="182"/>
      <c r="V164" s="182" t="s">
        <v>35</v>
      </c>
      <c r="W164" s="183">
        <v>50</v>
      </c>
      <c r="X164" s="182" t="s">
        <v>51</v>
      </c>
      <c r="Y164" s="184">
        <v>2760</v>
      </c>
      <c r="Z164" s="184">
        <v>2760</v>
      </c>
      <c r="AA164" s="184">
        <v>2760</v>
      </c>
      <c r="AB164" s="184">
        <v>2760</v>
      </c>
      <c r="AC164" s="184">
        <v>2760</v>
      </c>
      <c r="AD164" s="184">
        <v>2760</v>
      </c>
      <c r="AE164" s="184">
        <v>2400</v>
      </c>
      <c r="AF164" s="184">
        <v>2400</v>
      </c>
      <c r="AG164" s="184">
        <v>2400</v>
      </c>
      <c r="AH164" s="184">
        <v>2250</v>
      </c>
      <c r="AI164" s="184">
        <v>2250</v>
      </c>
      <c r="AJ164" s="184">
        <v>2250</v>
      </c>
      <c r="AK164" s="184">
        <v>2310</v>
      </c>
      <c r="AL164" s="184">
        <v>2310</v>
      </c>
      <c r="AM164" s="184">
        <v>2310</v>
      </c>
      <c r="AN164" s="184">
        <v>2440</v>
      </c>
      <c r="AO164" s="184">
        <v>2440</v>
      </c>
      <c r="AP164" s="184">
        <v>2440</v>
      </c>
      <c r="AQ164" s="184">
        <v>2590</v>
      </c>
      <c r="AR164" s="184">
        <v>2590</v>
      </c>
      <c r="AS164" s="184">
        <v>2590</v>
      </c>
      <c r="AT164" s="184">
        <v>2590</v>
      </c>
      <c r="AU164" s="184">
        <v>2590</v>
      </c>
      <c r="AV164" s="184">
        <v>2590</v>
      </c>
      <c r="AW164" s="184">
        <v>2510</v>
      </c>
      <c r="AX164" s="184">
        <v>2510</v>
      </c>
      <c r="AY164" s="184">
        <v>2510</v>
      </c>
      <c r="AZ164" s="184">
        <v>2290</v>
      </c>
      <c r="BA164" s="184">
        <v>2290</v>
      </c>
      <c r="BB164" s="184">
        <v>2590</v>
      </c>
      <c r="BC164" s="184">
        <v>2590</v>
      </c>
      <c r="BD164" s="184">
        <v>2590</v>
      </c>
      <c r="BE164" s="184">
        <v>2590</v>
      </c>
      <c r="BF164" s="184">
        <v>2510</v>
      </c>
      <c r="BG164" s="184">
        <v>2510</v>
      </c>
      <c r="BH164" s="184">
        <v>2510</v>
      </c>
      <c r="BI164" s="184">
        <v>2540</v>
      </c>
      <c r="BJ164" s="184">
        <v>2540</v>
      </c>
      <c r="BK164" s="184">
        <v>2540</v>
      </c>
      <c r="BL164" s="184">
        <v>2640</v>
      </c>
      <c r="BM164" s="184">
        <v>2640</v>
      </c>
      <c r="BN164" s="184">
        <v>2640</v>
      </c>
      <c r="BO164" s="184">
        <v>2720</v>
      </c>
      <c r="BP164" s="184">
        <v>2720</v>
      </c>
      <c r="BQ164" s="184">
        <v>2720</v>
      </c>
      <c r="BR164" s="184"/>
      <c r="BS164" s="184"/>
      <c r="BT164" s="184"/>
      <c r="BU164" s="146" cm="1">
        <f t="array" ref="BU164">LOOKUP(2,1/(Y164:BT164&lt;&gt;""),Y164:BH164)</f>
        <v>2720</v>
      </c>
      <c r="BV164" s="145" cm="1">
        <f t="array" aca="1" ref="BV164" ca="1">_xlfn.LET(
    _xlpm.last_col_idx, LOOKUP(2, 1/(Y164:BT164&lt;&gt;""), COLUMN(Y164:BT164) - COLUMN(Y164) + 1),
    _xlpm.header_val, INDEX($Y$3:$BT$3, 1, _xlpm.last_col_idx),
    _xlpm.header_date, IF(ISNUMBER(_xlpm.header_val), _xlpm.header_val, DATEVALUE(_xlpm.header_val)),
    IF(_xlpm.header_date &gt; TODAY(), TODAY(), _xlpm.header_date)
)</f>
        <v>46212</v>
      </c>
      <c r="BW164" s="209" cm="1">
        <f t="array" ref="BW164">(LOOKUP(2,1/(BH164:BT164&lt;&gt;""),BH164:BT164))/(INDEX(BH164:BT164,MATCH(TRUE,INDEX((BH164:BT164&lt;&gt;0),0),0)))-1</f>
        <v>8.3665338645418252E-2</v>
      </c>
      <c r="BX164" s="210">
        <f t="shared" si="32"/>
        <v>2.72</v>
      </c>
      <c r="BY164" s="210">
        <f t="shared" si="33"/>
        <v>16.048000000000002</v>
      </c>
      <c r="BZ164" s="210">
        <f ca="1">IF(L164="BR",'Impostos e Frete'!$F$6,IF(L164="EU",'Impostos e Frete'!$I$3,IF(L164="CN",'Impostos e Frete'!$I$4,IF(L164="JP",'Impostos e Frete'!$I$5,IF(L164="RU",'Impostos e Frete'!$I$7,"ERRO")))))</f>
        <v>0.1410816</v>
      </c>
      <c r="CA164" s="210">
        <f>VLOOKUP(L164,'Impostos e Frete'!$A$3:$B$7,2,0)*'Preços e Condições'!BY164</f>
        <v>2.0862400000000001</v>
      </c>
      <c r="CB164" s="147">
        <f t="shared" si="34"/>
        <v>0</v>
      </c>
      <c r="CC164" s="147">
        <f>IF(X164="BRL",'Impostos e Frete'!$B$11,'Impostos e Frete'!$B$12)</f>
        <v>9.1999999999999998E-2</v>
      </c>
      <c r="CD164" s="211">
        <f t="shared" ca="1" si="35"/>
        <v>18.3673216</v>
      </c>
      <c r="CE164" s="212">
        <f t="shared" ca="1" si="36"/>
        <v>1.2489778687999999</v>
      </c>
      <c r="CF164" s="213">
        <f>VLOOKUP(L164,'Impostos e Frete'!$A$3:$C$7,3,0)</f>
        <v>105</v>
      </c>
      <c r="CG164" s="213">
        <f t="shared" si="37"/>
        <v>120</v>
      </c>
      <c r="CH164" s="213">
        <f t="shared" si="38"/>
        <v>15</v>
      </c>
      <c r="CI164" s="214">
        <f t="shared" ca="1" si="39"/>
        <v>-0.13622429015572024</v>
      </c>
      <c r="CJ164" s="215">
        <f t="shared" ca="1" si="40"/>
        <v>18.23109730984428</v>
      </c>
      <c r="CK164" s="216">
        <f t="shared" ca="1" si="41"/>
        <v>1.2397146170694111</v>
      </c>
    </row>
    <row r="165" spans="1:89">
      <c r="A165" s="176">
        <v>17024</v>
      </c>
      <c r="B165" s="177">
        <v>399</v>
      </c>
      <c r="C165" s="178">
        <v>68</v>
      </c>
      <c r="D165" s="178">
        <v>1870</v>
      </c>
      <c r="E165" s="178" t="s">
        <v>50</v>
      </c>
      <c r="F165" s="179" t="s">
        <v>47</v>
      </c>
      <c r="G165" s="179" t="s">
        <v>79</v>
      </c>
      <c r="H165" s="178" t="s">
        <v>42</v>
      </c>
      <c r="I165" s="178">
        <v>6656</v>
      </c>
      <c r="J165" s="178"/>
      <c r="K165" s="178"/>
      <c r="L165" s="178" t="s">
        <v>59</v>
      </c>
      <c r="M165" s="178">
        <v>120</v>
      </c>
      <c r="N165" s="178">
        <v>300</v>
      </c>
      <c r="O165" s="178"/>
      <c r="P165" s="178"/>
      <c r="Q165" s="178"/>
      <c r="R165" s="178" t="s">
        <v>19</v>
      </c>
      <c r="S165" s="181"/>
      <c r="T165" s="181"/>
      <c r="U165" s="182"/>
      <c r="V165" s="182" t="s">
        <v>35</v>
      </c>
      <c r="W165" s="183">
        <v>30</v>
      </c>
      <c r="X165" s="182" t="s">
        <v>51</v>
      </c>
      <c r="Y165" s="184">
        <v>2810</v>
      </c>
      <c r="Z165" s="184">
        <v>2810</v>
      </c>
      <c r="AA165" s="184">
        <v>2810</v>
      </c>
      <c r="AB165" s="184">
        <v>2810</v>
      </c>
      <c r="AC165" s="184">
        <v>2810</v>
      </c>
      <c r="AD165" s="184">
        <v>2810</v>
      </c>
      <c r="AE165" s="184">
        <v>2450</v>
      </c>
      <c r="AF165" s="184">
        <v>2450</v>
      </c>
      <c r="AG165" s="184">
        <v>2450</v>
      </c>
      <c r="AH165" s="184">
        <v>2300</v>
      </c>
      <c r="AI165" s="184">
        <v>2300</v>
      </c>
      <c r="AJ165" s="184">
        <v>2300</v>
      </c>
      <c r="AK165" s="184">
        <v>2360</v>
      </c>
      <c r="AL165" s="184">
        <v>2360</v>
      </c>
      <c r="AM165" s="184">
        <v>2360</v>
      </c>
      <c r="AN165" s="184">
        <v>2490</v>
      </c>
      <c r="AO165" s="184">
        <v>2490</v>
      </c>
      <c r="AP165" s="184">
        <v>2490</v>
      </c>
      <c r="AQ165" s="184">
        <v>2640</v>
      </c>
      <c r="AR165" s="184">
        <v>2640</v>
      </c>
      <c r="AS165" s="184">
        <v>2640</v>
      </c>
      <c r="AT165" s="184">
        <v>2640</v>
      </c>
      <c r="AU165" s="184">
        <v>2640</v>
      </c>
      <c r="AV165" s="184">
        <v>2640</v>
      </c>
      <c r="AW165" s="184">
        <v>2560</v>
      </c>
      <c r="AX165" s="184">
        <v>2560</v>
      </c>
      <c r="AY165" s="184">
        <v>2560</v>
      </c>
      <c r="AZ165" s="184">
        <v>2340</v>
      </c>
      <c r="BA165" s="184">
        <v>2340</v>
      </c>
      <c r="BB165" s="184">
        <v>2640</v>
      </c>
      <c r="BC165" s="184">
        <v>2640</v>
      </c>
      <c r="BD165" s="184">
        <v>2640</v>
      </c>
      <c r="BE165" s="184">
        <v>2640</v>
      </c>
      <c r="BF165" s="184">
        <v>2560</v>
      </c>
      <c r="BG165" s="184">
        <v>2560</v>
      </c>
      <c r="BH165" s="184">
        <v>2560</v>
      </c>
      <c r="BI165" s="184">
        <v>2590</v>
      </c>
      <c r="BJ165" s="184">
        <v>2590</v>
      </c>
      <c r="BK165" s="184">
        <v>2590</v>
      </c>
      <c r="BL165" s="184">
        <v>2690</v>
      </c>
      <c r="BM165" s="184">
        <v>2690</v>
      </c>
      <c r="BN165" s="184">
        <v>2690</v>
      </c>
      <c r="BO165" s="184">
        <v>2770</v>
      </c>
      <c r="BP165" s="184">
        <v>2770</v>
      </c>
      <c r="BQ165" s="184">
        <v>2770</v>
      </c>
      <c r="BR165" s="184"/>
      <c r="BS165" s="184"/>
      <c r="BT165" s="184"/>
      <c r="BU165" s="146" cm="1">
        <f t="array" ref="BU165">LOOKUP(2,1/(Y165:BT165&lt;&gt;""),Y165:BH165)</f>
        <v>2770</v>
      </c>
      <c r="BV165" s="145" cm="1">
        <f t="array" aca="1" ref="BV165" ca="1">_xlfn.LET(
    _xlpm.last_col_idx, LOOKUP(2, 1/(Y165:BT165&lt;&gt;""), COLUMN(Y165:BT165) - COLUMN(Y165) + 1),
    _xlpm.header_val, INDEX($Y$3:$BT$3, 1, _xlpm.last_col_idx),
    _xlpm.header_date, IF(ISNUMBER(_xlpm.header_val), _xlpm.header_val, DATEVALUE(_xlpm.header_val)),
    IF(_xlpm.header_date &gt; TODAY(), TODAY(), _xlpm.header_date)
)</f>
        <v>46212</v>
      </c>
      <c r="BW165" s="209" cm="1">
        <f t="array" ref="BW165">(LOOKUP(2,1/(BH165:BT165&lt;&gt;""),BH165:BT165))/(INDEX(BH165:BT165,MATCH(TRUE,INDEX((BH165:BT165&lt;&gt;0),0),0)))-1</f>
        <v>8.203125E-2</v>
      </c>
      <c r="BX165" s="210">
        <f t="shared" si="32"/>
        <v>2.77</v>
      </c>
      <c r="BY165" s="210">
        <f t="shared" si="33"/>
        <v>16.343</v>
      </c>
      <c r="BZ165" s="210">
        <f ca="1">IF(L165="BR",'Impostos e Frete'!$F$6,IF(L165="EU",'Impostos e Frete'!$I$3,IF(L165="CN",'Impostos e Frete'!$I$4,IF(L165="JP",'Impostos e Frete'!$I$5,IF(L165="RU",'Impostos e Frete'!$I$7,"ERRO")))))</f>
        <v>0.1410816</v>
      </c>
      <c r="CA165" s="210">
        <f>VLOOKUP(L165,'Impostos e Frete'!$A$3:$B$7,2,0)*'Preços e Condições'!BY165</f>
        <v>2.12459</v>
      </c>
      <c r="CB165" s="147">
        <f t="shared" si="34"/>
        <v>0</v>
      </c>
      <c r="CC165" s="147">
        <f>IF(X165="BRL",'Impostos e Frete'!$B$11,'Impostos e Frete'!$B$12)</f>
        <v>9.1999999999999998E-2</v>
      </c>
      <c r="CD165" s="211">
        <f t="shared" ca="1" si="35"/>
        <v>18.7006716</v>
      </c>
      <c r="CE165" s="212">
        <f t="shared" ca="1" si="36"/>
        <v>1.2716456688</v>
      </c>
      <c r="CF165" s="213">
        <f>VLOOKUP(L165,'Impostos e Frete'!$A$3:$C$7,3,0)</f>
        <v>105</v>
      </c>
      <c r="CG165" s="213">
        <f t="shared" si="37"/>
        <v>120</v>
      </c>
      <c r="CH165" s="213">
        <f t="shared" si="38"/>
        <v>15</v>
      </c>
      <c r="CI165" s="214">
        <f t="shared" ca="1" si="39"/>
        <v>-0.13869663577650826</v>
      </c>
      <c r="CJ165" s="215">
        <f t="shared" ca="1" si="40"/>
        <v>18.561974964223491</v>
      </c>
      <c r="CK165" s="216">
        <f t="shared" ca="1" si="41"/>
        <v>1.2622142975671975</v>
      </c>
    </row>
    <row r="166" spans="1:89">
      <c r="A166" s="176">
        <v>17024</v>
      </c>
      <c r="B166" s="177">
        <v>399</v>
      </c>
      <c r="C166" s="178">
        <v>68</v>
      </c>
      <c r="D166" s="178">
        <v>1870</v>
      </c>
      <c r="E166" s="178" t="s">
        <v>50</v>
      </c>
      <c r="F166" s="179" t="s">
        <v>47</v>
      </c>
      <c r="G166" s="179" t="s">
        <v>79</v>
      </c>
      <c r="H166" s="178" t="s">
        <v>42</v>
      </c>
      <c r="I166" s="178">
        <v>6656</v>
      </c>
      <c r="J166" s="178"/>
      <c r="K166" s="178"/>
      <c r="L166" s="178" t="s">
        <v>59</v>
      </c>
      <c r="M166" s="178">
        <v>120</v>
      </c>
      <c r="N166" s="178">
        <v>300</v>
      </c>
      <c r="O166" s="178"/>
      <c r="P166" s="178"/>
      <c r="Q166" s="178"/>
      <c r="R166" s="178" t="s">
        <v>19</v>
      </c>
      <c r="S166" s="181"/>
      <c r="T166" s="181"/>
      <c r="U166" s="182"/>
      <c r="V166" s="182" t="s">
        <v>35</v>
      </c>
      <c r="W166" s="183">
        <v>20</v>
      </c>
      <c r="X166" s="182" t="s">
        <v>51</v>
      </c>
      <c r="Y166" s="184">
        <v>2860</v>
      </c>
      <c r="Z166" s="184">
        <v>2860</v>
      </c>
      <c r="AA166" s="184">
        <v>2860</v>
      </c>
      <c r="AB166" s="184">
        <v>2860</v>
      </c>
      <c r="AC166" s="184">
        <v>2860</v>
      </c>
      <c r="AD166" s="184">
        <v>2860</v>
      </c>
      <c r="AE166" s="184">
        <v>2500</v>
      </c>
      <c r="AF166" s="184">
        <v>2500</v>
      </c>
      <c r="AG166" s="184">
        <v>2500</v>
      </c>
      <c r="AH166" s="184">
        <v>2350</v>
      </c>
      <c r="AI166" s="184">
        <v>2350</v>
      </c>
      <c r="AJ166" s="184">
        <v>2350</v>
      </c>
      <c r="AK166" s="184">
        <v>2410</v>
      </c>
      <c r="AL166" s="184">
        <v>2410</v>
      </c>
      <c r="AM166" s="184">
        <v>2410</v>
      </c>
      <c r="AN166" s="184">
        <v>2540</v>
      </c>
      <c r="AO166" s="184">
        <v>2540</v>
      </c>
      <c r="AP166" s="184">
        <v>2540</v>
      </c>
      <c r="AQ166" s="184">
        <v>2690</v>
      </c>
      <c r="AR166" s="184">
        <v>2690</v>
      </c>
      <c r="AS166" s="184">
        <v>2690</v>
      </c>
      <c r="AT166" s="184">
        <v>2690</v>
      </c>
      <c r="AU166" s="184">
        <v>2690</v>
      </c>
      <c r="AV166" s="184">
        <v>2690</v>
      </c>
      <c r="AW166" s="184">
        <v>2610</v>
      </c>
      <c r="AX166" s="184">
        <v>2610</v>
      </c>
      <c r="AY166" s="184">
        <v>2610</v>
      </c>
      <c r="AZ166" s="184">
        <v>2390</v>
      </c>
      <c r="BA166" s="184">
        <v>2390</v>
      </c>
      <c r="BB166" s="184">
        <v>2690</v>
      </c>
      <c r="BC166" s="184">
        <v>2690</v>
      </c>
      <c r="BD166" s="184">
        <v>2690</v>
      </c>
      <c r="BE166" s="184">
        <v>2690</v>
      </c>
      <c r="BF166" s="184">
        <v>2610</v>
      </c>
      <c r="BG166" s="184">
        <v>2610</v>
      </c>
      <c r="BH166" s="184">
        <v>2610</v>
      </c>
      <c r="BI166" s="184">
        <v>2640</v>
      </c>
      <c r="BJ166" s="184">
        <v>2640</v>
      </c>
      <c r="BK166" s="184">
        <v>2640</v>
      </c>
      <c r="BL166" s="184">
        <v>2740</v>
      </c>
      <c r="BM166" s="184">
        <v>2740</v>
      </c>
      <c r="BN166" s="184">
        <v>2740</v>
      </c>
      <c r="BO166" s="184">
        <v>2820</v>
      </c>
      <c r="BP166" s="184">
        <v>2820</v>
      </c>
      <c r="BQ166" s="184">
        <v>2820</v>
      </c>
      <c r="BR166" s="184"/>
      <c r="BS166" s="184"/>
      <c r="BT166" s="184"/>
      <c r="BU166" s="146" cm="1">
        <f t="array" ref="BU166">LOOKUP(2,1/(Y166:BT166&lt;&gt;""),Y166:BH166)</f>
        <v>2820</v>
      </c>
      <c r="BV166" s="145" cm="1">
        <f t="array" aca="1" ref="BV166" ca="1">_xlfn.LET(
    _xlpm.last_col_idx, LOOKUP(2, 1/(Y166:BT166&lt;&gt;""), COLUMN(Y166:BT166) - COLUMN(Y166) + 1),
    _xlpm.header_val, INDEX($Y$3:$BT$3, 1, _xlpm.last_col_idx),
    _xlpm.header_date, IF(ISNUMBER(_xlpm.header_val), _xlpm.header_val, DATEVALUE(_xlpm.header_val)),
    IF(_xlpm.header_date &gt; TODAY(), TODAY(), _xlpm.header_date)
)</f>
        <v>46212</v>
      </c>
      <c r="BW166" s="209" cm="1">
        <f t="array" ref="BW166">(LOOKUP(2,1/(BH166:BT166&lt;&gt;""),BH166:BT166))/(INDEX(BH166:BT166,MATCH(TRUE,INDEX((BH166:BT166&lt;&gt;0),0),0)))-1</f>
        <v>8.0459770114942541E-2</v>
      </c>
      <c r="BX166" s="210">
        <f t="shared" si="32"/>
        <v>2.82</v>
      </c>
      <c r="BY166" s="210">
        <f t="shared" si="33"/>
        <v>16.638000000000002</v>
      </c>
      <c r="BZ166" s="210">
        <f ca="1">IF(L166="BR",'Impostos e Frete'!$F$6,IF(L166="EU",'Impostos e Frete'!$I$3,IF(L166="CN",'Impostos e Frete'!$I$4,IF(L166="JP",'Impostos e Frete'!$I$5,IF(L166="RU",'Impostos e Frete'!$I$7,"ERRO")))))</f>
        <v>0.1410816</v>
      </c>
      <c r="CA166" s="210">
        <f>VLOOKUP(L166,'Impostos e Frete'!$A$3:$B$7,2,0)*'Preços e Condições'!BY166</f>
        <v>2.1629400000000003</v>
      </c>
      <c r="CB166" s="147">
        <f t="shared" si="34"/>
        <v>0</v>
      </c>
      <c r="CC166" s="147">
        <f>IF(X166="BRL",'Impostos e Frete'!$B$11,'Impostos e Frete'!$B$12)</f>
        <v>9.1999999999999998E-2</v>
      </c>
      <c r="CD166" s="211">
        <f t="shared" ca="1" si="35"/>
        <v>19.034021599999999</v>
      </c>
      <c r="CE166" s="212">
        <f t="shared" ca="1" si="36"/>
        <v>1.2943134688</v>
      </c>
      <c r="CF166" s="213">
        <f>VLOOKUP(L166,'Impostos e Frete'!$A$3:$C$7,3,0)</f>
        <v>105</v>
      </c>
      <c r="CG166" s="213">
        <f t="shared" si="37"/>
        <v>120</v>
      </c>
      <c r="CH166" s="213">
        <f t="shared" si="38"/>
        <v>15</v>
      </c>
      <c r="CI166" s="214">
        <f t="shared" ca="1" si="39"/>
        <v>-0.14116898139729983</v>
      </c>
      <c r="CJ166" s="215">
        <f t="shared" ca="1" si="40"/>
        <v>18.892852618602699</v>
      </c>
      <c r="CK166" s="216">
        <f t="shared" ca="1" si="41"/>
        <v>1.2847139780649834</v>
      </c>
    </row>
    <row r="167" spans="1:89">
      <c r="A167" s="176">
        <v>17024</v>
      </c>
      <c r="B167" s="177">
        <v>399</v>
      </c>
      <c r="C167" s="178">
        <v>68</v>
      </c>
      <c r="D167" s="178">
        <v>1870</v>
      </c>
      <c r="E167" s="178" t="s">
        <v>50</v>
      </c>
      <c r="F167" s="179" t="s">
        <v>47</v>
      </c>
      <c r="G167" s="179" t="s">
        <v>79</v>
      </c>
      <c r="H167" s="178" t="s">
        <v>42</v>
      </c>
      <c r="I167" s="178">
        <v>6656</v>
      </c>
      <c r="J167" s="178"/>
      <c r="K167" s="178"/>
      <c r="L167" s="178" t="s">
        <v>59</v>
      </c>
      <c r="M167" s="178">
        <v>120</v>
      </c>
      <c r="N167" s="178">
        <v>300</v>
      </c>
      <c r="O167" s="178"/>
      <c r="P167" s="178"/>
      <c r="Q167" s="178"/>
      <c r="R167" s="178" t="s">
        <v>19</v>
      </c>
      <c r="S167" s="181"/>
      <c r="T167" s="181"/>
      <c r="U167" s="182"/>
      <c r="V167" s="182" t="s">
        <v>35</v>
      </c>
      <c r="W167" s="183">
        <v>10</v>
      </c>
      <c r="X167" s="182" t="s">
        <v>51</v>
      </c>
      <c r="Y167" s="184">
        <v>2940</v>
      </c>
      <c r="Z167" s="184">
        <v>2940</v>
      </c>
      <c r="AA167" s="184">
        <v>2940</v>
      </c>
      <c r="AB167" s="184">
        <v>2940</v>
      </c>
      <c r="AC167" s="184">
        <v>2940</v>
      </c>
      <c r="AD167" s="184">
        <v>2940</v>
      </c>
      <c r="AE167" s="184">
        <v>2580</v>
      </c>
      <c r="AF167" s="184">
        <v>2580</v>
      </c>
      <c r="AG167" s="184">
        <v>2580</v>
      </c>
      <c r="AH167" s="184">
        <v>2430</v>
      </c>
      <c r="AI167" s="184">
        <v>2430</v>
      </c>
      <c r="AJ167" s="184">
        <v>2430</v>
      </c>
      <c r="AK167" s="184">
        <v>2490</v>
      </c>
      <c r="AL167" s="184">
        <v>2490</v>
      </c>
      <c r="AM167" s="184">
        <v>2490</v>
      </c>
      <c r="AN167" s="184">
        <v>2620</v>
      </c>
      <c r="AO167" s="184">
        <v>2620</v>
      </c>
      <c r="AP167" s="184">
        <v>2620</v>
      </c>
      <c r="AQ167" s="184">
        <v>2770</v>
      </c>
      <c r="AR167" s="184">
        <v>2770</v>
      </c>
      <c r="AS167" s="184">
        <v>2770</v>
      </c>
      <c r="AT167" s="184">
        <v>2770</v>
      </c>
      <c r="AU167" s="184">
        <v>2770</v>
      </c>
      <c r="AV167" s="184">
        <v>2770</v>
      </c>
      <c r="AW167" s="184">
        <v>2690</v>
      </c>
      <c r="AX167" s="184">
        <v>2690</v>
      </c>
      <c r="AY167" s="184">
        <v>2690</v>
      </c>
      <c r="AZ167" s="184">
        <v>2470</v>
      </c>
      <c r="BA167" s="184">
        <v>2470</v>
      </c>
      <c r="BB167" s="184">
        <v>2770</v>
      </c>
      <c r="BC167" s="184">
        <v>2770</v>
      </c>
      <c r="BD167" s="184">
        <v>2770</v>
      </c>
      <c r="BE167" s="184">
        <v>2770</v>
      </c>
      <c r="BF167" s="184">
        <v>2690</v>
      </c>
      <c r="BG167" s="184">
        <v>2690</v>
      </c>
      <c r="BH167" s="184">
        <v>2690</v>
      </c>
      <c r="BI167" s="184">
        <v>2720</v>
      </c>
      <c r="BJ167" s="184">
        <v>2720</v>
      </c>
      <c r="BK167" s="184">
        <v>2720</v>
      </c>
      <c r="BL167" s="184">
        <v>2820</v>
      </c>
      <c r="BM167" s="184">
        <v>2820</v>
      </c>
      <c r="BN167" s="184">
        <v>2820</v>
      </c>
      <c r="BO167" s="184">
        <v>2900</v>
      </c>
      <c r="BP167" s="184">
        <v>2900</v>
      </c>
      <c r="BQ167" s="184">
        <v>2900</v>
      </c>
      <c r="BR167" s="184"/>
      <c r="BS167" s="184"/>
      <c r="BT167" s="184"/>
      <c r="BU167" s="146" cm="1">
        <f t="array" ref="BU167">LOOKUP(2,1/(Y167:BT167&lt;&gt;""),Y167:BH167)</f>
        <v>2900</v>
      </c>
      <c r="BV167" s="145" cm="1">
        <f t="array" aca="1" ref="BV167" ca="1">_xlfn.LET(
    _xlpm.last_col_idx, LOOKUP(2, 1/(Y167:BT167&lt;&gt;""), COLUMN(Y167:BT167) - COLUMN(Y167) + 1),
    _xlpm.header_val, INDEX($Y$3:$BT$3, 1, _xlpm.last_col_idx),
    _xlpm.header_date, IF(ISNUMBER(_xlpm.header_val), _xlpm.header_val, DATEVALUE(_xlpm.header_val)),
    IF(_xlpm.header_date &gt; TODAY(), TODAY(), _xlpm.header_date)
)</f>
        <v>46212</v>
      </c>
      <c r="BW167" s="209" cm="1">
        <f t="array" ref="BW167">(LOOKUP(2,1/(BH167:BT167&lt;&gt;""),BH167:BT167))/(INDEX(BH167:BT167,MATCH(TRUE,INDEX((BH167:BT167&lt;&gt;0),0),0)))-1</f>
        <v>7.8066914498141182E-2</v>
      </c>
      <c r="BX167" s="210">
        <f t="shared" si="32"/>
        <v>2.9</v>
      </c>
      <c r="BY167" s="210">
        <f t="shared" si="33"/>
        <v>17.11</v>
      </c>
      <c r="BZ167" s="210">
        <f ca="1">IF(L167="BR",'Impostos e Frete'!$F$6,IF(L167="EU",'Impostos e Frete'!$I$3,IF(L167="CN",'Impostos e Frete'!$I$4,IF(L167="JP",'Impostos e Frete'!$I$5,IF(L167="RU",'Impostos e Frete'!$I$7,"ERRO")))))</f>
        <v>0.1410816</v>
      </c>
      <c r="CA167" s="210">
        <f>VLOOKUP(L167,'Impostos e Frete'!$A$3:$B$7,2,0)*'Preços e Condições'!BY167</f>
        <v>2.2242999999999999</v>
      </c>
      <c r="CB167" s="147">
        <f t="shared" si="34"/>
        <v>0</v>
      </c>
      <c r="CC167" s="147">
        <f>IF(X167="BRL",'Impostos e Frete'!$B$11,'Impostos e Frete'!$B$12)</f>
        <v>9.1999999999999998E-2</v>
      </c>
      <c r="CD167" s="211">
        <f t="shared" ca="1" si="35"/>
        <v>19.567381599999997</v>
      </c>
      <c r="CE167" s="212">
        <f t="shared" ca="1" si="36"/>
        <v>1.3305819487999997</v>
      </c>
      <c r="CF167" s="213">
        <f>VLOOKUP(L167,'Impostos e Frete'!$A$3:$C$7,3,0)</f>
        <v>105</v>
      </c>
      <c r="CG167" s="213">
        <f t="shared" si="37"/>
        <v>120</v>
      </c>
      <c r="CH167" s="213">
        <f t="shared" si="38"/>
        <v>15</v>
      </c>
      <c r="CI167" s="214">
        <f t="shared" ca="1" si="39"/>
        <v>-0.1451247343905635</v>
      </c>
      <c r="CJ167" s="215">
        <f t="shared" ca="1" si="40"/>
        <v>19.422256865609434</v>
      </c>
      <c r="CK167" s="216">
        <f t="shared" ca="1" si="41"/>
        <v>1.3207134668614415</v>
      </c>
    </row>
    <row r="168" spans="1:89">
      <c r="A168" s="176">
        <v>17027</v>
      </c>
      <c r="B168" s="177">
        <v>8269</v>
      </c>
      <c r="C168" s="178">
        <v>70</v>
      </c>
      <c r="D168" s="178">
        <v>2120</v>
      </c>
      <c r="E168" s="178" t="s">
        <v>50</v>
      </c>
      <c r="F168" s="179" t="s">
        <v>47</v>
      </c>
      <c r="G168" s="185" t="s">
        <v>91</v>
      </c>
      <c r="H168" s="178" t="s">
        <v>42</v>
      </c>
      <c r="I168" s="178">
        <v>6552</v>
      </c>
      <c r="J168" s="178"/>
      <c r="K168" s="178"/>
      <c r="L168" s="178" t="s">
        <v>59</v>
      </c>
      <c r="M168" s="178">
        <v>120</v>
      </c>
      <c r="N168" s="178">
        <v>300</v>
      </c>
      <c r="O168" s="178"/>
      <c r="P168" s="178"/>
      <c r="Q168" s="178"/>
      <c r="R168" s="178" t="s">
        <v>19</v>
      </c>
      <c r="S168" s="181"/>
      <c r="T168" s="181"/>
      <c r="U168" s="182"/>
      <c r="V168" s="182" t="s">
        <v>35</v>
      </c>
      <c r="W168" s="183">
        <v>50</v>
      </c>
      <c r="X168" s="182" t="s">
        <v>51</v>
      </c>
      <c r="Y168" s="184">
        <v>2910</v>
      </c>
      <c r="Z168" s="184">
        <v>2910</v>
      </c>
      <c r="AA168" s="184">
        <v>2910</v>
      </c>
      <c r="AB168" s="184">
        <v>2910</v>
      </c>
      <c r="AC168" s="184">
        <v>2910</v>
      </c>
      <c r="AD168" s="184">
        <v>2910</v>
      </c>
      <c r="AE168" s="184">
        <v>2300</v>
      </c>
      <c r="AF168" s="184">
        <v>2300</v>
      </c>
      <c r="AG168" s="184">
        <v>2300</v>
      </c>
      <c r="AH168" s="184">
        <v>2150</v>
      </c>
      <c r="AI168" s="184">
        <v>2150</v>
      </c>
      <c r="AJ168" s="184">
        <v>2120</v>
      </c>
      <c r="AK168" s="184">
        <v>2210</v>
      </c>
      <c r="AL168" s="184">
        <v>2210</v>
      </c>
      <c r="AM168" s="184">
        <v>2210</v>
      </c>
      <c r="AN168" s="184">
        <v>2340</v>
      </c>
      <c r="AO168" s="184">
        <v>2340</v>
      </c>
      <c r="AP168" s="184">
        <v>2340</v>
      </c>
      <c r="AQ168" s="184">
        <v>2490</v>
      </c>
      <c r="AR168" s="184">
        <v>2490</v>
      </c>
      <c r="AS168" s="184">
        <v>2490</v>
      </c>
      <c r="AT168" s="184">
        <v>2490</v>
      </c>
      <c r="AU168" s="184">
        <v>2490</v>
      </c>
      <c r="AV168" s="184">
        <v>2490</v>
      </c>
      <c r="AW168" s="184">
        <v>2410</v>
      </c>
      <c r="AX168" s="184">
        <v>2410</v>
      </c>
      <c r="AY168" s="184">
        <v>2410</v>
      </c>
      <c r="AZ168" s="184">
        <v>2170</v>
      </c>
      <c r="BA168" s="184">
        <v>2170</v>
      </c>
      <c r="BB168" s="184">
        <v>2300</v>
      </c>
      <c r="BC168" s="184">
        <v>2300</v>
      </c>
      <c r="BD168" s="184">
        <v>2300</v>
      </c>
      <c r="BE168" s="184">
        <v>2300</v>
      </c>
      <c r="BF168" s="184">
        <v>2200</v>
      </c>
      <c r="BG168" s="184">
        <v>2200</v>
      </c>
      <c r="BH168" s="184">
        <v>2200</v>
      </c>
      <c r="BI168" s="184">
        <v>2230</v>
      </c>
      <c r="BJ168" s="184">
        <v>2230</v>
      </c>
      <c r="BK168" s="184">
        <v>2230</v>
      </c>
      <c r="BL168" s="184">
        <v>2330</v>
      </c>
      <c r="BM168" s="184">
        <v>2330</v>
      </c>
      <c r="BN168" s="184">
        <v>2330</v>
      </c>
      <c r="BO168" s="184">
        <v>2410</v>
      </c>
      <c r="BP168" s="184">
        <v>2410</v>
      </c>
      <c r="BQ168" s="184">
        <v>2410</v>
      </c>
      <c r="BR168" s="184"/>
      <c r="BS168" s="184"/>
      <c r="BT168" s="184"/>
      <c r="BU168" s="146" cm="1">
        <f t="array" ref="BU168">LOOKUP(2,1/(Y168:BT168&lt;&gt;""),Y168:BH168)</f>
        <v>2410</v>
      </c>
      <c r="BV168" s="145" cm="1">
        <f t="array" aca="1" ref="BV168" ca="1">_xlfn.LET(
    _xlpm.last_col_idx, LOOKUP(2, 1/(Y168:BT168&lt;&gt;""), COLUMN(Y168:BT168) - COLUMN(Y168) + 1),
    _xlpm.header_val, INDEX($Y$3:$BT$3, 1, _xlpm.last_col_idx),
    _xlpm.header_date, IF(ISNUMBER(_xlpm.header_val), _xlpm.header_val, DATEVALUE(_xlpm.header_val)),
    IF(_xlpm.header_date &gt; TODAY(), TODAY(), _xlpm.header_date)
)</f>
        <v>46212</v>
      </c>
      <c r="BW168" s="209" cm="1">
        <f t="array" ref="BW168">(LOOKUP(2,1/(BH168:BT168&lt;&gt;""),BH168:BT168))/(INDEX(BH168:BT168,MATCH(TRUE,INDEX((BH168:BT168&lt;&gt;0),0),0)))-1</f>
        <v>9.5454545454545459E-2</v>
      </c>
      <c r="BX168" s="210">
        <f t="shared" si="32"/>
        <v>2.41</v>
      </c>
      <c r="BY168" s="210">
        <f t="shared" si="33"/>
        <v>14.219000000000001</v>
      </c>
      <c r="BZ168" s="210">
        <f ca="1">IF(L168="BR",'Impostos e Frete'!$F$6,IF(L168="EU",'Impostos e Frete'!$I$3,IF(L168="CN",'Impostos e Frete'!$I$4,IF(L168="JP",'Impostos e Frete'!$I$5,IF(L168="RU",'Impostos e Frete'!$I$7,"ERRO")))))</f>
        <v>0.1410816</v>
      </c>
      <c r="CA168" s="210">
        <f>VLOOKUP(L168,'Impostos e Frete'!$A$3:$B$7,2,0)*'Preços e Condições'!BY168</f>
        <v>1.8484700000000003</v>
      </c>
      <c r="CB168" s="147">
        <f t="shared" si="34"/>
        <v>0</v>
      </c>
      <c r="CC168" s="147">
        <f>IF(X168="BRL",'Impostos e Frete'!$B$11,'Impostos e Frete'!$B$12)</f>
        <v>9.1999999999999998E-2</v>
      </c>
      <c r="CD168" s="211">
        <f t="shared" ca="1" si="35"/>
        <v>16.300551599999999</v>
      </c>
      <c r="CE168" s="212">
        <f t="shared" ca="1" si="36"/>
        <v>1.1410386119999998</v>
      </c>
      <c r="CF168" s="213">
        <f>VLOOKUP(L168,'Impostos e Frete'!$A$3:$C$7,3,0)</f>
        <v>105</v>
      </c>
      <c r="CG168" s="213">
        <f t="shared" si="37"/>
        <v>120</v>
      </c>
      <c r="CH168" s="213">
        <f t="shared" si="38"/>
        <v>15</v>
      </c>
      <c r="CI168" s="214">
        <f t="shared" ca="1" si="39"/>
        <v>-0.12089574730681818</v>
      </c>
      <c r="CJ168" s="215">
        <f t="shared" ca="1" si="40"/>
        <v>16.17965585269318</v>
      </c>
      <c r="CK168" s="216">
        <f t="shared" ca="1" si="41"/>
        <v>1.1325759096885226</v>
      </c>
    </row>
    <row r="169" spans="1:89">
      <c r="A169" s="176">
        <v>17027</v>
      </c>
      <c r="B169" s="177">
        <v>8269</v>
      </c>
      <c r="C169" s="178">
        <v>70</v>
      </c>
      <c r="D169" s="178">
        <v>2120</v>
      </c>
      <c r="E169" s="178" t="s">
        <v>50</v>
      </c>
      <c r="F169" s="179" t="s">
        <v>47</v>
      </c>
      <c r="G169" s="185" t="s">
        <v>91</v>
      </c>
      <c r="H169" s="178" t="s">
        <v>42</v>
      </c>
      <c r="I169" s="178">
        <v>6552</v>
      </c>
      <c r="J169" s="178"/>
      <c r="K169" s="178"/>
      <c r="L169" s="178" t="s">
        <v>59</v>
      </c>
      <c r="M169" s="178">
        <v>120</v>
      </c>
      <c r="N169" s="178">
        <v>300</v>
      </c>
      <c r="O169" s="178"/>
      <c r="P169" s="178"/>
      <c r="Q169" s="178"/>
      <c r="R169" s="178" t="s">
        <v>19</v>
      </c>
      <c r="S169" s="181"/>
      <c r="T169" s="181"/>
      <c r="U169" s="182"/>
      <c r="V169" s="182" t="s">
        <v>35</v>
      </c>
      <c r="W169" s="183">
        <v>30</v>
      </c>
      <c r="X169" s="182" t="s">
        <v>51</v>
      </c>
      <c r="Y169" s="184">
        <v>2960</v>
      </c>
      <c r="Z169" s="184">
        <v>2960</v>
      </c>
      <c r="AA169" s="184">
        <v>2960</v>
      </c>
      <c r="AB169" s="184">
        <v>2960</v>
      </c>
      <c r="AC169" s="184">
        <v>2960</v>
      </c>
      <c r="AD169" s="184">
        <v>2960</v>
      </c>
      <c r="AE169" s="184">
        <v>2350</v>
      </c>
      <c r="AF169" s="184">
        <v>2350</v>
      </c>
      <c r="AG169" s="184">
        <v>2350</v>
      </c>
      <c r="AH169" s="184">
        <v>2200</v>
      </c>
      <c r="AI169" s="184">
        <v>2200</v>
      </c>
      <c r="AJ169" s="184">
        <v>2170</v>
      </c>
      <c r="AK169" s="184"/>
      <c r="AL169" s="184"/>
      <c r="AM169" s="184"/>
      <c r="AN169" s="184">
        <v>2390</v>
      </c>
      <c r="AO169" s="184">
        <v>2390</v>
      </c>
      <c r="AP169" s="184">
        <v>2390</v>
      </c>
      <c r="AQ169" s="184">
        <v>2540</v>
      </c>
      <c r="AR169" s="184">
        <v>2540</v>
      </c>
      <c r="AS169" s="184">
        <v>2540</v>
      </c>
      <c r="AT169" s="184">
        <v>2540</v>
      </c>
      <c r="AU169" s="184">
        <v>2540</v>
      </c>
      <c r="AV169" s="184">
        <v>2540</v>
      </c>
      <c r="AW169" s="184">
        <v>2460</v>
      </c>
      <c r="AX169" s="184">
        <v>2460</v>
      </c>
      <c r="AY169" s="184">
        <v>2460</v>
      </c>
      <c r="AZ169" s="184">
        <v>2220</v>
      </c>
      <c r="BA169" s="184">
        <v>2220</v>
      </c>
      <c r="BB169" s="184">
        <v>2350</v>
      </c>
      <c r="BC169" s="184">
        <v>2350</v>
      </c>
      <c r="BD169" s="184">
        <v>2350</v>
      </c>
      <c r="BE169" s="184">
        <v>2350</v>
      </c>
      <c r="BF169" s="184">
        <v>2250</v>
      </c>
      <c r="BG169" s="184">
        <v>2250</v>
      </c>
      <c r="BH169" s="184">
        <v>2250</v>
      </c>
      <c r="BI169" s="184">
        <v>2280</v>
      </c>
      <c r="BJ169" s="184">
        <v>2280</v>
      </c>
      <c r="BK169" s="184">
        <v>2280</v>
      </c>
      <c r="BL169" s="184">
        <v>2380</v>
      </c>
      <c r="BM169" s="184">
        <v>2380</v>
      </c>
      <c r="BN169" s="184">
        <v>2380</v>
      </c>
      <c r="BO169" s="184">
        <v>2460</v>
      </c>
      <c r="BP169" s="184">
        <v>2460</v>
      </c>
      <c r="BQ169" s="184">
        <v>2460</v>
      </c>
      <c r="BR169" s="184"/>
      <c r="BS169" s="184"/>
      <c r="BT169" s="184"/>
      <c r="BU169" s="146" cm="1">
        <f t="array" ref="BU169">LOOKUP(2,1/(Y169:BT169&lt;&gt;""),Y169:BH169)</f>
        <v>2460</v>
      </c>
      <c r="BV169" s="145" cm="1">
        <f t="array" aca="1" ref="BV169" ca="1">_xlfn.LET(
    _xlpm.last_col_idx, LOOKUP(2, 1/(Y169:BT169&lt;&gt;""), COLUMN(Y169:BT169) - COLUMN(Y169) + 1),
    _xlpm.header_val, INDEX($Y$3:$BT$3, 1, _xlpm.last_col_idx),
    _xlpm.header_date, IF(ISNUMBER(_xlpm.header_val), _xlpm.header_val, DATEVALUE(_xlpm.header_val)),
    IF(_xlpm.header_date &gt; TODAY(), TODAY(), _xlpm.header_date)
)</f>
        <v>46212</v>
      </c>
      <c r="BW169" s="209" cm="1">
        <f t="array" ref="BW169">(LOOKUP(2,1/(BH169:BT169&lt;&gt;""),BH169:BT169))/(INDEX(BH169:BT169,MATCH(TRUE,INDEX((BH169:BT169&lt;&gt;0),0),0)))-1</f>
        <v>9.3333333333333268E-2</v>
      </c>
      <c r="BX169" s="210">
        <f t="shared" si="32"/>
        <v>2.46</v>
      </c>
      <c r="BY169" s="210">
        <f t="shared" si="33"/>
        <v>14.514000000000001</v>
      </c>
      <c r="BZ169" s="210">
        <f ca="1">IF(L169="BR",'Impostos e Frete'!$F$6,IF(L169="EU",'Impostos e Frete'!$I$3,IF(L169="CN",'Impostos e Frete'!$I$4,IF(L169="JP",'Impostos e Frete'!$I$5,IF(L169="RU",'Impostos e Frete'!$I$7,"ERRO")))))</f>
        <v>0.1410816</v>
      </c>
      <c r="CA169" s="210">
        <f>VLOOKUP(L169,'Impostos e Frete'!$A$3:$B$7,2,0)*'Preços e Condições'!BY169</f>
        <v>1.8868200000000002</v>
      </c>
      <c r="CB169" s="147">
        <f t="shared" si="34"/>
        <v>0</v>
      </c>
      <c r="CC169" s="147">
        <f>IF(X169="BRL",'Impostos e Frete'!$B$11,'Impostos e Frete'!$B$12)</f>
        <v>9.1999999999999998E-2</v>
      </c>
      <c r="CD169" s="211">
        <f t="shared" ca="1" si="35"/>
        <v>16.633901600000002</v>
      </c>
      <c r="CE169" s="212">
        <f t="shared" ca="1" si="36"/>
        <v>1.164373112</v>
      </c>
      <c r="CF169" s="213">
        <f>VLOOKUP(L169,'Impostos e Frete'!$A$3:$C$7,3,0)</f>
        <v>105</v>
      </c>
      <c r="CG169" s="213">
        <f t="shared" si="37"/>
        <v>120</v>
      </c>
      <c r="CH169" s="213">
        <f t="shared" si="38"/>
        <v>15</v>
      </c>
      <c r="CI169" s="214">
        <f t="shared" ca="1" si="39"/>
        <v>-0.12336809292760975</v>
      </c>
      <c r="CJ169" s="215">
        <f t="shared" ca="1" si="40"/>
        <v>16.510533507072392</v>
      </c>
      <c r="CK169" s="216">
        <f t="shared" ca="1" si="41"/>
        <v>1.1557373454950675</v>
      </c>
    </row>
    <row r="170" spans="1:89">
      <c r="A170" s="176">
        <v>17027</v>
      </c>
      <c r="B170" s="177">
        <v>8269</v>
      </c>
      <c r="C170" s="178">
        <v>70</v>
      </c>
      <c r="D170" s="178">
        <v>2120</v>
      </c>
      <c r="E170" s="178" t="s">
        <v>50</v>
      </c>
      <c r="F170" s="179" t="s">
        <v>47</v>
      </c>
      <c r="G170" s="185" t="s">
        <v>91</v>
      </c>
      <c r="H170" s="178" t="s">
        <v>42</v>
      </c>
      <c r="I170" s="178">
        <v>6552</v>
      </c>
      <c r="J170" s="178"/>
      <c r="K170" s="178"/>
      <c r="L170" s="178" t="s">
        <v>59</v>
      </c>
      <c r="M170" s="178">
        <v>120</v>
      </c>
      <c r="N170" s="178">
        <v>300</v>
      </c>
      <c r="O170" s="178"/>
      <c r="P170" s="178"/>
      <c r="Q170" s="178"/>
      <c r="R170" s="178" t="s">
        <v>19</v>
      </c>
      <c r="S170" s="181"/>
      <c r="T170" s="181"/>
      <c r="U170" s="182"/>
      <c r="V170" s="182" t="s">
        <v>35</v>
      </c>
      <c r="W170" s="183">
        <v>20</v>
      </c>
      <c r="X170" s="182" t="s">
        <v>51</v>
      </c>
      <c r="Y170" s="184">
        <v>3010</v>
      </c>
      <c r="Z170" s="184">
        <v>3010</v>
      </c>
      <c r="AA170" s="184">
        <v>3010</v>
      </c>
      <c r="AB170" s="184">
        <v>3010</v>
      </c>
      <c r="AC170" s="184">
        <v>3010</v>
      </c>
      <c r="AD170" s="184">
        <v>3010</v>
      </c>
      <c r="AE170" s="184">
        <v>2400</v>
      </c>
      <c r="AF170" s="184">
        <v>2400</v>
      </c>
      <c r="AG170" s="184">
        <v>2400</v>
      </c>
      <c r="AH170" s="184">
        <v>2250</v>
      </c>
      <c r="AI170" s="184">
        <v>2250</v>
      </c>
      <c r="AJ170" s="184">
        <v>2220</v>
      </c>
      <c r="AK170" s="184"/>
      <c r="AL170" s="184"/>
      <c r="AM170" s="184"/>
      <c r="AN170" s="184">
        <v>2440</v>
      </c>
      <c r="AO170" s="184">
        <v>2440</v>
      </c>
      <c r="AP170" s="184">
        <v>2440</v>
      </c>
      <c r="AQ170" s="184">
        <v>2590</v>
      </c>
      <c r="AR170" s="184">
        <v>2590</v>
      </c>
      <c r="AS170" s="184">
        <v>2590</v>
      </c>
      <c r="AT170" s="184">
        <v>2590</v>
      </c>
      <c r="AU170" s="184">
        <v>2590</v>
      </c>
      <c r="AV170" s="184">
        <v>2590</v>
      </c>
      <c r="AW170" s="184">
        <v>2510</v>
      </c>
      <c r="AX170" s="184">
        <v>2510</v>
      </c>
      <c r="AY170" s="184">
        <v>2510</v>
      </c>
      <c r="AZ170" s="184">
        <v>2270</v>
      </c>
      <c r="BA170" s="184">
        <v>2270</v>
      </c>
      <c r="BB170" s="184">
        <v>2400</v>
      </c>
      <c r="BC170" s="184">
        <v>2400</v>
      </c>
      <c r="BD170" s="184">
        <v>2400</v>
      </c>
      <c r="BE170" s="184">
        <v>2400</v>
      </c>
      <c r="BF170" s="184">
        <v>2300</v>
      </c>
      <c r="BG170" s="184">
        <v>2300</v>
      </c>
      <c r="BH170" s="184">
        <v>2300</v>
      </c>
      <c r="BI170" s="184">
        <v>2330</v>
      </c>
      <c r="BJ170" s="184">
        <v>2330</v>
      </c>
      <c r="BK170" s="184">
        <v>2330</v>
      </c>
      <c r="BL170" s="184">
        <v>2430</v>
      </c>
      <c r="BM170" s="184">
        <v>2430</v>
      </c>
      <c r="BN170" s="184">
        <v>2430</v>
      </c>
      <c r="BO170" s="184">
        <v>2510</v>
      </c>
      <c r="BP170" s="184">
        <v>2510</v>
      </c>
      <c r="BQ170" s="184">
        <v>2510</v>
      </c>
      <c r="BR170" s="184"/>
      <c r="BS170" s="184"/>
      <c r="BT170" s="184"/>
      <c r="BU170" s="146" cm="1">
        <f t="array" ref="BU170">LOOKUP(2,1/(Y170:BT170&lt;&gt;""),Y170:BH170)</f>
        <v>2510</v>
      </c>
      <c r="BV170" s="145" cm="1">
        <f t="array" aca="1" ref="BV170" ca="1">_xlfn.LET(
    _xlpm.last_col_idx, LOOKUP(2, 1/(Y170:BT170&lt;&gt;""), COLUMN(Y170:BT170) - COLUMN(Y170) + 1),
    _xlpm.header_val, INDEX($Y$3:$BT$3, 1, _xlpm.last_col_idx),
    _xlpm.header_date, IF(ISNUMBER(_xlpm.header_val), _xlpm.header_val, DATEVALUE(_xlpm.header_val)),
    IF(_xlpm.header_date &gt; TODAY(), TODAY(), _xlpm.header_date)
)</f>
        <v>46212</v>
      </c>
      <c r="BW170" s="209" cm="1">
        <f t="array" ref="BW170">(LOOKUP(2,1/(BH170:BT170&lt;&gt;""),BH170:BT170))/(INDEX(BH170:BT170,MATCH(TRUE,INDEX((BH170:BT170&lt;&gt;0),0),0)))-1</f>
        <v>9.1304347826086873E-2</v>
      </c>
      <c r="BX170" s="210">
        <f t="shared" si="32"/>
        <v>2.5099999999999998</v>
      </c>
      <c r="BY170" s="210">
        <f t="shared" si="33"/>
        <v>14.808999999999999</v>
      </c>
      <c r="BZ170" s="210">
        <f ca="1">IF(L170="BR",'Impostos e Frete'!$F$6,IF(L170="EU",'Impostos e Frete'!$I$3,IF(L170="CN",'Impostos e Frete'!$I$4,IF(L170="JP",'Impostos e Frete'!$I$5,IF(L170="RU",'Impostos e Frete'!$I$7,"ERRO")))))</f>
        <v>0.1410816</v>
      </c>
      <c r="CA170" s="210">
        <f>VLOOKUP(L170,'Impostos e Frete'!$A$3:$B$7,2,0)*'Preços e Condições'!BY170</f>
        <v>1.92517</v>
      </c>
      <c r="CB170" s="147">
        <f t="shared" si="34"/>
        <v>0</v>
      </c>
      <c r="CC170" s="147">
        <f>IF(X170="BRL",'Impostos e Frete'!$B$11,'Impostos e Frete'!$B$12)</f>
        <v>9.1999999999999998E-2</v>
      </c>
      <c r="CD170" s="211">
        <f t="shared" ca="1" si="35"/>
        <v>16.967251599999997</v>
      </c>
      <c r="CE170" s="212">
        <f t="shared" ca="1" si="36"/>
        <v>1.1877076119999999</v>
      </c>
      <c r="CF170" s="213">
        <f>VLOOKUP(L170,'Impostos e Frete'!$A$3:$C$7,3,0)</f>
        <v>105</v>
      </c>
      <c r="CG170" s="213">
        <f t="shared" si="37"/>
        <v>120</v>
      </c>
      <c r="CH170" s="213">
        <f t="shared" si="38"/>
        <v>15</v>
      </c>
      <c r="CI170" s="214">
        <f t="shared" ca="1" si="39"/>
        <v>-0.12584043854840132</v>
      </c>
      <c r="CJ170" s="215">
        <f t="shared" ca="1" si="40"/>
        <v>16.841411161451596</v>
      </c>
      <c r="CK170" s="216">
        <f t="shared" ca="1" si="41"/>
        <v>1.1788987813016116</v>
      </c>
    </row>
    <row r="171" spans="1:89">
      <c r="A171" s="176">
        <v>17027</v>
      </c>
      <c r="B171" s="177">
        <v>8269</v>
      </c>
      <c r="C171" s="178">
        <v>70</v>
      </c>
      <c r="D171" s="178">
        <v>2120</v>
      </c>
      <c r="E171" s="178" t="s">
        <v>50</v>
      </c>
      <c r="F171" s="179" t="s">
        <v>47</v>
      </c>
      <c r="G171" s="185" t="s">
        <v>91</v>
      </c>
      <c r="H171" s="178" t="s">
        <v>42</v>
      </c>
      <c r="I171" s="178">
        <v>6552</v>
      </c>
      <c r="J171" s="178"/>
      <c r="K171" s="178"/>
      <c r="L171" s="178" t="s">
        <v>59</v>
      </c>
      <c r="M171" s="178">
        <v>120</v>
      </c>
      <c r="N171" s="178">
        <v>300</v>
      </c>
      <c r="O171" s="178"/>
      <c r="P171" s="178"/>
      <c r="Q171" s="178"/>
      <c r="R171" s="178" t="s">
        <v>19</v>
      </c>
      <c r="S171" s="181"/>
      <c r="T171" s="181"/>
      <c r="U171" s="182"/>
      <c r="V171" s="182" t="s">
        <v>35</v>
      </c>
      <c r="W171" s="183">
        <v>10</v>
      </c>
      <c r="X171" s="182" t="s">
        <v>51</v>
      </c>
      <c r="Y171" s="184">
        <v>3090</v>
      </c>
      <c r="Z171" s="184">
        <v>3090</v>
      </c>
      <c r="AA171" s="184">
        <v>3090</v>
      </c>
      <c r="AB171" s="184">
        <v>3090</v>
      </c>
      <c r="AC171" s="184">
        <v>3090</v>
      </c>
      <c r="AD171" s="184">
        <v>3090</v>
      </c>
      <c r="AE171" s="184">
        <v>2480</v>
      </c>
      <c r="AF171" s="184">
        <v>2480</v>
      </c>
      <c r="AG171" s="184">
        <v>2480</v>
      </c>
      <c r="AH171" s="184">
        <v>2330</v>
      </c>
      <c r="AI171" s="184">
        <v>2330</v>
      </c>
      <c r="AJ171" s="184">
        <v>2300</v>
      </c>
      <c r="AK171" s="184"/>
      <c r="AL171" s="184"/>
      <c r="AM171" s="184"/>
      <c r="AN171" s="184">
        <v>2520</v>
      </c>
      <c r="AO171" s="184">
        <v>2520</v>
      </c>
      <c r="AP171" s="184">
        <v>2520</v>
      </c>
      <c r="AQ171" s="184">
        <v>2670</v>
      </c>
      <c r="AR171" s="184">
        <v>2670</v>
      </c>
      <c r="AS171" s="184">
        <v>2670</v>
      </c>
      <c r="AT171" s="184">
        <v>2670</v>
      </c>
      <c r="AU171" s="184">
        <v>2670</v>
      </c>
      <c r="AV171" s="184">
        <v>2670</v>
      </c>
      <c r="AW171" s="184">
        <v>2590</v>
      </c>
      <c r="AX171" s="184">
        <v>2590</v>
      </c>
      <c r="AY171" s="184">
        <v>2590</v>
      </c>
      <c r="AZ171" s="184">
        <v>2350</v>
      </c>
      <c r="BA171" s="184">
        <v>2350</v>
      </c>
      <c r="BB171" s="184">
        <v>2480</v>
      </c>
      <c r="BC171" s="184">
        <v>2480</v>
      </c>
      <c r="BD171" s="184">
        <v>2480</v>
      </c>
      <c r="BE171" s="184">
        <v>2480</v>
      </c>
      <c r="BF171" s="184">
        <v>2380</v>
      </c>
      <c r="BG171" s="184">
        <v>2380</v>
      </c>
      <c r="BH171" s="184">
        <v>2380</v>
      </c>
      <c r="BI171" s="184">
        <v>2410</v>
      </c>
      <c r="BJ171" s="184">
        <v>2410</v>
      </c>
      <c r="BK171" s="184">
        <v>2410</v>
      </c>
      <c r="BL171" s="184">
        <v>2510</v>
      </c>
      <c r="BM171" s="184">
        <v>2510</v>
      </c>
      <c r="BN171" s="184">
        <v>2510</v>
      </c>
      <c r="BO171" s="184">
        <v>2590</v>
      </c>
      <c r="BP171" s="184">
        <v>2590</v>
      </c>
      <c r="BQ171" s="184">
        <v>2590</v>
      </c>
      <c r="BR171" s="184"/>
      <c r="BS171" s="184"/>
      <c r="BT171" s="184"/>
      <c r="BU171" s="146" cm="1">
        <f t="array" ref="BU171">LOOKUP(2,1/(Y171:BT171&lt;&gt;""),Y171:BH171)</f>
        <v>2590</v>
      </c>
      <c r="BV171" s="145" cm="1">
        <f t="array" aca="1" ref="BV171" ca="1">_xlfn.LET(
    _xlpm.last_col_idx, LOOKUP(2, 1/(Y171:BT171&lt;&gt;""), COLUMN(Y171:BT171) - COLUMN(Y171) + 1),
    _xlpm.header_val, INDEX($Y$3:$BT$3, 1, _xlpm.last_col_idx),
    _xlpm.header_date, IF(ISNUMBER(_xlpm.header_val), _xlpm.header_val, DATEVALUE(_xlpm.header_val)),
    IF(_xlpm.header_date &gt; TODAY(), TODAY(), _xlpm.header_date)
)</f>
        <v>46212</v>
      </c>
      <c r="BW171" s="209" cm="1">
        <f t="array" ref="BW171">(LOOKUP(2,1/(BH171:BT171&lt;&gt;""),BH171:BT171))/(INDEX(BH171:BT171,MATCH(TRUE,INDEX((BH171:BT171&lt;&gt;0),0),0)))-1</f>
        <v>8.8235294117646967E-2</v>
      </c>
      <c r="BX171" s="210">
        <f t="shared" si="32"/>
        <v>2.59</v>
      </c>
      <c r="BY171" s="210">
        <f t="shared" si="33"/>
        <v>15.281000000000001</v>
      </c>
      <c r="BZ171" s="210">
        <f ca="1">IF(L171="BR",'Impostos e Frete'!$F$6,IF(L171="EU",'Impostos e Frete'!$I$3,IF(L171="CN",'Impostos e Frete'!$I$4,IF(L171="JP",'Impostos e Frete'!$I$5,IF(L171="RU",'Impostos e Frete'!$I$7,"ERRO")))))</f>
        <v>0.1410816</v>
      </c>
      <c r="CA171" s="210">
        <f>VLOOKUP(L171,'Impostos e Frete'!$A$3:$B$7,2,0)*'Preços e Condições'!BY171</f>
        <v>1.9865300000000001</v>
      </c>
      <c r="CB171" s="147">
        <f t="shared" si="34"/>
        <v>0</v>
      </c>
      <c r="CC171" s="147">
        <f>IF(X171="BRL",'Impostos e Frete'!$B$11,'Impostos e Frete'!$B$12)</f>
        <v>9.1999999999999998E-2</v>
      </c>
      <c r="CD171" s="211">
        <f t="shared" ca="1" si="35"/>
        <v>17.500611599999999</v>
      </c>
      <c r="CE171" s="212">
        <f t="shared" ca="1" si="36"/>
        <v>1.2250428120000001</v>
      </c>
      <c r="CF171" s="213">
        <f>VLOOKUP(L171,'Impostos e Frete'!$A$3:$C$7,3,0)</f>
        <v>105</v>
      </c>
      <c r="CG171" s="213">
        <f t="shared" si="37"/>
        <v>120</v>
      </c>
      <c r="CH171" s="213">
        <f t="shared" si="38"/>
        <v>15</v>
      </c>
      <c r="CI171" s="214">
        <f t="shared" ca="1" si="39"/>
        <v>-0.129796191541665</v>
      </c>
      <c r="CJ171" s="215">
        <f t="shared" ca="1" si="40"/>
        <v>17.370815408458334</v>
      </c>
      <c r="CK171" s="216">
        <f t="shared" ca="1" si="41"/>
        <v>1.2159570785920835</v>
      </c>
    </row>
    <row r="172" spans="1:89">
      <c r="A172" s="176">
        <v>17027</v>
      </c>
      <c r="B172" s="177">
        <v>8269</v>
      </c>
      <c r="C172" s="178">
        <v>70</v>
      </c>
      <c r="D172" s="178">
        <v>2120</v>
      </c>
      <c r="E172" s="178" t="s">
        <v>50</v>
      </c>
      <c r="F172" s="179" t="s">
        <v>47</v>
      </c>
      <c r="G172" s="185" t="s">
        <v>91</v>
      </c>
      <c r="H172" s="178" t="s">
        <v>42</v>
      </c>
      <c r="I172" s="178">
        <v>6552</v>
      </c>
      <c r="J172" s="178"/>
      <c r="K172" s="178"/>
      <c r="L172" s="178" t="s">
        <v>59</v>
      </c>
      <c r="M172" s="178">
        <v>120</v>
      </c>
      <c r="N172" s="178">
        <v>300</v>
      </c>
      <c r="O172" s="178"/>
      <c r="P172" s="178"/>
      <c r="Q172" s="178"/>
      <c r="R172" s="178" t="s">
        <v>19</v>
      </c>
      <c r="S172" s="181"/>
      <c r="T172" s="181"/>
      <c r="U172" s="182"/>
      <c r="V172" s="182" t="s">
        <v>35</v>
      </c>
      <c r="W172" s="183">
        <v>100</v>
      </c>
      <c r="X172" s="182" t="s">
        <v>51</v>
      </c>
      <c r="Y172" s="184"/>
      <c r="Z172" s="184"/>
      <c r="AA172" s="184"/>
      <c r="AB172" s="184"/>
      <c r="AC172" s="184"/>
      <c r="AD172" s="184"/>
      <c r="AE172" s="184"/>
      <c r="AF172" s="184"/>
      <c r="AG172" s="184"/>
      <c r="AH172" s="184"/>
      <c r="AI172" s="184"/>
      <c r="AJ172" s="184"/>
      <c r="AK172" s="184"/>
      <c r="AL172" s="184"/>
      <c r="AM172" s="184"/>
      <c r="AN172" s="184"/>
      <c r="AO172" s="184"/>
      <c r="AP172" s="184"/>
      <c r="AQ172" s="184">
        <v>2050</v>
      </c>
      <c r="AR172" s="184">
        <v>2050</v>
      </c>
      <c r="AS172" s="184">
        <v>2050</v>
      </c>
      <c r="AT172" s="184">
        <v>2050</v>
      </c>
      <c r="AU172" s="184">
        <v>2050</v>
      </c>
      <c r="AV172" s="184">
        <v>2050</v>
      </c>
      <c r="AW172" s="184">
        <v>2050</v>
      </c>
      <c r="AX172" s="184">
        <v>2050</v>
      </c>
      <c r="AY172" s="184">
        <v>2050</v>
      </c>
      <c r="AZ172" s="184">
        <v>1750</v>
      </c>
      <c r="BA172" s="184">
        <v>1750</v>
      </c>
      <c r="BB172" s="184"/>
      <c r="BC172" s="184"/>
      <c r="BD172" s="184"/>
      <c r="BE172" s="184"/>
      <c r="BF172" s="184"/>
      <c r="BG172" s="184"/>
      <c r="BH172" s="184"/>
      <c r="BI172" s="184"/>
      <c r="BJ172" s="184"/>
      <c r="BK172" s="184"/>
      <c r="BL172" s="184"/>
      <c r="BM172" s="184"/>
      <c r="BN172" s="184"/>
      <c r="BO172" s="184"/>
      <c r="BP172" s="184"/>
      <c r="BQ172" s="184"/>
      <c r="BR172" s="184"/>
      <c r="BS172" s="184"/>
      <c r="BT172" s="184"/>
      <c r="BU172" s="146" cm="1">
        <f t="array" ref="BU172">LOOKUP(2,1/(Y172:BT172&lt;&gt;""),Y172:BH172)</f>
        <v>1750</v>
      </c>
      <c r="BV172" s="145" cm="1">
        <f t="array" aca="1" ref="BV172" ca="1">_xlfn.LET(
    _xlpm.last_col_idx, LOOKUP(2, 1/(Y172:BT172&lt;&gt;""), COLUMN(Y172:BT172) - COLUMN(Y172) + 1),
    _xlpm.header_val, INDEX($Y$3:$BT$3, 1, _xlpm.last_col_idx),
    _xlpm.header_date, IF(ISNUMBER(_xlpm.header_val), _xlpm.header_val, DATEVALUE(_xlpm.header_val)),
    IF(_xlpm.header_date &gt; TODAY(), TODAY(), _xlpm.header_date)
)</f>
        <v>45778</v>
      </c>
      <c r="BW172" s="209" t="e" cm="1">
        <f t="array" ref="BW172">(LOOKUP(2,1/(BH172:BT172&lt;&gt;""),BH172:BT172))/(INDEX(BH172:BT172,MATCH(TRUE,INDEX((BH172:BT172&lt;&gt;0),0),0)))-1</f>
        <v>#N/A</v>
      </c>
      <c r="BX172" s="210">
        <f t="shared" si="32"/>
        <v>1.75</v>
      </c>
      <c r="BY172" s="210">
        <f t="shared" si="33"/>
        <v>10.325000000000001</v>
      </c>
      <c r="BZ172" s="210">
        <f ca="1">IF(L172="BR",'Impostos e Frete'!$F$6,IF(L172="EU",'Impostos e Frete'!$I$3,IF(L172="CN",'Impostos e Frete'!$I$4,IF(L172="JP",'Impostos e Frete'!$I$5,IF(L172="RU",'Impostos e Frete'!$I$7,"ERRO")))))</f>
        <v>0.1410816</v>
      </c>
      <c r="CA172" s="210">
        <f>VLOOKUP(L172,'Impostos e Frete'!$A$3:$B$7,2,0)*'Preços e Condições'!BY172</f>
        <v>1.3422500000000002</v>
      </c>
      <c r="CB172" s="147">
        <f t="shared" si="34"/>
        <v>0</v>
      </c>
      <c r="CC172" s="147">
        <f>IF(X172="BRL",'Impostos e Frete'!$B$11,'Impostos e Frete'!$B$12)</f>
        <v>9.1999999999999998E-2</v>
      </c>
      <c r="CD172" s="211">
        <f t="shared" ca="1" si="35"/>
        <v>11.900331600000001</v>
      </c>
      <c r="CE172" s="212">
        <f t="shared" ca="1" si="36"/>
        <v>0.83302321200000007</v>
      </c>
      <c r="CF172" s="213">
        <f>VLOOKUP(L172,'Impostos e Frete'!$A$3:$C$7,3,0)</f>
        <v>105</v>
      </c>
      <c r="CG172" s="213">
        <f t="shared" si="37"/>
        <v>120</v>
      </c>
      <c r="CH172" s="213">
        <f t="shared" si="38"/>
        <v>15</v>
      </c>
      <c r="CI172" s="214">
        <f t="shared" ca="1" si="39"/>
        <v>-8.8260785112385776E-2</v>
      </c>
      <c r="CJ172" s="215">
        <f t="shared" ca="1" si="40"/>
        <v>11.812070814887615</v>
      </c>
      <c r="CK172" s="216">
        <f t="shared" ca="1" si="41"/>
        <v>0.82684495704213301</v>
      </c>
    </row>
    <row r="173" spans="1:89">
      <c r="A173" s="176">
        <v>17028</v>
      </c>
      <c r="B173" s="177">
        <v>8269</v>
      </c>
      <c r="C173" s="178">
        <v>70</v>
      </c>
      <c r="D173" s="178">
        <v>1270</v>
      </c>
      <c r="E173" s="178" t="s">
        <v>50</v>
      </c>
      <c r="F173" s="179" t="s">
        <v>47</v>
      </c>
      <c r="G173" s="185" t="s">
        <v>91</v>
      </c>
      <c r="H173" s="178" t="s">
        <v>42</v>
      </c>
      <c r="I173" s="178">
        <v>6552</v>
      </c>
      <c r="J173" s="178"/>
      <c r="K173" s="178"/>
      <c r="L173" s="178" t="s">
        <v>59</v>
      </c>
      <c r="M173" s="178">
        <v>120</v>
      </c>
      <c r="N173" s="178">
        <v>300</v>
      </c>
      <c r="O173" s="178"/>
      <c r="P173" s="178"/>
      <c r="Q173" s="178"/>
      <c r="R173" s="178" t="s">
        <v>19</v>
      </c>
      <c r="S173" s="181"/>
      <c r="T173" s="181"/>
      <c r="U173" s="182"/>
      <c r="V173" s="182" t="s">
        <v>35</v>
      </c>
      <c r="W173" s="183">
        <v>50</v>
      </c>
      <c r="X173" s="182" t="s">
        <v>51</v>
      </c>
      <c r="Y173" s="184">
        <v>2910</v>
      </c>
      <c r="Z173" s="184">
        <v>2910</v>
      </c>
      <c r="AA173" s="184">
        <v>2910</v>
      </c>
      <c r="AB173" s="184">
        <v>2910</v>
      </c>
      <c r="AC173" s="184">
        <v>2910</v>
      </c>
      <c r="AD173" s="184">
        <v>2910</v>
      </c>
      <c r="AE173" s="184">
        <v>2300</v>
      </c>
      <c r="AF173" s="184">
        <v>2300</v>
      </c>
      <c r="AG173" s="184">
        <v>2300</v>
      </c>
      <c r="AH173" s="184">
        <v>2150</v>
      </c>
      <c r="AI173" s="184">
        <v>2150</v>
      </c>
      <c r="AJ173" s="184">
        <v>2120</v>
      </c>
      <c r="AK173" s="184">
        <v>2210</v>
      </c>
      <c r="AL173" s="184">
        <v>2210</v>
      </c>
      <c r="AM173" s="184">
        <v>2210</v>
      </c>
      <c r="AN173" s="184">
        <v>2340</v>
      </c>
      <c r="AO173" s="184">
        <v>2340</v>
      </c>
      <c r="AP173" s="184">
        <v>2340</v>
      </c>
      <c r="AQ173" s="184">
        <v>2490</v>
      </c>
      <c r="AR173" s="184">
        <v>2490</v>
      </c>
      <c r="AS173" s="184">
        <v>2490</v>
      </c>
      <c r="AT173" s="184">
        <v>2490</v>
      </c>
      <c r="AU173" s="184">
        <v>2490</v>
      </c>
      <c r="AV173" s="184">
        <v>2490</v>
      </c>
      <c r="AW173" s="184">
        <v>2410</v>
      </c>
      <c r="AX173" s="184">
        <v>2410</v>
      </c>
      <c r="AY173" s="184">
        <v>2410</v>
      </c>
      <c r="AZ173" s="184">
        <v>2170</v>
      </c>
      <c r="BA173" s="184">
        <v>2170</v>
      </c>
      <c r="BB173" s="184">
        <v>2300</v>
      </c>
      <c r="BC173" s="184">
        <v>2300</v>
      </c>
      <c r="BD173" s="184">
        <v>2300</v>
      </c>
      <c r="BE173" s="184">
        <v>2300</v>
      </c>
      <c r="BF173" s="184">
        <v>2200</v>
      </c>
      <c r="BG173" s="184">
        <v>2200</v>
      </c>
      <c r="BH173" s="184">
        <v>2200</v>
      </c>
      <c r="BI173" s="184">
        <v>2230</v>
      </c>
      <c r="BJ173" s="184">
        <v>2230</v>
      </c>
      <c r="BK173" s="184">
        <v>2230</v>
      </c>
      <c r="BL173" s="184">
        <v>2330</v>
      </c>
      <c r="BM173" s="184">
        <v>2330</v>
      </c>
      <c r="BN173" s="184">
        <v>2330</v>
      </c>
      <c r="BO173" s="184">
        <v>2410</v>
      </c>
      <c r="BP173" s="184">
        <v>2410</v>
      </c>
      <c r="BQ173" s="184">
        <v>2410</v>
      </c>
      <c r="BR173" s="184"/>
      <c r="BS173" s="184"/>
      <c r="BT173" s="184"/>
      <c r="BU173" s="146" cm="1">
        <f t="array" ref="BU173">LOOKUP(2,1/(Y173:BT173&lt;&gt;""),Y173:BH173)</f>
        <v>2410</v>
      </c>
      <c r="BV173" s="145" cm="1">
        <f t="array" aca="1" ref="BV173" ca="1">_xlfn.LET(
    _xlpm.last_col_idx, LOOKUP(2, 1/(Y173:BT173&lt;&gt;""), COLUMN(Y173:BT173) - COLUMN(Y173) + 1),
    _xlpm.header_val, INDEX($Y$3:$BT$3, 1, _xlpm.last_col_idx),
    _xlpm.header_date, IF(ISNUMBER(_xlpm.header_val), _xlpm.header_val, DATEVALUE(_xlpm.header_val)),
    IF(_xlpm.header_date &gt; TODAY(), TODAY(), _xlpm.header_date)
)</f>
        <v>46212</v>
      </c>
      <c r="BW173" s="209" cm="1">
        <f t="array" ref="BW173">(LOOKUP(2,1/(BH173:BT173&lt;&gt;""),BH173:BT173))/(INDEX(BH173:BT173,MATCH(TRUE,INDEX((BH173:BT173&lt;&gt;0),0),0)))-1</f>
        <v>9.5454545454545459E-2</v>
      </c>
      <c r="BX173" s="210">
        <f t="shared" si="32"/>
        <v>2.41</v>
      </c>
      <c r="BY173" s="210">
        <f t="shared" si="33"/>
        <v>14.219000000000001</v>
      </c>
      <c r="BZ173" s="210">
        <f ca="1">IF(L173="BR",'Impostos e Frete'!$F$6,IF(L173="EU",'Impostos e Frete'!$I$3,IF(L173="CN",'Impostos e Frete'!$I$4,IF(L173="JP",'Impostos e Frete'!$I$5,IF(L173="RU",'Impostos e Frete'!$I$7,"ERRO")))))</f>
        <v>0.1410816</v>
      </c>
      <c r="CA173" s="210">
        <f>VLOOKUP(L173,'Impostos e Frete'!$A$3:$B$7,2,0)*'Preços e Condições'!BY173</f>
        <v>1.8484700000000003</v>
      </c>
      <c r="CB173" s="147">
        <f t="shared" si="34"/>
        <v>0</v>
      </c>
      <c r="CC173" s="147">
        <f>IF(X173="BRL",'Impostos e Frete'!$B$11,'Impostos e Frete'!$B$12)</f>
        <v>9.1999999999999998E-2</v>
      </c>
      <c r="CD173" s="211">
        <f t="shared" ca="1" si="35"/>
        <v>16.300551599999999</v>
      </c>
      <c r="CE173" s="212">
        <f t="shared" ca="1" si="36"/>
        <v>1.1410386119999998</v>
      </c>
      <c r="CF173" s="213">
        <f>VLOOKUP(L173,'Impostos e Frete'!$A$3:$C$7,3,0)</f>
        <v>105</v>
      </c>
      <c r="CG173" s="213">
        <f t="shared" si="37"/>
        <v>120</v>
      </c>
      <c r="CH173" s="213">
        <f t="shared" si="38"/>
        <v>15</v>
      </c>
      <c r="CI173" s="214">
        <f t="shared" ca="1" si="39"/>
        <v>-0.12089574730681818</v>
      </c>
      <c r="CJ173" s="215">
        <f t="shared" ca="1" si="40"/>
        <v>16.17965585269318</v>
      </c>
      <c r="CK173" s="216">
        <f t="shared" ca="1" si="41"/>
        <v>1.1325759096885226</v>
      </c>
    </row>
    <row r="174" spans="1:89">
      <c r="A174" s="176">
        <v>17028</v>
      </c>
      <c r="B174" s="177">
        <v>8269</v>
      </c>
      <c r="C174" s="178">
        <v>70</v>
      </c>
      <c r="D174" s="178">
        <v>1270</v>
      </c>
      <c r="E174" s="178" t="s">
        <v>50</v>
      </c>
      <c r="F174" s="179" t="s">
        <v>47</v>
      </c>
      <c r="G174" s="185" t="s">
        <v>91</v>
      </c>
      <c r="H174" s="178" t="s">
        <v>42</v>
      </c>
      <c r="I174" s="178">
        <v>6552</v>
      </c>
      <c r="J174" s="178"/>
      <c r="K174" s="178"/>
      <c r="L174" s="178" t="s">
        <v>59</v>
      </c>
      <c r="M174" s="178">
        <v>120</v>
      </c>
      <c r="N174" s="178">
        <v>300</v>
      </c>
      <c r="O174" s="178"/>
      <c r="P174" s="178"/>
      <c r="Q174" s="178"/>
      <c r="R174" s="178" t="s">
        <v>19</v>
      </c>
      <c r="S174" s="181"/>
      <c r="T174" s="181"/>
      <c r="U174" s="182"/>
      <c r="V174" s="182" t="s">
        <v>35</v>
      </c>
      <c r="W174" s="183">
        <v>30</v>
      </c>
      <c r="X174" s="182" t="s">
        <v>51</v>
      </c>
      <c r="Y174" s="184">
        <v>2960</v>
      </c>
      <c r="Z174" s="184">
        <v>2960</v>
      </c>
      <c r="AA174" s="184">
        <v>2960</v>
      </c>
      <c r="AB174" s="184">
        <v>2960</v>
      </c>
      <c r="AC174" s="184">
        <v>2960</v>
      </c>
      <c r="AD174" s="184">
        <v>2960</v>
      </c>
      <c r="AE174" s="184">
        <v>2350</v>
      </c>
      <c r="AF174" s="184">
        <v>2350</v>
      </c>
      <c r="AG174" s="184">
        <v>2350</v>
      </c>
      <c r="AH174" s="184">
        <v>2200</v>
      </c>
      <c r="AI174" s="184">
        <v>2200</v>
      </c>
      <c r="AJ174" s="184">
        <v>2170</v>
      </c>
      <c r="AK174" s="146">
        <f>AK173+50</f>
        <v>2260</v>
      </c>
      <c r="AL174" s="146">
        <f>AL173+50</f>
        <v>2260</v>
      </c>
      <c r="AM174" s="146">
        <f>AM173+50</f>
        <v>2260</v>
      </c>
      <c r="AN174" s="184">
        <v>2390</v>
      </c>
      <c r="AO174" s="184">
        <v>2390</v>
      </c>
      <c r="AP174" s="184">
        <v>2390</v>
      </c>
      <c r="AQ174" s="184">
        <v>2540</v>
      </c>
      <c r="AR174" s="184">
        <v>2540</v>
      </c>
      <c r="AS174" s="184">
        <v>2540</v>
      </c>
      <c r="AT174" s="184">
        <v>2540</v>
      </c>
      <c r="AU174" s="184">
        <v>2540</v>
      </c>
      <c r="AV174" s="184">
        <v>2540</v>
      </c>
      <c r="AW174" s="184">
        <v>2460</v>
      </c>
      <c r="AX174" s="184">
        <v>2460</v>
      </c>
      <c r="AY174" s="184">
        <v>2460</v>
      </c>
      <c r="AZ174" s="184">
        <v>2220</v>
      </c>
      <c r="BA174" s="184">
        <v>2220</v>
      </c>
      <c r="BB174" s="184">
        <v>2350</v>
      </c>
      <c r="BC174" s="184">
        <v>2350</v>
      </c>
      <c r="BD174" s="184">
        <v>2350</v>
      </c>
      <c r="BE174" s="184">
        <v>2350</v>
      </c>
      <c r="BF174" s="184">
        <v>2250</v>
      </c>
      <c r="BG174" s="184">
        <v>2250</v>
      </c>
      <c r="BH174" s="184">
        <v>2250</v>
      </c>
      <c r="BI174" s="184">
        <v>2280</v>
      </c>
      <c r="BJ174" s="184">
        <v>2280</v>
      </c>
      <c r="BK174" s="184">
        <v>2280</v>
      </c>
      <c r="BL174" s="184">
        <v>2380</v>
      </c>
      <c r="BM174" s="184">
        <v>2380</v>
      </c>
      <c r="BN174" s="184">
        <v>2380</v>
      </c>
      <c r="BO174" s="184">
        <v>2460</v>
      </c>
      <c r="BP174" s="184">
        <v>2460</v>
      </c>
      <c r="BQ174" s="184">
        <v>2460</v>
      </c>
      <c r="BR174" s="184"/>
      <c r="BS174" s="184"/>
      <c r="BT174" s="184"/>
      <c r="BU174" s="146" cm="1">
        <f t="array" ref="BU174">LOOKUP(2,1/(Y174:BT174&lt;&gt;""),Y174:BH174)</f>
        <v>2460</v>
      </c>
      <c r="BV174" s="145" cm="1">
        <f t="array" aca="1" ref="BV174" ca="1">_xlfn.LET(
    _xlpm.last_col_idx, LOOKUP(2, 1/(Y174:BT174&lt;&gt;""), COLUMN(Y174:BT174) - COLUMN(Y174) + 1),
    _xlpm.header_val, INDEX($Y$3:$BT$3, 1, _xlpm.last_col_idx),
    _xlpm.header_date, IF(ISNUMBER(_xlpm.header_val), _xlpm.header_val, DATEVALUE(_xlpm.header_val)),
    IF(_xlpm.header_date &gt; TODAY(), TODAY(), _xlpm.header_date)
)</f>
        <v>46212</v>
      </c>
      <c r="BW174" s="209" cm="1">
        <f t="array" ref="BW174">(LOOKUP(2,1/(BH174:BT174&lt;&gt;""),BH174:BT174))/(INDEX(BH174:BT174,MATCH(TRUE,INDEX((BH174:BT174&lt;&gt;0),0),0)))-1</f>
        <v>9.3333333333333268E-2</v>
      </c>
      <c r="BX174" s="210">
        <f t="shared" si="32"/>
        <v>2.46</v>
      </c>
      <c r="BY174" s="210">
        <f t="shared" si="33"/>
        <v>14.514000000000001</v>
      </c>
      <c r="BZ174" s="210">
        <f ca="1">IF(L174="BR",'Impostos e Frete'!$F$6,IF(L174="EU",'Impostos e Frete'!$I$3,IF(L174="CN",'Impostos e Frete'!$I$4,IF(L174="JP",'Impostos e Frete'!$I$5,IF(L174="RU",'Impostos e Frete'!$I$7,"ERRO")))))</f>
        <v>0.1410816</v>
      </c>
      <c r="CA174" s="210">
        <f>VLOOKUP(L174,'Impostos e Frete'!$A$3:$B$7,2,0)*'Preços e Condições'!BY174</f>
        <v>1.8868200000000002</v>
      </c>
      <c r="CB174" s="147">
        <f t="shared" si="34"/>
        <v>0</v>
      </c>
      <c r="CC174" s="147">
        <f>IF(X174="BRL",'Impostos e Frete'!$B$11,'Impostos e Frete'!$B$12)</f>
        <v>9.1999999999999998E-2</v>
      </c>
      <c r="CD174" s="211">
        <f t="shared" ca="1" si="35"/>
        <v>16.633901600000002</v>
      </c>
      <c r="CE174" s="212">
        <f t="shared" ca="1" si="36"/>
        <v>1.164373112</v>
      </c>
      <c r="CF174" s="213">
        <f>VLOOKUP(L174,'Impostos e Frete'!$A$3:$C$7,3,0)</f>
        <v>105</v>
      </c>
      <c r="CG174" s="213">
        <f t="shared" si="37"/>
        <v>120</v>
      </c>
      <c r="CH174" s="213">
        <f t="shared" si="38"/>
        <v>15</v>
      </c>
      <c r="CI174" s="214">
        <f t="shared" ca="1" si="39"/>
        <v>-0.12336809292760975</v>
      </c>
      <c r="CJ174" s="215">
        <f t="shared" ca="1" si="40"/>
        <v>16.510533507072392</v>
      </c>
      <c r="CK174" s="216">
        <f t="shared" ca="1" si="41"/>
        <v>1.1557373454950675</v>
      </c>
    </row>
    <row r="175" spans="1:89">
      <c r="A175" s="176">
        <v>17028</v>
      </c>
      <c r="B175" s="177">
        <v>8269</v>
      </c>
      <c r="C175" s="178">
        <v>70</v>
      </c>
      <c r="D175" s="178">
        <v>1270</v>
      </c>
      <c r="E175" s="178" t="s">
        <v>50</v>
      </c>
      <c r="F175" s="179" t="s">
        <v>47</v>
      </c>
      <c r="G175" s="185" t="s">
        <v>91</v>
      </c>
      <c r="H175" s="178" t="s">
        <v>42</v>
      </c>
      <c r="I175" s="178">
        <v>6552</v>
      </c>
      <c r="J175" s="178"/>
      <c r="K175" s="178"/>
      <c r="L175" s="178" t="s">
        <v>59</v>
      </c>
      <c r="M175" s="178">
        <v>120</v>
      </c>
      <c r="N175" s="178">
        <v>300</v>
      </c>
      <c r="O175" s="178"/>
      <c r="P175" s="178"/>
      <c r="Q175" s="178"/>
      <c r="R175" s="178" t="s">
        <v>19</v>
      </c>
      <c r="S175" s="181"/>
      <c r="T175" s="181"/>
      <c r="U175" s="182"/>
      <c r="V175" s="182" t="s">
        <v>35</v>
      </c>
      <c r="W175" s="183">
        <v>20</v>
      </c>
      <c r="X175" s="182" t="s">
        <v>51</v>
      </c>
      <c r="Y175" s="184">
        <v>3010</v>
      </c>
      <c r="Z175" s="184">
        <v>3010</v>
      </c>
      <c r="AA175" s="184">
        <v>3010</v>
      </c>
      <c r="AB175" s="184">
        <v>3010</v>
      </c>
      <c r="AC175" s="184">
        <v>3010</v>
      </c>
      <c r="AD175" s="184">
        <v>3010</v>
      </c>
      <c r="AE175" s="184">
        <v>2400</v>
      </c>
      <c r="AF175" s="184">
        <v>2400</v>
      </c>
      <c r="AG175" s="184">
        <v>2400</v>
      </c>
      <c r="AH175" s="184">
        <v>2250</v>
      </c>
      <c r="AI175" s="184">
        <v>2250</v>
      </c>
      <c r="AJ175" s="184">
        <v>2220</v>
      </c>
      <c r="AK175" s="146">
        <f>AK173+100</f>
        <v>2310</v>
      </c>
      <c r="AL175" s="146">
        <f>AL173+100</f>
        <v>2310</v>
      </c>
      <c r="AM175" s="146">
        <f>AM173+100</f>
        <v>2310</v>
      </c>
      <c r="AN175" s="184">
        <v>2440</v>
      </c>
      <c r="AO175" s="184">
        <v>2440</v>
      </c>
      <c r="AP175" s="184">
        <v>2440</v>
      </c>
      <c r="AQ175" s="184">
        <v>2590</v>
      </c>
      <c r="AR175" s="184">
        <v>2590</v>
      </c>
      <c r="AS175" s="184">
        <v>2590</v>
      </c>
      <c r="AT175" s="184">
        <v>2590</v>
      </c>
      <c r="AU175" s="184">
        <v>2590</v>
      </c>
      <c r="AV175" s="184">
        <v>2590</v>
      </c>
      <c r="AW175" s="184">
        <v>2510</v>
      </c>
      <c r="AX175" s="184">
        <v>2510</v>
      </c>
      <c r="AY175" s="184">
        <v>2510</v>
      </c>
      <c r="AZ175" s="184">
        <v>2270</v>
      </c>
      <c r="BA175" s="184">
        <v>2270</v>
      </c>
      <c r="BB175" s="184">
        <v>2400</v>
      </c>
      <c r="BC175" s="184">
        <v>2400</v>
      </c>
      <c r="BD175" s="184">
        <v>2400</v>
      </c>
      <c r="BE175" s="184">
        <v>2400</v>
      </c>
      <c r="BF175" s="184">
        <v>2300</v>
      </c>
      <c r="BG175" s="184">
        <v>2300</v>
      </c>
      <c r="BH175" s="184">
        <v>2300</v>
      </c>
      <c r="BI175" s="184">
        <v>2330</v>
      </c>
      <c r="BJ175" s="184">
        <v>2330</v>
      </c>
      <c r="BK175" s="184">
        <v>2330</v>
      </c>
      <c r="BL175" s="184">
        <v>2430</v>
      </c>
      <c r="BM175" s="184">
        <v>2430</v>
      </c>
      <c r="BN175" s="184">
        <v>2430</v>
      </c>
      <c r="BO175" s="184">
        <v>2510</v>
      </c>
      <c r="BP175" s="184">
        <v>2510</v>
      </c>
      <c r="BQ175" s="184">
        <v>2510</v>
      </c>
      <c r="BR175" s="184"/>
      <c r="BS175" s="184"/>
      <c r="BT175" s="184"/>
      <c r="BU175" s="146" cm="1">
        <f t="array" ref="BU175">LOOKUP(2,1/(Y175:BT175&lt;&gt;""),Y175:BH175)</f>
        <v>2510</v>
      </c>
      <c r="BV175" s="145" cm="1">
        <f t="array" aca="1" ref="BV175" ca="1">_xlfn.LET(
    _xlpm.last_col_idx, LOOKUP(2, 1/(Y175:BT175&lt;&gt;""), COLUMN(Y175:BT175) - COLUMN(Y175) + 1),
    _xlpm.header_val, INDEX($Y$3:$BT$3, 1, _xlpm.last_col_idx),
    _xlpm.header_date, IF(ISNUMBER(_xlpm.header_val), _xlpm.header_val, DATEVALUE(_xlpm.header_val)),
    IF(_xlpm.header_date &gt; TODAY(), TODAY(), _xlpm.header_date)
)</f>
        <v>46212</v>
      </c>
      <c r="BW175" s="209" cm="1">
        <f t="array" ref="BW175">(LOOKUP(2,1/(BH175:BT175&lt;&gt;""),BH175:BT175))/(INDEX(BH175:BT175,MATCH(TRUE,INDEX((BH175:BT175&lt;&gt;0),0),0)))-1</f>
        <v>9.1304347826086873E-2</v>
      </c>
      <c r="BX175" s="210">
        <f t="shared" si="32"/>
        <v>2.5099999999999998</v>
      </c>
      <c r="BY175" s="210">
        <f t="shared" si="33"/>
        <v>14.808999999999999</v>
      </c>
      <c r="BZ175" s="210">
        <f ca="1">IF(L175="BR",'Impostos e Frete'!$F$6,IF(L175="EU",'Impostos e Frete'!$I$3,IF(L175="CN",'Impostos e Frete'!$I$4,IF(L175="JP",'Impostos e Frete'!$I$5,IF(L175="RU",'Impostos e Frete'!$I$7,"ERRO")))))</f>
        <v>0.1410816</v>
      </c>
      <c r="CA175" s="210">
        <f>VLOOKUP(L175,'Impostos e Frete'!$A$3:$B$7,2,0)*'Preços e Condições'!BY175</f>
        <v>1.92517</v>
      </c>
      <c r="CB175" s="147">
        <f t="shared" si="34"/>
        <v>0</v>
      </c>
      <c r="CC175" s="147">
        <f>IF(X175="BRL",'Impostos e Frete'!$B$11,'Impostos e Frete'!$B$12)</f>
        <v>9.1999999999999998E-2</v>
      </c>
      <c r="CD175" s="211">
        <f t="shared" ca="1" si="35"/>
        <v>16.967251599999997</v>
      </c>
      <c r="CE175" s="212">
        <f t="shared" ca="1" si="36"/>
        <v>1.1877076119999999</v>
      </c>
      <c r="CF175" s="213">
        <f>VLOOKUP(L175,'Impostos e Frete'!$A$3:$C$7,3,0)</f>
        <v>105</v>
      </c>
      <c r="CG175" s="213">
        <f t="shared" si="37"/>
        <v>120</v>
      </c>
      <c r="CH175" s="213">
        <f t="shared" si="38"/>
        <v>15</v>
      </c>
      <c r="CI175" s="214">
        <f t="shared" ca="1" si="39"/>
        <v>-0.12584043854840132</v>
      </c>
      <c r="CJ175" s="215">
        <f t="shared" ca="1" si="40"/>
        <v>16.841411161451596</v>
      </c>
      <c r="CK175" s="216">
        <f t="shared" ca="1" si="41"/>
        <v>1.1788987813016116</v>
      </c>
    </row>
    <row r="176" spans="1:89">
      <c r="A176" s="176">
        <v>17028</v>
      </c>
      <c r="B176" s="177">
        <v>8269</v>
      </c>
      <c r="C176" s="178">
        <v>70</v>
      </c>
      <c r="D176" s="178">
        <v>1270</v>
      </c>
      <c r="E176" s="178" t="s">
        <v>50</v>
      </c>
      <c r="F176" s="179" t="s">
        <v>47</v>
      </c>
      <c r="G176" s="185" t="s">
        <v>91</v>
      </c>
      <c r="H176" s="178" t="s">
        <v>42</v>
      </c>
      <c r="I176" s="178">
        <v>6552</v>
      </c>
      <c r="J176" s="178"/>
      <c r="K176" s="178"/>
      <c r="L176" s="178" t="s">
        <v>59</v>
      </c>
      <c r="M176" s="178">
        <v>120</v>
      </c>
      <c r="N176" s="178">
        <v>300</v>
      </c>
      <c r="O176" s="178"/>
      <c r="P176" s="178"/>
      <c r="Q176" s="178"/>
      <c r="R176" s="178" t="s">
        <v>19</v>
      </c>
      <c r="S176" s="181"/>
      <c r="T176" s="181"/>
      <c r="U176" s="182"/>
      <c r="V176" s="182" t="s">
        <v>35</v>
      </c>
      <c r="W176" s="183">
        <v>10</v>
      </c>
      <c r="X176" s="182" t="s">
        <v>51</v>
      </c>
      <c r="Y176" s="184">
        <v>3090</v>
      </c>
      <c r="Z176" s="184">
        <v>3090</v>
      </c>
      <c r="AA176" s="184">
        <v>3090</v>
      </c>
      <c r="AB176" s="184">
        <v>3090</v>
      </c>
      <c r="AC176" s="184">
        <v>3090</v>
      </c>
      <c r="AD176" s="184">
        <v>3090</v>
      </c>
      <c r="AE176" s="184">
        <v>2480</v>
      </c>
      <c r="AF176" s="184">
        <v>2480</v>
      </c>
      <c r="AG176" s="184">
        <v>2480</v>
      </c>
      <c r="AH176" s="184">
        <v>2330</v>
      </c>
      <c r="AI176" s="184">
        <v>2330</v>
      </c>
      <c r="AJ176" s="184">
        <v>2300</v>
      </c>
      <c r="AK176" s="146">
        <f>AK173+180</f>
        <v>2390</v>
      </c>
      <c r="AL176" s="146">
        <f>AL173+180</f>
        <v>2390</v>
      </c>
      <c r="AM176" s="146">
        <f>AM173+180</f>
        <v>2390</v>
      </c>
      <c r="AN176" s="184">
        <v>2520</v>
      </c>
      <c r="AO176" s="184">
        <v>2520</v>
      </c>
      <c r="AP176" s="184">
        <v>2520</v>
      </c>
      <c r="AQ176" s="184">
        <v>2670</v>
      </c>
      <c r="AR176" s="184">
        <v>2670</v>
      </c>
      <c r="AS176" s="184">
        <v>2670</v>
      </c>
      <c r="AT176" s="184">
        <v>2670</v>
      </c>
      <c r="AU176" s="184">
        <v>2670</v>
      </c>
      <c r="AV176" s="184">
        <v>2670</v>
      </c>
      <c r="AW176" s="184">
        <v>2590</v>
      </c>
      <c r="AX176" s="184">
        <v>2590</v>
      </c>
      <c r="AY176" s="184">
        <v>2590</v>
      </c>
      <c r="AZ176" s="184">
        <v>2350</v>
      </c>
      <c r="BA176" s="184">
        <v>2350</v>
      </c>
      <c r="BB176" s="184">
        <v>2480</v>
      </c>
      <c r="BC176" s="184">
        <v>2480</v>
      </c>
      <c r="BD176" s="184">
        <v>2480</v>
      </c>
      <c r="BE176" s="184">
        <v>2480</v>
      </c>
      <c r="BF176" s="184">
        <v>2380</v>
      </c>
      <c r="BG176" s="184">
        <v>2380</v>
      </c>
      <c r="BH176" s="184">
        <v>2380</v>
      </c>
      <c r="BI176" s="184">
        <v>2410</v>
      </c>
      <c r="BJ176" s="184">
        <v>2410</v>
      </c>
      <c r="BK176" s="184">
        <v>2410</v>
      </c>
      <c r="BL176" s="184">
        <v>2510</v>
      </c>
      <c r="BM176" s="184">
        <v>2510</v>
      </c>
      <c r="BN176" s="184">
        <v>2510</v>
      </c>
      <c r="BO176" s="184">
        <v>2590</v>
      </c>
      <c r="BP176" s="184">
        <v>2590</v>
      </c>
      <c r="BQ176" s="184">
        <v>2590</v>
      </c>
      <c r="BR176" s="184"/>
      <c r="BS176" s="184"/>
      <c r="BT176" s="184"/>
      <c r="BU176" s="146" cm="1">
        <f t="array" ref="BU176">LOOKUP(2,1/(Y176:BT176&lt;&gt;""),Y176:BH176)</f>
        <v>2590</v>
      </c>
      <c r="BV176" s="145" cm="1">
        <f t="array" aca="1" ref="BV176" ca="1">_xlfn.LET(
    _xlpm.last_col_idx, LOOKUP(2, 1/(Y176:BT176&lt;&gt;""), COLUMN(Y176:BT176) - COLUMN(Y176) + 1),
    _xlpm.header_val, INDEX($Y$3:$BT$3, 1, _xlpm.last_col_idx),
    _xlpm.header_date, IF(ISNUMBER(_xlpm.header_val), _xlpm.header_val, DATEVALUE(_xlpm.header_val)),
    IF(_xlpm.header_date &gt; TODAY(), TODAY(), _xlpm.header_date)
)</f>
        <v>46212</v>
      </c>
      <c r="BW176" s="209" cm="1">
        <f t="array" ref="BW176">(LOOKUP(2,1/(BH176:BT176&lt;&gt;""),BH176:BT176))/(INDEX(BH176:BT176,MATCH(TRUE,INDEX((BH176:BT176&lt;&gt;0),0),0)))-1</f>
        <v>8.8235294117646967E-2</v>
      </c>
      <c r="BX176" s="210">
        <f t="shared" si="32"/>
        <v>2.59</v>
      </c>
      <c r="BY176" s="210">
        <f t="shared" si="33"/>
        <v>15.281000000000001</v>
      </c>
      <c r="BZ176" s="210">
        <f ca="1">IF(L176="BR",'Impostos e Frete'!$F$6,IF(L176="EU",'Impostos e Frete'!$I$3,IF(L176="CN",'Impostos e Frete'!$I$4,IF(L176="JP",'Impostos e Frete'!$I$5,IF(L176="RU",'Impostos e Frete'!$I$7,"ERRO")))))</f>
        <v>0.1410816</v>
      </c>
      <c r="CA176" s="210">
        <f>VLOOKUP(L176,'Impostos e Frete'!$A$3:$B$7,2,0)*'Preços e Condições'!BY176</f>
        <v>1.9865300000000001</v>
      </c>
      <c r="CB176" s="147">
        <f t="shared" si="34"/>
        <v>0</v>
      </c>
      <c r="CC176" s="147">
        <f>IF(X176="BRL",'Impostos e Frete'!$B$11,'Impostos e Frete'!$B$12)</f>
        <v>9.1999999999999998E-2</v>
      </c>
      <c r="CD176" s="211">
        <f t="shared" ca="1" si="35"/>
        <v>17.500611599999999</v>
      </c>
      <c r="CE176" s="212">
        <f t="shared" ca="1" si="36"/>
        <v>1.2250428120000001</v>
      </c>
      <c r="CF176" s="213">
        <f>VLOOKUP(L176,'Impostos e Frete'!$A$3:$C$7,3,0)</f>
        <v>105</v>
      </c>
      <c r="CG176" s="213">
        <f t="shared" si="37"/>
        <v>120</v>
      </c>
      <c r="CH176" s="213">
        <f t="shared" si="38"/>
        <v>15</v>
      </c>
      <c r="CI176" s="214">
        <f t="shared" ca="1" si="39"/>
        <v>-0.129796191541665</v>
      </c>
      <c r="CJ176" s="215">
        <f t="shared" ca="1" si="40"/>
        <v>17.370815408458334</v>
      </c>
      <c r="CK176" s="216">
        <f t="shared" ca="1" si="41"/>
        <v>1.2159570785920835</v>
      </c>
    </row>
    <row r="177" spans="1:89">
      <c r="A177" s="176">
        <v>17028</v>
      </c>
      <c r="B177" s="177">
        <v>8269</v>
      </c>
      <c r="C177" s="178">
        <v>70</v>
      </c>
      <c r="D177" s="178">
        <v>1270</v>
      </c>
      <c r="E177" s="178" t="s">
        <v>50</v>
      </c>
      <c r="F177" s="179" t="s">
        <v>47</v>
      </c>
      <c r="G177" s="185" t="s">
        <v>91</v>
      </c>
      <c r="H177" s="178" t="s">
        <v>42</v>
      </c>
      <c r="I177" s="178">
        <v>6552</v>
      </c>
      <c r="J177" s="178"/>
      <c r="K177" s="178"/>
      <c r="L177" s="178" t="s">
        <v>59</v>
      </c>
      <c r="M177" s="178">
        <v>120</v>
      </c>
      <c r="N177" s="178">
        <v>300</v>
      </c>
      <c r="O177" s="178"/>
      <c r="P177" s="178"/>
      <c r="Q177" s="178"/>
      <c r="R177" s="178" t="s">
        <v>19</v>
      </c>
      <c r="S177" s="181"/>
      <c r="T177" s="181"/>
      <c r="U177" s="182"/>
      <c r="V177" s="182" t="s">
        <v>35</v>
      </c>
      <c r="W177" s="183">
        <v>100</v>
      </c>
      <c r="X177" s="182" t="s">
        <v>51</v>
      </c>
      <c r="Y177" s="184"/>
      <c r="Z177" s="184"/>
      <c r="AA177" s="184"/>
      <c r="AB177" s="184"/>
      <c r="AC177" s="184"/>
      <c r="AD177" s="184"/>
      <c r="AE177" s="184"/>
      <c r="AF177" s="184"/>
      <c r="AG177" s="184"/>
      <c r="AH177" s="184"/>
      <c r="AI177" s="184"/>
      <c r="AJ177" s="184"/>
      <c r="AK177" s="184"/>
      <c r="AL177" s="184"/>
      <c r="AM177" s="184"/>
      <c r="AN177" s="184"/>
      <c r="AO177" s="184"/>
      <c r="AP177" s="184"/>
      <c r="AQ177" s="184">
        <v>2050</v>
      </c>
      <c r="AR177" s="184">
        <v>2050</v>
      </c>
      <c r="AS177" s="184">
        <v>2050</v>
      </c>
      <c r="AT177" s="184">
        <v>2050</v>
      </c>
      <c r="AU177" s="184">
        <v>2050</v>
      </c>
      <c r="AV177" s="184">
        <v>2050</v>
      </c>
      <c r="AW177" s="184">
        <v>2050</v>
      </c>
      <c r="AX177" s="184">
        <v>2050</v>
      </c>
      <c r="AY177" s="184">
        <v>2050</v>
      </c>
      <c r="AZ177" s="184">
        <v>1750</v>
      </c>
      <c r="BA177" s="184">
        <v>1750</v>
      </c>
      <c r="BB177" s="184"/>
      <c r="BC177" s="184"/>
      <c r="BD177" s="184"/>
      <c r="BE177" s="184"/>
      <c r="BF177" s="184"/>
      <c r="BG177" s="184"/>
      <c r="BH177" s="184"/>
      <c r="BI177" s="184"/>
      <c r="BJ177" s="184"/>
      <c r="BK177" s="184"/>
      <c r="BL177" s="184"/>
      <c r="BM177" s="184"/>
      <c r="BN177" s="184"/>
      <c r="BO177" s="184"/>
      <c r="BP177" s="184"/>
      <c r="BQ177" s="184"/>
      <c r="BR177" s="184"/>
      <c r="BS177" s="184"/>
      <c r="BT177" s="184"/>
      <c r="BU177" s="146" cm="1">
        <f t="array" ref="BU177">LOOKUP(2,1/(Y177:BT177&lt;&gt;""),Y177:BH177)</f>
        <v>1750</v>
      </c>
      <c r="BV177" s="145" cm="1">
        <f t="array" aca="1" ref="BV177" ca="1">_xlfn.LET(
    _xlpm.last_col_idx, LOOKUP(2, 1/(Y177:BT177&lt;&gt;""), COLUMN(Y177:BT177) - COLUMN(Y177) + 1),
    _xlpm.header_val, INDEX($Y$3:$BT$3, 1, _xlpm.last_col_idx),
    _xlpm.header_date, IF(ISNUMBER(_xlpm.header_val), _xlpm.header_val, DATEVALUE(_xlpm.header_val)),
    IF(_xlpm.header_date &gt; TODAY(), TODAY(), _xlpm.header_date)
)</f>
        <v>45778</v>
      </c>
      <c r="BW177" s="209" t="e" cm="1">
        <f t="array" ref="BW177">(LOOKUP(2,1/(BH177:BT177&lt;&gt;""),BH177:BT177))/(INDEX(BH177:BT177,MATCH(TRUE,INDEX((BH177:BT177&lt;&gt;0),0),0)))-1</f>
        <v>#N/A</v>
      </c>
      <c r="BX177" s="210">
        <f t="shared" si="32"/>
        <v>1.75</v>
      </c>
      <c r="BY177" s="210">
        <f t="shared" si="33"/>
        <v>10.325000000000001</v>
      </c>
      <c r="BZ177" s="210">
        <f ca="1">IF(L177="BR",'Impostos e Frete'!$F$6,IF(L177="EU",'Impostos e Frete'!$I$3,IF(L177="CN",'Impostos e Frete'!$I$4,IF(L177="JP",'Impostos e Frete'!$I$5,IF(L177="RU",'Impostos e Frete'!$I$7,"ERRO")))))</f>
        <v>0.1410816</v>
      </c>
      <c r="CA177" s="210">
        <f>VLOOKUP(L177,'Impostos e Frete'!$A$3:$B$7,2,0)*'Preços e Condições'!BY177</f>
        <v>1.3422500000000002</v>
      </c>
      <c r="CB177" s="147">
        <f t="shared" si="34"/>
        <v>0</v>
      </c>
      <c r="CC177" s="147">
        <f>IF(X177="BRL",'Impostos e Frete'!$B$11,'Impostos e Frete'!$B$12)</f>
        <v>9.1999999999999998E-2</v>
      </c>
      <c r="CD177" s="211">
        <f t="shared" ca="1" si="35"/>
        <v>11.900331600000001</v>
      </c>
      <c r="CE177" s="212">
        <f t="shared" ca="1" si="36"/>
        <v>0.83302321200000007</v>
      </c>
      <c r="CF177" s="213">
        <f>VLOOKUP(L177,'Impostos e Frete'!$A$3:$C$7,3,0)</f>
        <v>105</v>
      </c>
      <c r="CG177" s="213">
        <f t="shared" si="37"/>
        <v>120</v>
      </c>
      <c r="CH177" s="213">
        <f t="shared" si="38"/>
        <v>15</v>
      </c>
      <c r="CI177" s="214">
        <f t="shared" ca="1" si="39"/>
        <v>-8.8260785112385776E-2</v>
      </c>
      <c r="CJ177" s="215">
        <f t="shared" ca="1" si="40"/>
        <v>11.812070814887615</v>
      </c>
      <c r="CK177" s="216">
        <f t="shared" ca="1" si="41"/>
        <v>0.82684495704213301</v>
      </c>
    </row>
    <row r="178" spans="1:89">
      <c r="A178" s="176">
        <v>17036</v>
      </c>
      <c r="B178" s="177">
        <v>104</v>
      </c>
      <c r="C178" s="178">
        <v>70</v>
      </c>
      <c r="D178" s="178">
        <v>2175</v>
      </c>
      <c r="E178" s="178" t="s">
        <v>50</v>
      </c>
      <c r="F178" s="179" t="s">
        <v>47</v>
      </c>
      <c r="G178" s="185" t="s">
        <v>93</v>
      </c>
      <c r="H178" s="178" t="s">
        <v>43</v>
      </c>
      <c r="I178" s="178">
        <v>6412</v>
      </c>
      <c r="J178" s="178"/>
      <c r="K178" s="178"/>
      <c r="L178" s="178" t="s">
        <v>59</v>
      </c>
      <c r="M178" s="178">
        <v>120</v>
      </c>
      <c r="N178" s="178">
        <v>300</v>
      </c>
      <c r="O178" s="178"/>
      <c r="P178" s="178"/>
      <c r="Q178" s="178"/>
      <c r="R178" s="178" t="s">
        <v>19</v>
      </c>
      <c r="S178" s="181"/>
      <c r="T178" s="181"/>
      <c r="U178" s="182"/>
      <c r="V178" s="182" t="s">
        <v>35</v>
      </c>
      <c r="W178" s="183">
        <v>50</v>
      </c>
      <c r="X178" s="182" t="s">
        <v>51</v>
      </c>
      <c r="Y178" s="184">
        <v>3010</v>
      </c>
      <c r="Z178" s="184">
        <v>3010</v>
      </c>
      <c r="AA178" s="184">
        <v>3010</v>
      </c>
      <c r="AB178" s="184">
        <v>3010</v>
      </c>
      <c r="AC178" s="184">
        <v>3010</v>
      </c>
      <c r="AD178" s="184">
        <v>3010</v>
      </c>
      <c r="AE178" s="184">
        <v>2350</v>
      </c>
      <c r="AF178" s="184">
        <v>2350</v>
      </c>
      <c r="AG178" s="184">
        <v>2350</v>
      </c>
      <c r="AH178" s="184">
        <v>2200</v>
      </c>
      <c r="AI178" s="184">
        <v>2200</v>
      </c>
      <c r="AJ178" s="184">
        <v>2200</v>
      </c>
      <c r="AK178" s="184">
        <v>2260</v>
      </c>
      <c r="AL178" s="184">
        <v>2260</v>
      </c>
      <c r="AM178" s="184">
        <v>2260</v>
      </c>
      <c r="AN178" s="184">
        <v>2390</v>
      </c>
      <c r="AO178" s="184">
        <v>2390</v>
      </c>
      <c r="AP178" s="184">
        <v>2390</v>
      </c>
      <c r="AQ178" s="184">
        <v>2540</v>
      </c>
      <c r="AR178" s="184">
        <v>2540</v>
      </c>
      <c r="AS178" s="184">
        <v>2540</v>
      </c>
      <c r="AT178" s="184">
        <v>2540</v>
      </c>
      <c r="AU178" s="184">
        <v>2540</v>
      </c>
      <c r="AV178" s="184">
        <v>2540</v>
      </c>
      <c r="AW178" s="184">
        <v>2460</v>
      </c>
      <c r="AX178" s="184">
        <v>2460</v>
      </c>
      <c r="AY178" s="184">
        <v>2460</v>
      </c>
      <c r="AZ178" s="184">
        <v>2220</v>
      </c>
      <c r="BA178" s="184">
        <v>2220</v>
      </c>
      <c r="BB178" s="184">
        <v>2350</v>
      </c>
      <c r="BC178" s="184">
        <v>2350</v>
      </c>
      <c r="BD178" s="184">
        <v>2350</v>
      </c>
      <c r="BE178" s="184">
        <v>2350</v>
      </c>
      <c r="BF178" s="184">
        <v>2250</v>
      </c>
      <c r="BG178" s="184">
        <v>2250</v>
      </c>
      <c r="BH178" s="184">
        <v>2250</v>
      </c>
      <c r="BI178" s="184">
        <v>2280</v>
      </c>
      <c r="BJ178" s="184">
        <v>2280</v>
      </c>
      <c r="BK178" s="184">
        <v>2280</v>
      </c>
      <c r="BL178" s="184">
        <v>2380</v>
      </c>
      <c r="BM178" s="184">
        <v>2380</v>
      </c>
      <c r="BN178" s="184">
        <v>2380</v>
      </c>
      <c r="BO178" s="184">
        <v>2460</v>
      </c>
      <c r="BP178" s="184">
        <v>2460</v>
      </c>
      <c r="BQ178" s="184">
        <v>2460</v>
      </c>
      <c r="BR178" s="184"/>
      <c r="BS178" s="184"/>
      <c r="BT178" s="184"/>
      <c r="BU178" s="146" cm="1">
        <f t="array" ref="BU178">LOOKUP(2,1/(Y178:BT178&lt;&gt;""),Y178:BH178)</f>
        <v>2460</v>
      </c>
      <c r="BV178" s="145" cm="1">
        <f t="array" aca="1" ref="BV178" ca="1">_xlfn.LET(
    _xlpm.last_col_idx, LOOKUP(2, 1/(Y178:BT178&lt;&gt;""), COLUMN(Y178:BT178) - COLUMN(Y178) + 1),
    _xlpm.header_val, INDEX($Y$3:$BT$3, 1, _xlpm.last_col_idx),
    _xlpm.header_date, IF(ISNUMBER(_xlpm.header_val), _xlpm.header_val, DATEVALUE(_xlpm.header_val)),
    IF(_xlpm.header_date &gt; TODAY(), TODAY(), _xlpm.header_date)
)</f>
        <v>46212</v>
      </c>
      <c r="BW178" s="209" cm="1">
        <f t="array" ref="BW178">(LOOKUP(2,1/(BH178:BT178&lt;&gt;""),BH178:BT178))/(INDEX(BH178:BT178,MATCH(TRUE,INDEX((BH178:BT178&lt;&gt;0),0),0)))-1</f>
        <v>9.3333333333333268E-2</v>
      </c>
      <c r="BX178" s="210">
        <f t="shared" si="32"/>
        <v>2.46</v>
      </c>
      <c r="BY178" s="210">
        <f t="shared" si="33"/>
        <v>14.514000000000001</v>
      </c>
      <c r="BZ178" s="210">
        <f ca="1">IF(L178="BR",'Impostos e Frete'!$F$6,IF(L178="EU",'Impostos e Frete'!$I$3,IF(L178="CN",'Impostos e Frete'!$I$4,IF(L178="JP",'Impostos e Frete'!$I$5,IF(L178="RU",'Impostos e Frete'!$I$7,"ERRO")))))</f>
        <v>0.1410816</v>
      </c>
      <c r="CA178" s="210">
        <f>VLOOKUP(L178,'Impostos e Frete'!$A$3:$B$7,2,0)*'Preços e Condições'!BY178</f>
        <v>1.8868200000000002</v>
      </c>
      <c r="CB178" s="147">
        <f t="shared" si="34"/>
        <v>0</v>
      </c>
      <c r="CC178" s="147">
        <f>IF(X178="BRL",'Impostos e Frete'!$B$11,'Impostos e Frete'!$B$12)</f>
        <v>9.1999999999999998E-2</v>
      </c>
      <c r="CD178" s="211">
        <f t="shared" ca="1" si="35"/>
        <v>16.633901600000002</v>
      </c>
      <c r="CE178" s="212">
        <f t="shared" ca="1" si="36"/>
        <v>1.164373112</v>
      </c>
      <c r="CF178" s="213">
        <f>VLOOKUP(L178,'Impostos e Frete'!$A$3:$C$7,3,0)</f>
        <v>105</v>
      </c>
      <c r="CG178" s="213">
        <f t="shared" si="37"/>
        <v>120</v>
      </c>
      <c r="CH178" s="213">
        <f t="shared" si="38"/>
        <v>15</v>
      </c>
      <c r="CI178" s="214">
        <f t="shared" ca="1" si="39"/>
        <v>-0.12336809292760975</v>
      </c>
      <c r="CJ178" s="215">
        <f t="shared" ca="1" si="40"/>
        <v>16.510533507072392</v>
      </c>
      <c r="CK178" s="216">
        <f t="shared" ca="1" si="41"/>
        <v>1.1557373454950675</v>
      </c>
    </row>
    <row r="179" spans="1:89">
      <c r="A179" s="176">
        <v>17036</v>
      </c>
      <c r="B179" s="177">
        <v>104</v>
      </c>
      <c r="C179" s="178">
        <v>70</v>
      </c>
      <c r="D179" s="178">
        <v>2175</v>
      </c>
      <c r="E179" s="178" t="s">
        <v>50</v>
      </c>
      <c r="F179" s="179" t="s">
        <v>47</v>
      </c>
      <c r="G179" s="185" t="s">
        <v>93</v>
      </c>
      <c r="H179" s="178" t="s">
        <v>43</v>
      </c>
      <c r="I179" s="178">
        <v>6412</v>
      </c>
      <c r="J179" s="178"/>
      <c r="K179" s="178"/>
      <c r="L179" s="178" t="s">
        <v>59</v>
      </c>
      <c r="M179" s="178">
        <v>120</v>
      </c>
      <c r="N179" s="178">
        <v>300</v>
      </c>
      <c r="O179" s="178"/>
      <c r="P179" s="178"/>
      <c r="Q179" s="178"/>
      <c r="R179" s="178" t="s">
        <v>19</v>
      </c>
      <c r="S179" s="181"/>
      <c r="T179" s="181"/>
      <c r="U179" s="182"/>
      <c r="V179" s="182" t="s">
        <v>35</v>
      </c>
      <c r="W179" s="183">
        <v>30</v>
      </c>
      <c r="X179" s="182" t="s">
        <v>51</v>
      </c>
      <c r="Y179" s="184">
        <v>3060</v>
      </c>
      <c r="Z179" s="184">
        <v>3060</v>
      </c>
      <c r="AA179" s="184">
        <v>3060</v>
      </c>
      <c r="AB179" s="184">
        <v>3060</v>
      </c>
      <c r="AC179" s="184">
        <v>3060</v>
      </c>
      <c r="AD179" s="184">
        <v>3060</v>
      </c>
      <c r="AE179" s="184">
        <v>2400</v>
      </c>
      <c r="AF179" s="184">
        <v>2400</v>
      </c>
      <c r="AG179" s="184">
        <v>2400</v>
      </c>
      <c r="AH179" s="184">
        <v>2250</v>
      </c>
      <c r="AI179" s="184">
        <v>2250</v>
      </c>
      <c r="AJ179" s="184">
        <v>2250</v>
      </c>
      <c r="AK179" s="146">
        <f>AK178+50</f>
        <v>2310</v>
      </c>
      <c r="AL179" s="146">
        <f>AL178+50</f>
        <v>2310</v>
      </c>
      <c r="AM179" s="146">
        <f>AM178+50</f>
        <v>2310</v>
      </c>
      <c r="AN179" s="184">
        <v>2440</v>
      </c>
      <c r="AO179" s="184">
        <v>2440</v>
      </c>
      <c r="AP179" s="184">
        <v>2440</v>
      </c>
      <c r="AQ179" s="184">
        <v>2590</v>
      </c>
      <c r="AR179" s="184">
        <v>2590</v>
      </c>
      <c r="AS179" s="184">
        <v>2590</v>
      </c>
      <c r="AT179" s="184">
        <v>2590</v>
      </c>
      <c r="AU179" s="184">
        <v>2590</v>
      </c>
      <c r="AV179" s="184">
        <v>2590</v>
      </c>
      <c r="AW179" s="184">
        <v>2510</v>
      </c>
      <c r="AX179" s="184">
        <v>2510</v>
      </c>
      <c r="AY179" s="184">
        <v>2510</v>
      </c>
      <c r="AZ179" s="184">
        <v>2270</v>
      </c>
      <c r="BA179" s="184">
        <v>2270</v>
      </c>
      <c r="BB179" s="184">
        <v>2400</v>
      </c>
      <c r="BC179" s="184">
        <v>2400</v>
      </c>
      <c r="BD179" s="184">
        <v>2400</v>
      </c>
      <c r="BE179" s="184">
        <v>2400</v>
      </c>
      <c r="BF179" s="184">
        <v>2300</v>
      </c>
      <c r="BG179" s="184">
        <v>2300</v>
      </c>
      <c r="BH179" s="184">
        <v>2300</v>
      </c>
      <c r="BI179" s="184">
        <v>2330</v>
      </c>
      <c r="BJ179" s="184">
        <v>2330</v>
      </c>
      <c r="BK179" s="184">
        <v>2330</v>
      </c>
      <c r="BL179" s="184">
        <v>2430</v>
      </c>
      <c r="BM179" s="184">
        <v>2430</v>
      </c>
      <c r="BN179" s="184">
        <v>2430</v>
      </c>
      <c r="BO179" s="184">
        <v>2510</v>
      </c>
      <c r="BP179" s="184">
        <v>2510</v>
      </c>
      <c r="BQ179" s="184">
        <v>2510</v>
      </c>
      <c r="BR179" s="184"/>
      <c r="BS179" s="184"/>
      <c r="BT179" s="184"/>
      <c r="BU179" s="146" cm="1">
        <f t="array" ref="BU179">LOOKUP(2,1/(Y179:BT179&lt;&gt;""),Y179:BH179)</f>
        <v>2510</v>
      </c>
      <c r="BV179" s="145" cm="1">
        <f t="array" aca="1" ref="BV179" ca="1">_xlfn.LET(
    _xlpm.last_col_idx, LOOKUP(2, 1/(Y179:BT179&lt;&gt;""), COLUMN(Y179:BT179) - COLUMN(Y179) + 1),
    _xlpm.header_val, INDEX($Y$3:$BT$3, 1, _xlpm.last_col_idx),
    _xlpm.header_date, IF(ISNUMBER(_xlpm.header_val), _xlpm.header_val, DATEVALUE(_xlpm.header_val)),
    IF(_xlpm.header_date &gt; TODAY(), TODAY(), _xlpm.header_date)
)</f>
        <v>46212</v>
      </c>
      <c r="BW179" s="209" cm="1">
        <f t="array" ref="BW179">(LOOKUP(2,1/(BH179:BT179&lt;&gt;""),BH179:BT179))/(INDEX(BH179:BT179,MATCH(TRUE,INDEX((BH179:BT179&lt;&gt;0),0),0)))-1</f>
        <v>9.1304347826086873E-2</v>
      </c>
      <c r="BX179" s="210">
        <f t="shared" si="32"/>
        <v>2.5099999999999998</v>
      </c>
      <c r="BY179" s="210">
        <f t="shared" si="33"/>
        <v>14.808999999999999</v>
      </c>
      <c r="BZ179" s="210">
        <f ca="1">IF(L179="BR",'Impostos e Frete'!$F$6,IF(L179="EU",'Impostos e Frete'!$I$3,IF(L179="CN",'Impostos e Frete'!$I$4,IF(L179="JP",'Impostos e Frete'!$I$5,IF(L179="RU",'Impostos e Frete'!$I$7,"ERRO")))))</f>
        <v>0.1410816</v>
      </c>
      <c r="CA179" s="210">
        <f>VLOOKUP(L179,'Impostos e Frete'!$A$3:$B$7,2,0)*'Preços e Condições'!BY179</f>
        <v>1.92517</v>
      </c>
      <c r="CB179" s="147">
        <f t="shared" si="34"/>
        <v>0</v>
      </c>
      <c r="CC179" s="147">
        <f>IF(X179="BRL",'Impostos e Frete'!$B$11,'Impostos e Frete'!$B$12)</f>
        <v>9.1999999999999998E-2</v>
      </c>
      <c r="CD179" s="211">
        <f t="shared" ca="1" si="35"/>
        <v>16.967251599999997</v>
      </c>
      <c r="CE179" s="212">
        <f t="shared" ca="1" si="36"/>
        <v>1.1877076119999999</v>
      </c>
      <c r="CF179" s="213">
        <f>VLOOKUP(L179,'Impostos e Frete'!$A$3:$C$7,3,0)</f>
        <v>105</v>
      </c>
      <c r="CG179" s="213">
        <f t="shared" si="37"/>
        <v>120</v>
      </c>
      <c r="CH179" s="213">
        <f t="shared" si="38"/>
        <v>15</v>
      </c>
      <c r="CI179" s="214">
        <f t="shared" ca="1" si="39"/>
        <v>-0.12584043854840132</v>
      </c>
      <c r="CJ179" s="215">
        <f t="shared" ca="1" si="40"/>
        <v>16.841411161451596</v>
      </c>
      <c r="CK179" s="216">
        <f t="shared" ca="1" si="41"/>
        <v>1.1788987813016116</v>
      </c>
    </row>
    <row r="180" spans="1:89">
      <c r="A180" s="176">
        <v>17036</v>
      </c>
      <c r="B180" s="177">
        <v>104</v>
      </c>
      <c r="C180" s="178">
        <v>70</v>
      </c>
      <c r="D180" s="178">
        <v>2175</v>
      </c>
      <c r="E180" s="178" t="s">
        <v>50</v>
      </c>
      <c r="F180" s="179" t="s">
        <v>47</v>
      </c>
      <c r="G180" s="185" t="s">
        <v>93</v>
      </c>
      <c r="H180" s="178" t="s">
        <v>43</v>
      </c>
      <c r="I180" s="178">
        <v>6412</v>
      </c>
      <c r="J180" s="178"/>
      <c r="K180" s="178"/>
      <c r="L180" s="178" t="s">
        <v>59</v>
      </c>
      <c r="M180" s="178">
        <v>120</v>
      </c>
      <c r="N180" s="178">
        <v>300</v>
      </c>
      <c r="O180" s="178"/>
      <c r="P180" s="178"/>
      <c r="Q180" s="178"/>
      <c r="R180" s="178" t="s">
        <v>19</v>
      </c>
      <c r="S180" s="181"/>
      <c r="T180" s="181"/>
      <c r="U180" s="182"/>
      <c r="V180" s="182" t="s">
        <v>35</v>
      </c>
      <c r="W180" s="183">
        <v>20</v>
      </c>
      <c r="X180" s="182" t="s">
        <v>51</v>
      </c>
      <c r="Y180" s="184">
        <v>3110</v>
      </c>
      <c r="Z180" s="184">
        <v>3110</v>
      </c>
      <c r="AA180" s="184">
        <v>3110</v>
      </c>
      <c r="AB180" s="184">
        <v>3110</v>
      </c>
      <c r="AC180" s="184">
        <v>3110</v>
      </c>
      <c r="AD180" s="184">
        <v>3110</v>
      </c>
      <c r="AE180" s="184">
        <v>2450</v>
      </c>
      <c r="AF180" s="184">
        <v>2450</v>
      </c>
      <c r="AG180" s="184">
        <v>2450</v>
      </c>
      <c r="AH180" s="184">
        <v>2300</v>
      </c>
      <c r="AI180" s="184">
        <v>2300</v>
      </c>
      <c r="AJ180" s="184">
        <v>2300</v>
      </c>
      <c r="AK180" s="146">
        <f>AK178+100</f>
        <v>2360</v>
      </c>
      <c r="AL180" s="146">
        <f>AL178+100</f>
        <v>2360</v>
      </c>
      <c r="AM180" s="146">
        <f>AM178+100</f>
        <v>2360</v>
      </c>
      <c r="AN180" s="184">
        <v>2490</v>
      </c>
      <c r="AO180" s="184">
        <v>2490</v>
      </c>
      <c r="AP180" s="184">
        <v>2490</v>
      </c>
      <c r="AQ180" s="184">
        <v>2640</v>
      </c>
      <c r="AR180" s="184">
        <v>2640</v>
      </c>
      <c r="AS180" s="184">
        <v>2640</v>
      </c>
      <c r="AT180" s="184">
        <v>2640</v>
      </c>
      <c r="AU180" s="184">
        <v>2640</v>
      </c>
      <c r="AV180" s="184">
        <v>2640</v>
      </c>
      <c r="AW180" s="184">
        <v>2560</v>
      </c>
      <c r="AX180" s="184">
        <v>2560</v>
      </c>
      <c r="AY180" s="184">
        <v>2560</v>
      </c>
      <c r="AZ180" s="184">
        <v>2320</v>
      </c>
      <c r="BA180" s="184">
        <v>2320</v>
      </c>
      <c r="BB180" s="184">
        <v>2450</v>
      </c>
      <c r="BC180" s="184">
        <v>2450</v>
      </c>
      <c r="BD180" s="184">
        <v>2450</v>
      </c>
      <c r="BE180" s="184">
        <v>2450</v>
      </c>
      <c r="BF180" s="184">
        <v>2350</v>
      </c>
      <c r="BG180" s="184">
        <v>2350</v>
      </c>
      <c r="BH180" s="184">
        <v>2350</v>
      </c>
      <c r="BI180" s="184">
        <v>2380</v>
      </c>
      <c r="BJ180" s="184">
        <v>2380</v>
      </c>
      <c r="BK180" s="184">
        <v>2380</v>
      </c>
      <c r="BL180" s="184">
        <v>2480</v>
      </c>
      <c r="BM180" s="184">
        <v>2480</v>
      </c>
      <c r="BN180" s="184">
        <v>2480</v>
      </c>
      <c r="BO180" s="184">
        <v>2560</v>
      </c>
      <c r="BP180" s="184">
        <v>2560</v>
      </c>
      <c r="BQ180" s="184">
        <v>2560</v>
      </c>
      <c r="BR180" s="184"/>
      <c r="BS180" s="184"/>
      <c r="BT180" s="184"/>
      <c r="BU180" s="146" cm="1">
        <f t="array" ref="BU180">LOOKUP(2,1/(Y180:BT180&lt;&gt;""),Y180:BH180)</f>
        <v>2560</v>
      </c>
      <c r="BV180" s="145" cm="1">
        <f t="array" aca="1" ref="BV180" ca="1">_xlfn.LET(
    _xlpm.last_col_idx, LOOKUP(2, 1/(Y180:BT180&lt;&gt;""), COLUMN(Y180:BT180) - COLUMN(Y180) + 1),
    _xlpm.header_val, INDEX($Y$3:$BT$3, 1, _xlpm.last_col_idx),
    _xlpm.header_date, IF(ISNUMBER(_xlpm.header_val), _xlpm.header_val, DATEVALUE(_xlpm.header_val)),
    IF(_xlpm.header_date &gt; TODAY(), TODAY(), _xlpm.header_date)
)</f>
        <v>46212</v>
      </c>
      <c r="BW180" s="209" cm="1">
        <f t="array" ref="BW180">(LOOKUP(2,1/(BH180:BT180&lt;&gt;""),BH180:BT180))/(INDEX(BH180:BT180,MATCH(TRUE,INDEX((BH180:BT180&lt;&gt;0),0),0)))-1</f>
        <v>8.9361702127659592E-2</v>
      </c>
      <c r="BX180" s="210">
        <f t="shared" si="32"/>
        <v>2.56</v>
      </c>
      <c r="BY180" s="210">
        <f t="shared" si="33"/>
        <v>15.104000000000001</v>
      </c>
      <c r="BZ180" s="210">
        <f ca="1">IF(L180="BR",'Impostos e Frete'!$F$6,IF(L180="EU",'Impostos e Frete'!$I$3,IF(L180="CN",'Impostos e Frete'!$I$4,IF(L180="JP",'Impostos e Frete'!$I$5,IF(L180="RU",'Impostos e Frete'!$I$7,"ERRO")))))</f>
        <v>0.1410816</v>
      </c>
      <c r="CA180" s="210">
        <f>VLOOKUP(L180,'Impostos e Frete'!$A$3:$B$7,2,0)*'Preços e Condições'!BY180</f>
        <v>1.9635200000000002</v>
      </c>
      <c r="CB180" s="147">
        <f t="shared" si="34"/>
        <v>0</v>
      </c>
      <c r="CC180" s="147">
        <f>IF(X180="BRL",'Impostos e Frete'!$B$11,'Impostos e Frete'!$B$12)</f>
        <v>9.1999999999999998E-2</v>
      </c>
      <c r="CD180" s="211">
        <f t="shared" ca="1" si="35"/>
        <v>17.3006016</v>
      </c>
      <c r="CE180" s="212">
        <f t="shared" ca="1" si="36"/>
        <v>1.2110421119999999</v>
      </c>
      <c r="CF180" s="213">
        <f>VLOOKUP(L180,'Impostos e Frete'!$A$3:$C$7,3,0)</f>
        <v>105</v>
      </c>
      <c r="CG180" s="213">
        <f t="shared" si="37"/>
        <v>120</v>
      </c>
      <c r="CH180" s="213">
        <f t="shared" si="38"/>
        <v>15</v>
      </c>
      <c r="CI180" s="214">
        <f t="shared" ca="1" si="39"/>
        <v>-0.12831278416918934</v>
      </c>
      <c r="CJ180" s="215">
        <f t="shared" ca="1" si="40"/>
        <v>17.172288815830811</v>
      </c>
      <c r="CK180" s="216">
        <f t="shared" ca="1" si="41"/>
        <v>1.2020602171081567</v>
      </c>
    </row>
    <row r="181" spans="1:89">
      <c r="A181" s="176">
        <v>17036</v>
      </c>
      <c r="B181" s="177">
        <v>104</v>
      </c>
      <c r="C181" s="178">
        <v>70</v>
      </c>
      <c r="D181" s="178">
        <v>2175</v>
      </c>
      <c r="E181" s="178" t="s">
        <v>50</v>
      </c>
      <c r="F181" s="179" t="s">
        <v>47</v>
      </c>
      <c r="G181" s="185" t="s">
        <v>93</v>
      </c>
      <c r="H181" s="178" t="s">
        <v>43</v>
      </c>
      <c r="I181" s="178">
        <v>6412</v>
      </c>
      <c r="J181" s="178"/>
      <c r="K181" s="178"/>
      <c r="L181" s="178" t="s">
        <v>59</v>
      </c>
      <c r="M181" s="178">
        <v>120</v>
      </c>
      <c r="N181" s="178">
        <v>300</v>
      </c>
      <c r="O181" s="178"/>
      <c r="P181" s="178"/>
      <c r="Q181" s="178"/>
      <c r="R181" s="178" t="s">
        <v>19</v>
      </c>
      <c r="S181" s="181"/>
      <c r="T181" s="181"/>
      <c r="U181" s="182"/>
      <c r="V181" s="182" t="s">
        <v>35</v>
      </c>
      <c r="W181" s="183">
        <v>10</v>
      </c>
      <c r="X181" s="182" t="s">
        <v>51</v>
      </c>
      <c r="Y181" s="184">
        <v>3190</v>
      </c>
      <c r="Z181" s="184">
        <v>3190</v>
      </c>
      <c r="AA181" s="184">
        <v>3190</v>
      </c>
      <c r="AB181" s="184">
        <v>3190</v>
      </c>
      <c r="AC181" s="184">
        <v>3190</v>
      </c>
      <c r="AD181" s="184">
        <v>3190</v>
      </c>
      <c r="AE181" s="184">
        <v>2530</v>
      </c>
      <c r="AF181" s="184">
        <v>2530</v>
      </c>
      <c r="AG181" s="184">
        <v>2530</v>
      </c>
      <c r="AH181" s="184">
        <v>2380</v>
      </c>
      <c r="AI181" s="184">
        <v>2380</v>
      </c>
      <c r="AJ181" s="184">
        <v>2380</v>
      </c>
      <c r="AK181" s="146">
        <f>AK178+180</f>
        <v>2440</v>
      </c>
      <c r="AL181" s="146">
        <f>AL178+180</f>
        <v>2440</v>
      </c>
      <c r="AM181" s="146">
        <f>AM178+180</f>
        <v>2440</v>
      </c>
      <c r="AN181" s="184">
        <v>2570</v>
      </c>
      <c r="AO181" s="184">
        <v>2570</v>
      </c>
      <c r="AP181" s="184">
        <v>2570</v>
      </c>
      <c r="AQ181" s="184">
        <v>2720</v>
      </c>
      <c r="AR181" s="184">
        <v>2720</v>
      </c>
      <c r="AS181" s="184">
        <v>2720</v>
      </c>
      <c r="AT181" s="184">
        <v>2720</v>
      </c>
      <c r="AU181" s="184">
        <v>2720</v>
      </c>
      <c r="AV181" s="184">
        <v>2720</v>
      </c>
      <c r="AW181" s="184">
        <v>2640</v>
      </c>
      <c r="AX181" s="184">
        <v>2640</v>
      </c>
      <c r="AY181" s="184">
        <v>2640</v>
      </c>
      <c r="AZ181" s="184">
        <v>2400</v>
      </c>
      <c r="BA181" s="184">
        <v>2400</v>
      </c>
      <c r="BB181" s="184">
        <v>2530</v>
      </c>
      <c r="BC181" s="184">
        <v>2530</v>
      </c>
      <c r="BD181" s="184">
        <v>2530</v>
      </c>
      <c r="BE181" s="184">
        <v>2530</v>
      </c>
      <c r="BF181" s="184">
        <v>2430</v>
      </c>
      <c r="BG181" s="184">
        <v>2430</v>
      </c>
      <c r="BH181" s="184">
        <v>2430</v>
      </c>
      <c r="BI181" s="184">
        <v>2460</v>
      </c>
      <c r="BJ181" s="184">
        <v>2460</v>
      </c>
      <c r="BK181" s="184">
        <v>2460</v>
      </c>
      <c r="BL181" s="184">
        <v>2560</v>
      </c>
      <c r="BM181" s="184">
        <v>2560</v>
      </c>
      <c r="BN181" s="184">
        <v>2560</v>
      </c>
      <c r="BO181" s="184">
        <v>2640</v>
      </c>
      <c r="BP181" s="184">
        <v>2640</v>
      </c>
      <c r="BQ181" s="184">
        <v>2640</v>
      </c>
      <c r="BR181" s="184"/>
      <c r="BS181" s="184"/>
      <c r="BT181" s="184"/>
      <c r="BU181" s="146" cm="1">
        <f t="array" ref="BU181">LOOKUP(2,1/(Y181:BT181&lt;&gt;""),Y181:BH181)</f>
        <v>2640</v>
      </c>
      <c r="BV181" s="145" cm="1">
        <f t="array" aca="1" ref="BV181" ca="1">_xlfn.LET(
    _xlpm.last_col_idx, LOOKUP(2, 1/(Y181:BT181&lt;&gt;""), COLUMN(Y181:BT181) - COLUMN(Y181) + 1),
    _xlpm.header_val, INDEX($Y$3:$BT$3, 1, _xlpm.last_col_idx),
    _xlpm.header_date, IF(ISNUMBER(_xlpm.header_val), _xlpm.header_val, DATEVALUE(_xlpm.header_val)),
    IF(_xlpm.header_date &gt; TODAY(), TODAY(), _xlpm.header_date)
)</f>
        <v>46212</v>
      </c>
      <c r="BW181" s="209" cm="1">
        <f t="array" ref="BW181">(LOOKUP(2,1/(BH181:BT181&lt;&gt;""),BH181:BT181))/(INDEX(BH181:BT181,MATCH(TRUE,INDEX((BH181:BT181&lt;&gt;0),0),0)))-1</f>
        <v>8.6419753086419693E-2</v>
      </c>
      <c r="BX181" s="210">
        <f t="shared" si="32"/>
        <v>2.64</v>
      </c>
      <c r="BY181" s="210">
        <f t="shared" si="33"/>
        <v>15.576000000000002</v>
      </c>
      <c r="BZ181" s="210">
        <f ca="1">IF(L181="BR",'Impostos e Frete'!$F$6,IF(L181="EU",'Impostos e Frete'!$I$3,IF(L181="CN",'Impostos e Frete'!$I$4,IF(L181="JP",'Impostos e Frete'!$I$5,IF(L181="RU",'Impostos e Frete'!$I$7,"ERRO")))))</f>
        <v>0.1410816</v>
      </c>
      <c r="CA181" s="210">
        <f>VLOOKUP(L181,'Impostos e Frete'!$A$3:$B$7,2,0)*'Preços e Condições'!BY181</f>
        <v>2.0248800000000005</v>
      </c>
      <c r="CB181" s="147">
        <f t="shared" si="34"/>
        <v>0</v>
      </c>
      <c r="CC181" s="147">
        <f>IF(X181="BRL",'Impostos e Frete'!$B$11,'Impostos e Frete'!$B$12)</f>
        <v>9.1999999999999998E-2</v>
      </c>
      <c r="CD181" s="211">
        <f t="shared" ca="1" si="35"/>
        <v>17.833961600000002</v>
      </c>
      <c r="CE181" s="212">
        <f t="shared" ca="1" si="36"/>
        <v>1.2483773120000001</v>
      </c>
      <c r="CF181" s="213">
        <f>VLOOKUP(L181,'Impostos e Frete'!$A$3:$C$7,3,0)</f>
        <v>105</v>
      </c>
      <c r="CG181" s="213">
        <f t="shared" si="37"/>
        <v>120</v>
      </c>
      <c r="CH181" s="213">
        <f t="shared" si="38"/>
        <v>15</v>
      </c>
      <c r="CI181" s="214">
        <f t="shared" ca="1" si="39"/>
        <v>-0.13226853716245301</v>
      </c>
      <c r="CJ181" s="215">
        <f t="shared" ca="1" si="40"/>
        <v>17.701693062837549</v>
      </c>
      <c r="CK181" s="216">
        <f t="shared" ca="1" si="41"/>
        <v>1.2391185143986283</v>
      </c>
    </row>
    <row r="182" spans="1:89">
      <c r="A182" s="176">
        <v>17039</v>
      </c>
      <c r="B182" s="177">
        <v>104</v>
      </c>
      <c r="C182" s="178">
        <v>70</v>
      </c>
      <c r="D182" s="178">
        <v>1270</v>
      </c>
      <c r="E182" s="178" t="s">
        <v>50</v>
      </c>
      <c r="F182" s="179" t="s">
        <v>47</v>
      </c>
      <c r="G182" s="185" t="s">
        <v>93</v>
      </c>
      <c r="H182" s="178" t="s">
        <v>43</v>
      </c>
      <c r="I182" s="178">
        <v>6412</v>
      </c>
      <c r="J182" s="178"/>
      <c r="K182" s="178"/>
      <c r="L182" s="178" t="s">
        <v>59</v>
      </c>
      <c r="M182" s="178">
        <v>120</v>
      </c>
      <c r="N182" s="178">
        <v>300</v>
      </c>
      <c r="O182" s="178"/>
      <c r="P182" s="178"/>
      <c r="Q182" s="178"/>
      <c r="R182" s="178" t="s">
        <v>19</v>
      </c>
      <c r="S182" s="181"/>
      <c r="T182" s="181"/>
      <c r="U182" s="182"/>
      <c r="V182" s="182" t="s">
        <v>35</v>
      </c>
      <c r="W182" s="183">
        <v>50</v>
      </c>
      <c r="X182" s="182" t="s">
        <v>51</v>
      </c>
      <c r="Y182" s="184">
        <v>3010</v>
      </c>
      <c r="Z182" s="184">
        <v>3010</v>
      </c>
      <c r="AA182" s="184">
        <v>3010</v>
      </c>
      <c r="AB182" s="184">
        <v>3010</v>
      </c>
      <c r="AC182" s="184">
        <v>3010</v>
      </c>
      <c r="AD182" s="184">
        <v>3010</v>
      </c>
      <c r="AE182" s="184">
        <v>2350</v>
      </c>
      <c r="AF182" s="184">
        <v>2350</v>
      </c>
      <c r="AG182" s="184">
        <v>2350</v>
      </c>
      <c r="AH182" s="184">
        <v>2200</v>
      </c>
      <c r="AI182" s="184">
        <v>2200</v>
      </c>
      <c r="AJ182" s="184">
        <v>2200</v>
      </c>
      <c r="AK182" s="184">
        <v>2260</v>
      </c>
      <c r="AL182" s="184">
        <v>2260</v>
      </c>
      <c r="AM182" s="184">
        <v>2260</v>
      </c>
      <c r="AN182" s="184">
        <v>2390</v>
      </c>
      <c r="AO182" s="184">
        <v>2390</v>
      </c>
      <c r="AP182" s="184">
        <v>2390</v>
      </c>
      <c r="AQ182" s="184">
        <v>2540</v>
      </c>
      <c r="AR182" s="184">
        <v>2540</v>
      </c>
      <c r="AS182" s="184">
        <v>2540</v>
      </c>
      <c r="AT182" s="184">
        <v>2540</v>
      </c>
      <c r="AU182" s="184">
        <v>2540</v>
      </c>
      <c r="AV182" s="184">
        <v>2540</v>
      </c>
      <c r="AW182" s="184">
        <v>2460</v>
      </c>
      <c r="AX182" s="184">
        <v>2460</v>
      </c>
      <c r="AY182" s="184">
        <v>2460</v>
      </c>
      <c r="AZ182" s="184">
        <v>2220</v>
      </c>
      <c r="BA182" s="184">
        <v>2220</v>
      </c>
      <c r="BB182" s="184">
        <v>2350</v>
      </c>
      <c r="BC182" s="184">
        <v>2350</v>
      </c>
      <c r="BD182" s="184">
        <v>2350</v>
      </c>
      <c r="BE182" s="184">
        <v>2350</v>
      </c>
      <c r="BF182" s="184">
        <v>2250</v>
      </c>
      <c r="BG182" s="184">
        <v>2250</v>
      </c>
      <c r="BH182" s="184">
        <v>2250</v>
      </c>
      <c r="BI182" s="184">
        <v>2280</v>
      </c>
      <c r="BJ182" s="184">
        <v>2280</v>
      </c>
      <c r="BK182" s="184">
        <v>2280</v>
      </c>
      <c r="BL182" s="184">
        <v>2380</v>
      </c>
      <c r="BM182" s="184">
        <v>2380</v>
      </c>
      <c r="BN182" s="184">
        <v>2380</v>
      </c>
      <c r="BO182" s="184">
        <v>2460</v>
      </c>
      <c r="BP182" s="184">
        <v>2460</v>
      </c>
      <c r="BQ182" s="184">
        <v>2460</v>
      </c>
      <c r="BR182" s="184"/>
      <c r="BS182" s="184"/>
      <c r="BT182" s="184"/>
      <c r="BU182" s="146" cm="1">
        <f t="array" ref="BU182">LOOKUP(2,1/(Y182:BT182&lt;&gt;""),Y182:BH182)</f>
        <v>2460</v>
      </c>
      <c r="BV182" s="145" cm="1">
        <f t="array" aca="1" ref="BV182" ca="1">_xlfn.LET(
    _xlpm.last_col_idx, LOOKUP(2, 1/(Y182:BT182&lt;&gt;""), COLUMN(Y182:BT182) - COLUMN(Y182) + 1),
    _xlpm.header_val, INDEX($Y$3:$BT$3, 1, _xlpm.last_col_idx),
    _xlpm.header_date, IF(ISNUMBER(_xlpm.header_val), _xlpm.header_val, DATEVALUE(_xlpm.header_val)),
    IF(_xlpm.header_date &gt; TODAY(), TODAY(), _xlpm.header_date)
)</f>
        <v>46212</v>
      </c>
      <c r="BW182" s="209" cm="1">
        <f t="array" ref="BW182">(LOOKUP(2,1/(BH182:BT182&lt;&gt;""),BH182:BT182))/(INDEX(BH182:BT182,MATCH(TRUE,INDEX((BH182:BT182&lt;&gt;0),0),0)))-1</f>
        <v>9.3333333333333268E-2</v>
      </c>
      <c r="BX182" s="210">
        <f t="shared" si="32"/>
        <v>2.46</v>
      </c>
      <c r="BY182" s="210">
        <f t="shared" si="33"/>
        <v>14.514000000000001</v>
      </c>
      <c r="BZ182" s="210">
        <f ca="1">IF(L182="BR",'Impostos e Frete'!$F$6,IF(L182="EU",'Impostos e Frete'!$I$3,IF(L182="CN",'Impostos e Frete'!$I$4,IF(L182="JP",'Impostos e Frete'!$I$5,IF(L182="RU",'Impostos e Frete'!$I$7,"ERRO")))))</f>
        <v>0.1410816</v>
      </c>
      <c r="CA182" s="210">
        <f>VLOOKUP(L182,'Impostos e Frete'!$A$3:$B$7,2,0)*'Preços e Condições'!BY182</f>
        <v>1.8868200000000002</v>
      </c>
      <c r="CB182" s="147">
        <f t="shared" si="34"/>
        <v>0</v>
      </c>
      <c r="CC182" s="147">
        <f>IF(X182="BRL",'Impostos e Frete'!$B$11,'Impostos e Frete'!$B$12)</f>
        <v>9.1999999999999998E-2</v>
      </c>
      <c r="CD182" s="211">
        <f t="shared" ca="1" si="35"/>
        <v>16.633901600000002</v>
      </c>
      <c r="CE182" s="212">
        <f t="shared" ca="1" si="36"/>
        <v>1.164373112</v>
      </c>
      <c r="CF182" s="213">
        <f>VLOOKUP(L182,'Impostos e Frete'!$A$3:$C$7,3,0)</f>
        <v>105</v>
      </c>
      <c r="CG182" s="213">
        <f t="shared" si="37"/>
        <v>120</v>
      </c>
      <c r="CH182" s="213">
        <f t="shared" si="38"/>
        <v>15</v>
      </c>
      <c r="CI182" s="214">
        <f t="shared" ca="1" si="39"/>
        <v>-0.12336809292760975</v>
      </c>
      <c r="CJ182" s="215">
        <f t="shared" ca="1" si="40"/>
        <v>16.510533507072392</v>
      </c>
      <c r="CK182" s="216">
        <f t="shared" ca="1" si="41"/>
        <v>1.1557373454950675</v>
      </c>
    </row>
    <row r="183" spans="1:89">
      <c r="A183" s="176">
        <v>17039</v>
      </c>
      <c r="B183" s="177">
        <v>104</v>
      </c>
      <c r="C183" s="178">
        <v>70</v>
      </c>
      <c r="D183" s="178">
        <v>1270</v>
      </c>
      <c r="E183" s="178" t="s">
        <v>50</v>
      </c>
      <c r="F183" s="179" t="s">
        <v>47</v>
      </c>
      <c r="G183" s="185" t="s">
        <v>93</v>
      </c>
      <c r="H183" s="178" t="s">
        <v>43</v>
      </c>
      <c r="I183" s="178">
        <v>6412</v>
      </c>
      <c r="J183" s="178"/>
      <c r="K183" s="178"/>
      <c r="L183" s="178" t="s">
        <v>59</v>
      </c>
      <c r="M183" s="178">
        <v>120</v>
      </c>
      <c r="N183" s="178">
        <v>300</v>
      </c>
      <c r="O183" s="178"/>
      <c r="P183" s="178"/>
      <c r="Q183" s="178"/>
      <c r="R183" s="178" t="s">
        <v>19</v>
      </c>
      <c r="S183" s="181"/>
      <c r="T183" s="181"/>
      <c r="U183" s="182"/>
      <c r="V183" s="182" t="s">
        <v>35</v>
      </c>
      <c r="W183" s="183">
        <v>30</v>
      </c>
      <c r="X183" s="182" t="s">
        <v>51</v>
      </c>
      <c r="Y183" s="184">
        <v>3060</v>
      </c>
      <c r="Z183" s="184">
        <v>3060</v>
      </c>
      <c r="AA183" s="184">
        <v>3060</v>
      </c>
      <c r="AB183" s="184">
        <v>3060</v>
      </c>
      <c r="AC183" s="184">
        <v>3060</v>
      </c>
      <c r="AD183" s="184">
        <v>3060</v>
      </c>
      <c r="AE183" s="184">
        <v>2400</v>
      </c>
      <c r="AF183" s="184">
        <v>2400</v>
      </c>
      <c r="AG183" s="184">
        <v>2400</v>
      </c>
      <c r="AH183" s="184">
        <v>2250</v>
      </c>
      <c r="AI183" s="184">
        <v>2250</v>
      </c>
      <c r="AJ183" s="184">
        <v>2250</v>
      </c>
      <c r="AK183" s="146">
        <f>AK182+50</f>
        <v>2310</v>
      </c>
      <c r="AL183" s="146">
        <f>AL182+50</f>
        <v>2310</v>
      </c>
      <c r="AM183" s="146">
        <f>AM182+50</f>
        <v>2310</v>
      </c>
      <c r="AN183" s="184">
        <v>2440</v>
      </c>
      <c r="AO183" s="184">
        <v>2440</v>
      </c>
      <c r="AP183" s="184">
        <v>2440</v>
      </c>
      <c r="AQ183" s="184">
        <v>2590</v>
      </c>
      <c r="AR183" s="184">
        <v>2590</v>
      </c>
      <c r="AS183" s="184">
        <v>2590</v>
      </c>
      <c r="AT183" s="184">
        <v>2590</v>
      </c>
      <c r="AU183" s="184">
        <v>2590</v>
      </c>
      <c r="AV183" s="184">
        <v>2590</v>
      </c>
      <c r="AW183" s="184">
        <v>2510</v>
      </c>
      <c r="AX183" s="184">
        <v>2510</v>
      </c>
      <c r="AY183" s="184">
        <v>2510</v>
      </c>
      <c r="AZ183" s="184">
        <v>2270</v>
      </c>
      <c r="BA183" s="184">
        <v>2270</v>
      </c>
      <c r="BB183" s="184">
        <v>2400</v>
      </c>
      <c r="BC183" s="184">
        <v>2400</v>
      </c>
      <c r="BD183" s="184">
        <v>2400</v>
      </c>
      <c r="BE183" s="184">
        <v>2400</v>
      </c>
      <c r="BF183" s="184">
        <v>2300</v>
      </c>
      <c r="BG183" s="184">
        <v>2300</v>
      </c>
      <c r="BH183" s="184">
        <v>2300</v>
      </c>
      <c r="BI183" s="184">
        <v>2330</v>
      </c>
      <c r="BJ183" s="184">
        <v>2330</v>
      </c>
      <c r="BK183" s="184">
        <v>2330</v>
      </c>
      <c r="BL183" s="184">
        <v>2430</v>
      </c>
      <c r="BM183" s="184">
        <v>2430</v>
      </c>
      <c r="BN183" s="184">
        <v>2430</v>
      </c>
      <c r="BO183" s="184">
        <v>2510</v>
      </c>
      <c r="BP183" s="184">
        <v>2510</v>
      </c>
      <c r="BQ183" s="184">
        <v>2510</v>
      </c>
      <c r="BR183" s="184"/>
      <c r="BS183" s="184"/>
      <c r="BT183" s="184"/>
      <c r="BU183" s="146" cm="1">
        <f t="array" ref="BU183">LOOKUP(2,1/(Y183:BT183&lt;&gt;""),Y183:BH183)</f>
        <v>2510</v>
      </c>
      <c r="BV183" s="145" cm="1">
        <f t="array" aca="1" ref="BV183" ca="1">_xlfn.LET(
    _xlpm.last_col_idx, LOOKUP(2, 1/(Y183:BT183&lt;&gt;""), COLUMN(Y183:BT183) - COLUMN(Y183) + 1),
    _xlpm.header_val, INDEX($Y$3:$BT$3, 1, _xlpm.last_col_idx),
    _xlpm.header_date, IF(ISNUMBER(_xlpm.header_val), _xlpm.header_val, DATEVALUE(_xlpm.header_val)),
    IF(_xlpm.header_date &gt; TODAY(), TODAY(), _xlpm.header_date)
)</f>
        <v>46212</v>
      </c>
      <c r="BW183" s="209" cm="1">
        <f t="array" ref="BW183">(LOOKUP(2,1/(BH183:BT183&lt;&gt;""),BH183:BT183))/(INDEX(BH183:BT183,MATCH(TRUE,INDEX((BH183:BT183&lt;&gt;0),0),0)))-1</f>
        <v>9.1304347826086873E-2</v>
      </c>
      <c r="BX183" s="210">
        <f t="shared" si="32"/>
        <v>2.5099999999999998</v>
      </c>
      <c r="BY183" s="210">
        <f t="shared" si="33"/>
        <v>14.808999999999999</v>
      </c>
      <c r="BZ183" s="210">
        <f ca="1">IF(L183="BR",'Impostos e Frete'!$F$6,IF(L183="EU",'Impostos e Frete'!$I$3,IF(L183="CN",'Impostos e Frete'!$I$4,IF(L183="JP",'Impostos e Frete'!$I$5,IF(L183="RU",'Impostos e Frete'!$I$7,"ERRO")))))</f>
        <v>0.1410816</v>
      </c>
      <c r="CA183" s="210">
        <f>VLOOKUP(L183,'Impostos e Frete'!$A$3:$B$7,2,0)*'Preços e Condições'!BY183</f>
        <v>1.92517</v>
      </c>
      <c r="CB183" s="147">
        <f t="shared" si="34"/>
        <v>0</v>
      </c>
      <c r="CC183" s="147">
        <f>IF(X183="BRL",'Impostos e Frete'!$B$11,'Impostos e Frete'!$B$12)</f>
        <v>9.1999999999999998E-2</v>
      </c>
      <c r="CD183" s="211">
        <f t="shared" ca="1" si="35"/>
        <v>16.967251599999997</v>
      </c>
      <c r="CE183" s="212">
        <f t="shared" ca="1" si="36"/>
        <v>1.1877076119999999</v>
      </c>
      <c r="CF183" s="213">
        <f>VLOOKUP(L183,'Impostos e Frete'!$A$3:$C$7,3,0)</f>
        <v>105</v>
      </c>
      <c r="CG183" s="213">
        <f t="shared" si="37"/>
        <v>120</v>
      </c>
      <c r="CH183" s="213">
        <f t="shared" si="38"/>
        <v>15</v>
      </c>
      <c r="CI183" s="214">
        <f t="shared" ca="1" si="39"/>
        <v>-0.12584043854840132</v>
      </c>
      <c r="CJ183" s="215">
        <f t="shared" ca="1" si="40"/>
        <v>16.841411161451596</v>
      </c>
      <c r="CK183" s="216">
        <f t="shared" ca="1" si="41"/>
        <v>1.1788987813016116</v>
      </c>
    </row>
    <row r="184" spans="1:89">
      <c r="A184" s="176">
        <v>17039</v>
      </c>
      <c r="B184" s="177">
        <v>104</v>
      </c>
      <c r="C184" s="178">
        <v>70</v>
      </c>
      <c r="D184" s="178">
        <v>1270</v>
      </c>
      <c r="E184" s="178" t="s">
        <v>50</v>
      </c>
      <c r="F184" s="179" t="s">
        <v>47</v>
      </c>
      <c r="G184" s="185" t="s">
        <v>93</v>
      </c>
      <c r="H184" s="178" t="s">
        <v>43</v>
      </c>
      <c r="I184" s="178">
        <v>6412</v>
      </c>
      <c r="J184" s="178"/>
      <c r="K184" s="178"/>
      <c r="L184" s="178" t="s">
        <v>59</v>
      </c>
      <c r="M184" s="178">
        <v>120</v>
      </c>
      <c r="N184" s="178">
        <v>300</v>
      </c>
      <c r="O184" s="178"/>
      <c r="P184" s="178"/>
      <c r="Q184" s="178"/>
      <c r="R184" s="178" t="s">
        <v>19</v>
      </c>
      <c r="S184" s="181"/>
      <c r="T184" s="181"/>
      <c r="U184" s="182"/>
      <c r="V184" s="182" t="s">
        <v>35</v>
      </c>
      <c r="W184" s="183">
        <v>20</v>
      </c>
      <c r="X184" s="182" t="s">
        <v>51</v>
      </c>
      <c r="Y184" s="184">
        <v>3110</v>
      </c>
      <c r="Z184" s="184">
        <v>3110</v>
      </c>
      <c r="AA184" s="184">
        <v>3110</v>
      </c>
      <c r="AB184" s="184">
        <v>3110</v>
      </c>
      <c r="AC184" s="184">
        <v>3110</v>
      </c>
      <c r="AD184" s="184">
        <v>3110</v>
      </c>
      <c r="AE184" s="184">
        <v>2450</v>
      </c>
      <c r="AF184" s="184">
        <v>2450</v>
      </c>
      <c r="AG184" s="184">
        <v>2450</v>
      </c>
      <c r="AH184" s="184">
        <v>2300</v>
      </c>
      <c r="AI184" s="184">
        <v>2300</v>
      </c>
      <c r="AJ184" s="184">
        <v>2300</v>
      </c>
      <c r="AK184" s="146">
        <f>AK182+100</f>
        <v>2360</v>
      </c>
      <c r="AL184" s="146">
        <f>AL182+100</f>
        <v>2360</v>
      </c>
      <c r="AM184" s="146">
        <f>AM182+100</f>
        <v>2360</v>
      </c>
      <c r="AN184" s="184">
        <v>2490</v>
      </c>
      <c r="AO184" s="184">
        <v>2490</v>
      </c>
      <c r="AP184" s="184">
        <v>2490</v>
      </c>
      <c r="AQ184" s="184">
        <v>2640</v>
      </c>
      <c r="AR184" s="184">
        <v>2640</v>
      </c>
      <c r="AS184" s="184">
        <v>2640</v>
      </c>
      <c r="AT184" s="184">
        <v>2640</v>
      </c>
      <c r="AU184" s="184">
        <v>2640</v>
      </c>
      <c r="AV184" s="184">
        <v>2640</v>
      </c>
      <c r="AW184" s="184">
        <v>2560</v>
      </c>
      <c r="AX184" s="184">
        <v>2560</v>
      </c>
      <c r="AY184" s="184">
        <v>2560</v>
      </c>
      <c r="AZ184" s="184">
        <v>2320</v>
      </c>
      <c r="BA184" s="184">
        <v>2320</v>
      </c>
      <c r="BB184" s="184">
        <v>2450</v>
      </c>
      <c r="BC184" s="184">
        <v>2450</v>
      </c>
      <c r="BD184" s="184">
        <v>2450</v>
      </c>
      <c r="BE184" s="184">
        <v>2450</v>
      </c>
      <c r="BF184" s="184">
        <v>2350</v>
      </c>
      <c r="BG184" s="184">
        <v>2350</v>
      </c>
      <c r="BH184" s="184">
        <v>2350</v>
      </c>
      <c r="BI184" s="184">
        <v>2380</v>
      </c>
      <c r="BJ184" s="184">
        <v>2380</v>
      </c>
      <c r="BK184" s="184">
        <v>2380</v>
      </c>
      <c r="BL184" s="184">
        <v>2480</v>
      </c>
      <c r="BM184" s="184">
        <v>2480</v>
      </c>
      <c r="BN184" s="184">
        <v>2480</v>
      </c>
      <c r="BO184" s="184">
        <v>2560</v>
      </c>
      <c r="BP184" s="184">
        <v>2560</v>
      </c>
      <c r="BQ184" s="184">
        <v>2560</v>
      </c>
      <c r="BR184" s="184"/>
      <c r="BS184" s="184"/>
      <c r="BT184" s="184"/>
      <c r="BU184" s="146" cm="1">
        <f t="array" ref="BU184">LOOKUP(2,1/(Y184:BT184&lt;&gt;""),Y184:BH184)</f>
        <v>2560</v>
      </c>
      <c r="BV184" s="145" cm="1">
        <f t="array" aca="1" ref="BV184" ca="1">_xlfn.LET(
    _xlpm.last_col_idx, LOOKUP(2, 1/(Y184:BT184&lt;&gt;""), COLUMN(Y184:BT184) - COLUMN(Y184) + 1),
    _xlpm.header_val, INDEX($Y$3:$BT$3, 1, _xlpm.last_col_idx),
    _xlpm.header_date, IF(ISNUMBER(_xlpm.header_val), _xlpm.header_val, DATEVALUE(_xlpm.header_val)),
    IF(_xlpm.header_date &gt; TODAY(), TODAY(), _xlpm.header_date)
)</f>
        <v>46212</v>
      </c>
      <c r="BW184" s="209" cm="1">
        <f t="array" ref="BW184">(LOOKUP(2,1/(BH184:BT184&lt;&gt;""),BH184:BT184))/(INDEX(BH184:BT184,MATCH(TRUE,INDEX((BH184:BT184&lt;&gt;0),0),0)))-1</f>
        <v>8.9361702127659592E-2</v>
      </c>
      <c r="BX184" s="210">
        <f t="shared" si="32"/>
        <v>2.56</v>
      </c>
      <c r="BY184" s="210">
        <f t="shared" si="33"/>
        <v>15.104000000000001</v>
      </c>
      <c r="BZ184" s="210">
        <f ca="1">IF(L184="BR",'Impostos e Frete'!$F$6,IF(L184="EU",'Impostos e Frete'!$I$3,IF(L184="CN",'Impostos e Frete'!$I$4,IF(L184="JP",'Impostos e Frete'!$I$5,IF(L184="RU",'Impostos e Frete'!$I$7,"ERRO")))))</f>
        <v>0.1410816</v>
      </c>
      <c r="CA184" s="210">
        <f>VLOOKUP(L184,'Impostos e Frete'!$A$3:$B$7,2,0)*'Preços e Condições'!BY184</f>
        <v>1.9635200000000002</v>
      </c>
      <c r="CB184" s="147">
        <f t="shared" si="34"/>
        <v>0</v>
      </c>
      <c r="CC184" s="147">
        <f>IF(X184="BRL",'Impostos e Frete'!$B$11,'Impostos e Frete'!$B$12)</f>
        <v>9.1999999999999998E-2</v>
      </c>
      <c r="CD184" s="211">
        <f t="shared" ca="1" si="35"/>
        <v>17.3006016</v>
      </c>
      <c r="CE184" s="212">
        <f t="shared" ca="1" si="36"/>
        <v>1.2110421119999999</v>
      </c>
      <c r="CF184" s="213">
        <f>VLOOKUP(L184,'Impostos e Frete'!$A$3:$C$7,3,0)</f>
        <v>105</v>
      </c>
      <c r="CG184" s="213">
        <f t="shared" si="37"/>
        <v>120</v>
      </c>
      <c r="CH184" s="213">
        <f t="shared" si="38"/>
        <v>15</v>
      </c>
      <c r="CI184" s="214">
        <f t="shared" ca="1" si="39"/>
        <v>-0.12831278416918934</v>
      </c>
      <c r="CJ184" s="215">
        <f t="shared" ca="1" si="40"/>
        <v>17.172288815830811</v>
      </c>
      <c r="CK184" s="216">
        <f t="shared" ca="1" si="41"/>
        <v>1.2020602171081567</v>
      </c>
    </row>
    <row r="185" spans="1:89">
      <c r="A185" s="176">
        <v>17039</v>
      </c>
      <c r="B185" s="177">
        <v>104</v>
      </c>
      <c r="C185" s="178">
        <v>70</v>
      </c>
      <c r="D185" s="178">
        <v>1270</v>
      </c>
      <c r="E185" s="178" t="s">
        <v>50</v>
      </c>
      <c r="F185" s="179" t="s">
        <v>47</v>
      </c>
      <c r="G185" s="185" t="s">
        <v>93</v>
      </c>
      <c r="H185" s="178" t="s">
        <v>43</v>
      </c>
      <c r="I185" s="178">
        <v>6412</v>
      </c>
      <c r="J185" s="178"/>
      <c r="K185" s="178"/>
      <c r="L185" s="178" t="s">
        <v>59</v>
      </c>
      <c r="M185" s="178">
        <v>120</v>
      </c>
      <c r="N185" s="178">
        <v>300</v>
      </c>
      <c r="O185" s="178"/>
      <c r="P185" s="178"/>
      <c r="Q185" s="178"/>
      <c r="R185" s="178" t="s">
        <v>19</v>
      </c>
      <c r="S185" s="181"/>
      <c r="T185" s="181"/>
      <c r="U185" s="182"/>
      <c r="V185" s="182" t="s">
        <v>35</v>
      </c>
      <c r="W185" s="183">
        <v>10</v>
      </c>
      <c r="X185" s="182" t="s">
        <v>51</v>
      </c>
      <c r="Y185" s="184">
        <v>3190</v>
      </c>
      <c r="Z185" s="184">
        <v>3190</v>
      </c>
      <c r="AA185" s="184">
        <v>3190</v>
      </c>
      <c r="AB185" s="184">
        <v>3190</v>
      </c>
      <c r="AC185" s="184">
        <v>3190</v>
      </c>
      <c r="AD185" s="184">
        <v>3190</v>
      </c>
      <c r="AE185" s="184">
        <v>2530</v>
      </c>
      <c r="AF185" s="184">
        <v>2530</v>
      </c>
      <c r="AG185" s="184">
        <v>2530</v>
      </c>
      <c r="AH185" s="184">
        <v>2380</v>
      </c>
      <c r="AI185" s="184">
        <v>2380</v>
      </c>
      <c r="AJ185" s="184">
        <v>2380</v>
      </c>
      <c r="AK185" s="146">
        <f>AK182+180</f>
        <v>2440</v>
      </c>
      <c r="AL185" s="146">
        <f>AL182+180</f>
        <v>2440</v>
      </c>
      <c r="AM185" s="146">
        <f>AM182+180</f>
        <v>2440</v>
      </c>
      <c r="AN185" s="184">
        <v>2570</v>
      </c>
      <c r="AO185" s="184">
        <v>2570</v>
      </c>
      <c r="AP185" s="184">
        <v>2570</v>
      </c>
      <c r="AQ185" s="184">
        <v>2720</v>
      </c>
      <c r="AR185" s="184">
        <v>2720</v>
      </c>
      <c r="AS185" s="184">
        <v>2720</v>
      </c>
      <c r="AT185" s="184">
        <v>2720</v>
      </c>
      <c r="AU185" s="184">
        <v>2720</v>
      </c>
      <c r="AV185" s="184">
        <v>2720</v>
      </c>
      <c r="AW185" s="184">
        <v>2640</v>
      </c>
      <c r="AX185" s="184">
        <v>2640</v>
      </c>
      <c r="AY185" s="184">
        <v>2640</v>
      </c>
      <c r="AZ185" s="184">
        <v>2400</v>
      </c>
      <c r="BA185" s="184">
        <v>2400</v>
      </c>
      <c r="BB185" s="184">
        <v>2530</v>
      </c>
      <c r="BC185" s="184">
        <v>2530</v>
      </c>
      <c r="BD185" s="184">
        <v>2530</v>
      </c>
      <c r="BE185" s="184">
        <v>2530</v>
      </c>
      <c r="BF185" s="184">
        <v>2430</v>
      </c>
      <c r="BG185" s="184">
        <v>2430</v>
      </c>
      <c r="BH185" s="184">
        <v>2430</v>
      </c>
      <c r="BI185" s="184">
        <v>2460</v>
      </c>
      <c r="BJ185" s="184">
        <v>2460</v>
      </c>
      <c r="BK185" s="184">
        <v>2460</v>
      </c>
      <c r="BL185" s="184">
        <v>2560</v>
      </c>
      <c r="BM185" s="184">
        <v>2560</v>
      </c>
      <c r="BN185" s="184">
        <v>2560</v>
      </c>
      <c r="BO185" s="184">
        <v>2640</v>
      </c>
      <c r="BP185" s="184">
        <v>2640</v>
      </c>
      <c r="BQ185" s="184">
        <v>2640</v>
      </c>
      <c r="BR185" s="184"/>
      <c r="BS185" s="184"/>
      <c r="BT185" s="184"/>
      <c r="BU185" s="146" cm="1">
        <f t="array" ref="BU185">LOOKUP(2,1/(Y185:BT185&lt;&gt;""),Y185:BH185)</f>
        <v>2640</v>
      </c>
      <c r="BV185" s="145" cm="1">
        <f t="array" aca="1" ref="BV185" ca="1">_xlfn.LET(
    _xlpm.last_col_idx, LOOKUP(2, 1/(Y185:BT185&lt;&gt;""), COLUMN(Y185:BT185) - COLUMN(Y185) + 1),
    _xlpm.header_val, INDEX($Y$3:$BT$3, 1, _xlpm.last_col_idx),
    _xlpm.header_date, IF(ISNUMBER(_xlpm.header_val), _xlpm.header_val, DATEVALUE(_xlpm.header_val)),
    IF(_xlpm.header_date &gt; TODAY(), TODAY(), _xlpm.header_date)
)</f>
        <v>46212</v>
      </c>
      <c r="BW185" s="209" cm="1">
        <f t="array" ref="BW185">(LOOKUP(2,1/(BH185:BT185&lt;&gt;""),BH185:BT185))/(INDEX(BH185:BT185,MATCH(TRUE,INDEX((BH185:BT185&lt;&gt;0),0),0)))-1</f>
        <v>8.6419753086419693E-2</v>
      </c>
      <c r="BX185" s="210">
        <f t="shared" si="32"/>
        <v>2.64</v>
      </c>
      <c r="BY185" s="210">
        <f t="shared" si="33"/>
        <v>15.576000000000002</v>
      </c>
      <c r="BZ185" s="210">
        <f ca="1">IF(L185="BR",'Impostos e Frete'!$F$6,IF(L185="EU",'Impostos e Frete'!$I$3,IF(L185="CN",'Impostos e Frete'!$I$4,IF(L185="JP",'Impostos e Frete'!$I$5,IF(L185="RU",'Impostos e Frete'!$I$7,"ERRO")))))</f>
        <v>0.1410816</v>
      </c>
      <c r="CA185" s="210">
        <f>VLOOKUP(L185,'Impostos e Frete'!$A$3:$B$7,2,0)*'Preços e Condições'!BY185</f>
        <v>2.0248800000000005</v>
      </c>
      <c r="CB185" s="147">
        <f t="shared" si="34"/>
        <v>0</v>
      </c>
      <c r="CC185" s="147">
        <f>IF(X185="BRL",'Impostos e Frete'!$B$11,'Impostos e Frete'!$B$12)</f>
        <v>9.1999999999999998E-2</v>
      </c>
      <c r="CD185" s="211">
        <f t="shared" ca="1" si="35"/>
        <v>17.833961600000002</v>
      </c>
      <c r="CE185" s="212">
        <f t="shared" ca="1" si="36"/>
        <v>1.2483773120000001</v>
      </c>
      <c r="CF185" s="213">
        <f>VLOOKUP(L185,'Impostos e Frete'!$A$3:$C$7,3,0)</f>
        <v>105</v>
      </c>
      <c r="CG185" s="213">
        <f t="shared" si="37"/>
        <v>120</v>
      </c>
      <c r="CH185" s="213">
        <f t="shared" si="38"/>
        <v>15</v>
      </c>
      <c r="CI185" s="214">
        <f t="shared" ca="1" si="39"/>
        <v>-0.13226853716245301</v>
      </c>
      <c r="CJ185" s="215">
        <f t="shared" ca="1" si="40"/>
        <v>17.701693062837549</v>
      </c>
      <c r="CK185" s="216">
        <f t="shared" ca="1" si="41"/>
        <v>1.2391185143986283</v>
      </c>
    </row>
    <row r="186" spans="1:89">
      <c r="A186" s="176">
        <v>17042</v>
      </c>
      <c r="B186" s="177">
        <v>8292</v>
      </c>
      <c r="C186" s="178">
        <v>70</v>
      </c>
      <c r="D186" s="178">
        <v>1870</v>
      </c>
      <c r="E186" s="178" t="s">
        <v>50</v>
      </c>
      <c r="F186" s="179" t="s">
        <v>47</v>
      </c>
      <c r="G186" s="185" t="s">
        <v>302</v>
      </c>
      <c r="H186" s="178" t="s">
        <v>42</v>
      </c>
      <c r="I186" s="178">
        <v>6795</v>
      </c>
      <c r="J186" s="178"/>
      <c r="K186" s="178"/>
      <c r="L186" s="178" t="s">
        <v>59</v>
      </c>
      <c r="M186" s="178">
        <v>120</v>
      </c>
      <c r="N186" s="178">
        <v>300</v>
      </c>
      <c r="O186" s="178"/>
      <c r="P186" s="178"/>
      <c r="Q186" s="178"/>
      <c r="R186" s="178" t="s">
        <v>19</v>
      </c>
      <c r="S186" s="181"/>
      <c r="T186" s="181"/>
      <c r="U186" s="182"/>
      <c r="V186" s="182" t="s">
        <v>35</v>
      </c>
      <c r="W186" s="183">
        <v>50</v>
      </c>
      <c r="X186" s="182" t="s">
        <v>51</v>
      </c>
      <c r="Y186" s="184">
        <v>2560</v>
      </c>
      <c r="Z186" s="184">
        <v>2560</v>
      </c>
      <c r="AA186" s="184">
        <v>2560</v>
      </c>
      <c r="AB186" s="184">
        <v>2560</v>
      </c>
      <c r="AC186" s="184">
        <v>2560</v>
      </c>
      <c r="AD186" s="184">
        <v>2560</v>
      </c>
      <c r="AE186" s="184">
        <v>2190</v>
      </c>
      <c r="AF186" s="184">
        <v>2190</v>
      </c>
      <c r="AG186" s="184">
        <v>2190</v>
      </c>
      <c r="AH186" s="184">
        <v>2040</v>
      </c>
      <c r="AI186" s="184">
        <v>2040</v>
      </c>
      <c r="AJ186" s="184">
        <v>2040</v>
      </c>
      <c r="AK186" s="184">
        <v>2100</v>
      </c>
      <c r="AL186" s="184">
        <v>2100</v>
      </c>
      <c r="AM186" s="184">
        <v>2100</v>
      </c>
      <c r="AN186" s="184">
        <v>2230</v>
      </c>
      <c r="AO186" s="184">
        <v>2230</v>
      </c>
      <c r="AP186" s="184">
        <v>2230</v>
      </c>
      <c r="AQ186" s="184">
        <v>2380</v>
      </c>
      <c r="AR186" s="184">
        <v>2380</v>
      </c>
      <c r="AS186" s="184">
        <v>2380</v>
      </c>
      <c r="AT186" s="184">
        <v>2380</v>
      </c>
      <c r="AU186" s="184">
        <v>2380</v>
      </c>
      <c r="AV186" s="184">
        <v>2380</v>
      </c>
      <c r="AW186" s="184">
        <v>2300</v>
      </c>
      <c r="AX186" s="184">
        <v>2300</v>
      </c>
      <c r="AY186" s="184">
        <v>2300</v>
      </c>
      <c r="AZ186" s="184">
        <v>2100</v>
      </c>
      <c r="BA186" s="184">
        <v>2100</v>
      </c>
      <c r="BB186" s="184">
        <v>2400</v>
      </c>
      <c r="BC186" s="184">
        <v>2400</v>
      </c>
      <c r="BD186" s="184">
        <v>2400</v>
      </c>
      <c r="BE186" s="184">
        <v>2400</v>
      </c>
      <c r="BF186" s="184">
        <v>2320</v>
      </c>
      <c r="BG186" s="184">
        <v>2320</v>
      </c>
      <c r="BH186" s="184">
        <v>2320</v>
      </c>
      <c r="BI186" s="184">
        <v>2350</v>
      </c>
      <c r="BJ186" s="184">
        <v>2350</v>
      </c>
      <c r="BK186" s="184">
        <v>2350</v>
      </c>
      <c r="BL186" s="184">
        <v>2450</v>
      </c>
      <c r="BM186" s="184">
        <v>2450</v>
      </c>
      <c r="BN186" s="184">
        <v>2450</v>
      </c>
      <c r="BO186" s="184">
        <v>2530</v>
      </c>
      <c r="BP186" s="184">
        <v>2530</v>
      </c>
      <c r="BQ186" s="184">
        <v>2530</v>
      </c>
      <c r="BR186" s="184"/>
      <c r="BS186" s="184"/>
      <c r="BT186" s="184"/>
      <c r="BU186" s="146" cm="1">
        <f t="array" ref="BU186">LOOKUP(2,1/(Y186:BT186&lt;&gt;""),Y186:BH186)</f>
        <v>2530</v>
      </c>
      <c r="BV186" s="145" cm="1">
        <f t="array" aca="1" ref="BV186" ca="1">_xlfn.LET(
    _xlpm.last_col_idx, LOOKUP(2, 1/(Y186:BT186&lt;&gt;""), COLUMN(Y186:BT186) - COLUMN(Y186) + 1),
    _xlpm.header_val, INDEX($Y$3:$BT$3, 1, _xlpm.last_col_idx),
    _xlpm.header_date, IF(ISNUMBER(_xlpm.header_val), _xlpm.header_val, DATEVALUE(_xlpm.header_val)),
    IF(_xlpm.header_date &gt; TODAY(), TODAY(), _xlpm.header_date)
)</f>
        <v>46212</v>
      </c>
      <c r="BW186" s="209" cm="1">
        <f t="array" ref="BW186">(LOOKUP(2,1/(BH186:BT186&lt;&gt;""),BH186:BT186))/(INDEX(BH186:BT186,MATCH(TRUE,INDEX((BH186:BT186&lt;&gt;0),0),0)))-1</f>
        <v>9.0517241379310276E-2</v>
      </c>
      <c r="BX186" s="210">
        <f t="shared" si="32"/>
        <v>2.5299999999999998</v>
      </c>
      <c r="BY186" s="210">
        <f t="shared" si="33"/>
        <v>14.927</v>
      </c>
      <c r="BZ186" s="210">
        <f ca="1">IF(L186="BR",'Impostos e Frete'!$F$6,IF(L186="EU",'Impostos e Frete'!$I$3,IF(L186="CN",'Impostos e Frete'!$I$4,IF(L186="JP",'Impostos e Frete'!$I$5,IF(L186="RU",'Impostos e Frete'!$I$7,"ERRO")))))</f>
        <v>0.1410816</v>
      </c>
      <c r="CA186" s="210">
        <f>VLOOKUP(L186,'Impostos e Frete'!$A$3:$B$7,2,0)*'Preços e Condições'!BY186</f>
        <v>1.94051</v>
      </c>
      <c r="CB186" s="147">
        <f t="shared" si="34"/>
        <v>0</v>
      </c>
      <c r="CC186" s="147">
        <f>IF(X186="BRL",'Impostos e Frete'!$B$11,'Impostos e Frete'!$B$12)</f>
        <v>9.1999999999999998E-2</v>
      </c>
      <c r="CD186" s="211">
        <f t="shared" ca="1" si="35"/>
        <v>17.100591599999998</v>
      </c>
      <c r="CE186" s="212">
        <f t="shared" ca="1" si="36"/>
        <v>1.1970414119999999</v>
      </c>
      <c r="CF186" s="213">
        <f>VLOOKUP(L186,'Impostos e Frete'!$A$3:$C$7,3,0)</f>
        <v>105</v>
      </c>
      <c r="CG186" s="213">
        <f t="shared" si="37"/>
        <v>120</v>
      </c>
      <c r="CH186" s="213">
        <f t="shared" si="38"/>
        <v>15</v>
      </c>
      <c r="CI186" s="214">
        <f t="shared" ca="1" si="39"/>
        <v>-0.12682937679671724</v>
      </c>
      <c r="CJ186" s="215">
        <f t="shared" ca="1" si="40"/>
        <v>16.973762223203281</v>
      </c>
      <c r="CK186" s="216">
        <f t="shared" ca="1" si="41"/>
        <v>1.1881633556242297</v>
      </c>
    </row>
    <row r="187" spans="1:89">
      <c r="A187" s="176">
        <v>17042</v>
      </c>
      <c r="B187" s="177">
        <v>8292</v>
      </c>
      <c r="C187" s="178">
        <v>70</v>
      </c>
      <c r="D187" s="178">
        <v>1870</v>
      </c>
      <c r="E187" s="178" t="s">
        <v>50</v>
      </c>
      <c r="F187" s="179" t="s">
        <v>47</v>
      </c>
      <c r="G187" s="185" t="s">
        <v>302</v>
      </c>
      <c r="H187" s="178" t="s">
        <v>42</v>
      </c>
      <c r="I187" s="178">
        <v>6795</v>
      </c>
      <c r="J187" s="178"/>
      <c r="K187" s="178"/>
      <c r="L187" s="178" t="s">
        <v>59</v>
      </c>
      <c r="M187" s="178">
        <v>120</v>
      </c>
      <c r="N187" s="178">
        <v>300</v>
      </c>
      <c r="O187" s="178"/>
      <c r="P187" s="178"/>
      <c r="Q187" s="178"/>
      <c r="R187" s="178" t="s">
        <v>19</v>
      </c>
      <c r="S187" s="181"/>
      <c r="T187" s="181"/>
      <c r="U187" s="182"/>
      <c r="V187" s="182" t="s">
        <v>35</v>
      </c>
      <c r="W187" s="183">
        <v>30</v>
      </c>
      <c r="X187" s="182" t="s">
        <v>51</v>
      </c>
      <c r="Y187" s="184">
        <v>2610</v>
      </c>
      <c r="Z187" s="184">
        <v>2610</v>
      </c>
      <c r="AA187" s="184">
        <v>2610</v>
      </c>
      <c r="AB187" s="184">
        <v>2610</v>
      </c>
      <c r="AC187" s="184">
        <v>2610</v>
      </c>
      <c r="AD187" s="184">
        <v>2610</v>
      </c>
      <c r="AE187" s="184">
        <v>2240</v>
      </c>
      <c r="AF187" s="184">
        <v>2240</v>
      </c>
      <c r="AG187" s="184">
        <v>2240</v>
      </c>
      <c r="AH187" s="184">
        <v>2045</v>
      </c>
      <c r="AI187" s="184">
        <v>2045</v>
      </c>
      <c r="AJ187" s="184">
        <v>2045</v>
      </c>
      <c r="AK187" s="146">
        <f>AK186+50</f>
        <v>2150</v>
      </c>
      <c r="AL187" s="146">
        <f>AL186+50</f>
        <v>2150</v>
      </c>
      <c r="AM187" s="146">
        <f>AM186+50</f>
        <v>2150</v>
      </c>
      <c r="AN187" s="184">
        <v>2280</v>
      </c>
      <c r="AO187" s="184">
        <v>2280</v>
      </c>
      <c r="AP187" s="184">
        <v>2280</v>
      </c>
      <c r="AQ187" s="184">
        <v>2430</v>
      </c>
      <c r="AR187" s="184">
        <v>2430</v>
      </c>
      <c r="AS187" s="184">
        <v>2430</v>
      </c>
      <c r="AT187" s="184">
        <v>2430</v>
      </c>
      <c r="AU187" s="184">
        <v>2430</v>
      </c>
      <c r="AV187" s="184">
        <v>2430</v>
      </c>
      <c r="AW187" s="184">
        <v>2350</v>
      </c>
      <c r="AX187" s="184">
        <v>2350</v>
      </c>
      <c r="AY187" s="184">
        <v>2350</v>
      </c>
      <c r="AZ187" s="184">
        <v>2150</v>
      </c>
      <c r="BA187" s="184">
        <v>2150</v>
      </c>
      <c r="BB187" s="184">
        <v>2450</v>
      </c>
      <c r="BC187" s="184">
        <v>2450</v>
      </c>
      <c r="BD187" s="184">
        <v>2450</v>
      </c>
      <c r="BE187" s="184">
        <v>2450</v>
      </c>
      <c r="BF187" s="184">
        <v>2370</v>
      </c>
      <c r="BG187" s="184">
        <v>2370</v>
      </c>
      <c r="BH187" s="184">
        <v>2370</v>
      </c>
      <c r="BI187" s="184"/>
      <c r="BJ187" s="184"/>
      <c r="BK187" s="184"/>
      <c r="BL187" s="184"/>
      <c r="BM187" s="184"/>
      <c r="BN187" s="184"/>
      <c r="BO187" s="184"/>
      <c r="BP187" s="184"/>
      <c r="BQ187" s="184"/>
      <c r="BR187" s="184"/>
      <c r="BS187" s="184"/>
      <c r="BT187" s="184"/>
      <c r="BU187" s="146" cm="1">
        <f t="array" ref="BU187">LOOKUP(2,1/(Y187:BT187&lt;&gt;""),Y187:BH187)</f>
        <v>2370</v>
      </c>
      <c r="BV187" s="145" cm="1">
        <f t="array" aca="1" ref="BV187" ca="1">_xlfn.LET(
    _xlpm.last_col_idx, LOOKUP(2, 1/(Y187:BT187&lt;&gt;""), COLUMN(Y187:BT187) - COLUMN(Y187) + 1),
    _xlpm.header_val, INDEX($Y$3:$BT$3, 1, _xlpm.last_col_idx),
    _xlpm.header_date, IF(ISNUMBER(_xlpm.header_val), _xlpm.header_val, DATEVALUE(_xlpm.header_val)),
    IF(_xlpm.header_date &gt; TODAY(), TODAY(), _xlpm.header_date)
)</f>
        <v>45992</v>
      </c>
      <c r="BW187" s="209" cm="1">
        <f t="array" ref="BW187">(LOOKUP(2,1/(BH187:BT187&lt;&gt;""),BH187:BT187))/(INDEX(BH187:BT187,MATCH(TRUE,INDEX((BH187:BT187&lt;&gt;0),0),0)))-1</f>
        <v>0</v>
      </c>
      <c r="BX187" s="210">
        <f t="shared" si="32"/>
        <v>2.37</v>
      </c>
      <c r="BY187" s="210">
        <f t="shared" si="33"/>
        <v>13.983000000000002</v>
      </c>
      <c r="BZ187" s="210">
        <f ca="1">IF(L187="BR",'Impostos e Frete'!$F$6,IF(L187="EU",'Impostos e Frete'!$I$3,IF(L187="CN",'Impostos e Frete'!$I$4,IF(L187="JP",'Impostos e Frete'!$I$5,IF(L187="RU",'Impostos e Frete'!$I$7,"ERRO")))))</f>
        <v>0.1410816</v>
      </c>
      <c r="CA187" s="210">
        <f>VLOOKUP(L187,'Impostos e Frete'!$A$3:$B$7,2,0)*'Preços e Condições'!BY187</f>
        <v>1.8177900000000005</v>
      </c>
      <c r="CB187" s="147">
        <f t="shared" si="34"/>
        <v>0</v>
      </c>
      <c r="CC187" s="147">
        <f>IF(X187="BRL",'Impostos e Frete'!$B$11,'Impostos e Frete'!$B$12)</f>
        <v>9.1999999999999998E-2</v>
      </c>
      <c r="CD187" s="211">
        <f t="shared" ca="1" si="35"/>
        <v>16.033871600000001</v>
      </c>
      <c r="CE187" s="212">
        <f t="shared" ca="1" si="36"/>
        <v>1.1223710120000001</v>
      </c>
      <c r="CF187" s="213">
        <f>VLOOKUP(L187,'Impostos e Frete'!$A$3:$C$7,3,0)</f>
        <v>105</v>
      </c>
      <c r="CG187" s="213">
        <f t="shared" si="37"/>
        <v>120</v>
      </c>
      <c r="CH187" s="213">
        <f t="shared" si="38"/>
        <v>15</v>
      </c>
      <c r="CI187" s="214">
        <f t="shared" ca="1" si="39"/>
        <v>-0.11891787081018634</v>
      </c>
      <c r="CJ187" s="215">
        <f t="shared" ca="1" si="40"/>
        <v>15.914953729189815</v>
      </c>
      <c r="CK187" s="216">
        <f t="shared" ca="1" si="41"/>
        <v>1.1140467610432871</v>
      </c>
    </row>
    <row r="188" spans="1:89">
      <c r="A188" s="176">
        <v>17042</v>
      </c>
      <c r="B188" s="177">
        <v>8292</v>
      </c>
      <c r="C188" s="178">
        <v>70</v>
      </c>
      <c r="D188" s="178">
        <v>1870</v>
      </c>
      <c r="E188" s="178" t="s">
        <v>50</v>
      </c>
      <c r="F188" s="179" t="s">
        <v>47</v>
      </c>
      <c r="G188" s="185" t="s">
        <v>302</v>
      </c>
      <c r="H188" s="178" t="s">
        <v>42</v>
      </c>
      <c r="I188" s="178">
        <v>6795</v>
      </c>
      <c r="J188" s="178"/>
      <c r="K188" s="178"/>
      <c r="L188" s="178" t="s">
        <v>59</v>
      </c>
      <c r="M188" s="178">
        <v>120</v>
      </c>
      <c r="N188" s="178">
        <v>300</v>
      </c>
      <c r="O188" s="178"/>
      <c r="P188" s="178"/>
      <c r="Q188" s="178"/>
      <c r="R188" s="178" t="s">
        <v>19</v>
      </c>
      <c r="S188" s="181"/>
      <c r="T188" s="181"/>
      <c r="U188" s="182"/>
      <c r="V188" s="182" t="s">
        <v>35</v>
      </c>
      <c r="W188" s="183">
        <v>20</v>
      </c>
      <c r="X188" s="182" t="s">
        <v>51</v>
      </c>
      <c r="Y188" s="184">
        <v>2660</v>
      </c>
      <c r="Z188" s="184">
        <v>2660</v>
      </c>
      <c r="AA188" s="184">
        <v>2660</v>
      </c>
      <c r="AB188" s="184">
        <v>2660</v>
      </c>
      <c r="AC188" s="184">
        <v>2660</v>
      </c>
      <c r="AD188" s="184">
        <v>2660</v>
      </c>
      <c r="AE188" s="184">
        <v>2290</v>
      </c>
      <c r="AF188" s="184">
        <v>2290</v>
      </c>
      <c r="AG188" s="184">
        <v>2290</v>
      </c>
      <c r="AH188" s="184">
        <v>2050</v>
      </c>
      <c r="AI188" s="184">
        <v>2050</v>
      </c>
      <c r="AJ188" s="184">
        <v>2050</v>
      </c>
      <c r="AK188" s="146">
        <f>AK186+100</f>
        <v>2200</v>
      </c>
      <c r="AL188" s="146">
        <f>AL186+100</f>
        <v>2200</v>
      </c>
      <c r="AM188" s="146">
        <f>AM186+100</f>
        <v>2200</v>
      </c>
      <c r="AN188" s="184">
        <v>2330</v>
      </c>
      <c r="AO188" s="184">
        <v>2330</v>
      </c>
      <c r="AP188" s="184">
        <v>2330</v>
      </c>
      <c r="AQ188" s="184">
        <v>2480</v>
      </c>
      <c r="AR188" s="184">
        <v>2480</v>
      </c>
      <c r="AS188" s="184">
        <v>2480</v>
      </c>
      <c r="AT188" s="184">
        <v>2480</v>
      </c>
      <c r="AU188" s="184">
        <v>2480</v>
      </c>
      <c r="AV188" s="184">
        <v>2480</v>
      </c>
      <c r="AW188" s="184">
        <v>2400</v>
      </c>
      <c r="AX188" s="184">
        <v>2400</v>
      </c>
      <c r="AY188" s="184">
        <v>2400</v>
      </c>
      <c r="AZ188" s="184">
        <v>2200</v>
      </c>
      <c r="BA188" s="184">
        <v>2200</v>
      </c>
      <c r="BB188" s="184">
        <v>2500</v>
      </c>
      <c r="BC188" s="184">
        <v>2500</v>
      </c>
      <c r="BD188" s="184">
        <v>2500</v>
      </c>
      <c r="BE188" s="184">
        <v>2500</v>
      </c>
      <c r="BF188" s="184">
        <v>2420</v>
      </c>
      <c r="BG188" s="184">
        <v>2420</v>
      </c>
      <c r="BH188" s="184">
        <v>2420</v>
      </c>
      <c r="BI188" s="184"/>
      <c r="BJ188" s="184"/>
      <c r="BK188" s="184"/>
      <c r="BL188" s="184"/>
      <c r="BM188" s="184"/>
      <c r="BN188" s="184"/>
      <c r="BO188" s="184"/>
      <c r="BP188" s="184"/>
      <c r="BQ188" s="184"/>
      <c r="BR188" s="184"/>
      <c r="BS188" s="184"/>
      <c r="BT188" s="184"/>
      <c r="BU188" s="146" cm="1">
        <f t="array" ref="BU188">LOOKUP(2,1/(Y188:BT188&lt;&gt;""),Y188:BH188)</f>
        <v>2420</v>
      </c>
      <c r="BV188" s="145" cm="1">
        <f t="array" aca="1" ref="BV188" ca="1">_xlfn.LET(
    _xlpm.last_col_idx, LOOKUP(2, 1/(Y188:BT188&lt;&gt;""), COLUMN(Y188:BT188) - COLUMN(Y188) + 1),
    _xlpm.header_val, INDEX($Y$3:$BT$3, 1, _xlpm.last_col_idx),
    _xlpm.header_date, IF(ISNUMBER(_xlpm.header_val), _xlpm.header_val, DATEVALUE(_xlpm.header_val)),
    IF(_xlpm.header_date &gt; TODAY(), TODAY(), _xlpm.header_date)
)</f>
        <v>45992</v>
      </c>
      <c r="BW188" s="209" cm="1">
        <f t="array" ref="BW188">(LOOKUP(2,1/(BH188:BT188&lt;&gt;""),BH188:BT188))/(INDEX(BH188:BT188,MATCH(TRUE,INDEX((BH188:BT188&lt;&gt;0),0),0)))-1</f>
        <v>0</v>
      </c>
      <c r="BX188" s="210">
        <f t="shared" si="32"/>
        <v>2.42</v>
      </c>
      <c r="BY188" s="210">
        <f t="shared" si="33"/>
        <v>14.278</v>
      </c>
      <c r="BZ188" s="210">
        <f ca="1">IF(L188="BR",'Impostos e Frete'!$F$6,IF(L188="EU",'Impostos e Frete'!$I$3,IF(L188="CN",'Impostos e Frete'!$I$4,IF(L188="JP",'Impostos e Frete'!$I$5,IF(L188="RU",'Impostos e Frete'!$I$7,"ERRO")))))</f>
        <v>0.1410816</v>
      </c>
      <c r="CA188" s="210">
        <f>VLOOKUP(L188,'Impostos e Frete'!$A$3:$B$7,2,0)*'Preços e Condições'!BY188</f>
        <v>1.8561400000000001</v>
      </c>
      <c r="CB188" s="147">
        <f t="shared" si="34"/>
        <v>0</v>
      </c>
      <c r="CC188" s="147">
        <f>IF(X188="BRL",'Impostos e Frete'!$B$11,'Impostos e Frete'!$B$12)</f>
        <v>9.1999999999999998E-2</v>
      </c>
      <c r="CD188" s="211">
        <f t="shared" ca="1" si="35"/>
        <v>16.367221600000001</v>
      </c>
      <c r="CE188" s="212">
        <f t="shared" ca="1" si="36"/>
        <v>1.1457055120000001</v>
      </c>
      <c r="CF188" s="213">
        <f>VLOOKUP(L188,'Impostos e Frete'!$A$3:$C$7,3,0)</f>
        <v>105</v>
      </c>
      <c r="CG188" s="213">
        <f t="shared" si="37"/>
        <v>120</v>
      </c>
      <c r="CH188" s="213">
        <f t="shared" si="38"/>
        <v>15</v>
      </c>
      <c r="CI188" s="214">
        <f t="shared" ca="1" si="39"/>
        <v>-0.12139021643097792</v>
      </c>
      <c r="CJ188" s="215">
        <f t="shared" ca="1" si="40"/>
        <v>16.245831383569023</v>
      </c>
      <c r="CK188" s="216">
        <f t="shared" ca="1" si="41"/>
        <v>1.1372081968498315</v>
      </c>
    </row>
    <row r="189" spans="1:89">
      <c r="A189" s="176">
        <v>17042</v>
      </c>
      <c r="B189" s="177">
        <v>8292</v>
      </c>
      <c r="C189" s="178">
        <v>70</v>
      </c>
      <c r="D189" s="178">
        <v>1870</v>
      </c>
      <c r="E189" s="178" t="s">
        <v>50</v>
      </c>
      <c r="F189" s="179" t="s">
        <v>47</v>
      </c>
      <c r="G189" s="185" t="s">
        <v>302</v>
      </c>
      <c r="H189" s="178" t="s">
        <v>42</v>
      </c>
      <c r="I189" s="178">
        <v>6795</v>
      </c>
      <c r="J189" s="178"/>
      <c r="K189" s="178"/>
      <c r="L189" s="178" t="s">
        <v>59</v>
      </c>
      <c r="M189" s="178">
        <v>120</v>
      </c>
      <c r="N189" s="178">
        <v>300</v>
      </c>
      <c r="O189" s="178"/>
      <c r="P189" s="178"/>
      <c r="Q189" s="178"/>
      <c r="R189" s="178" t="s">
        <v>19</v>
      </c>
      <c r="S189" s="181"/>
      <c r="T189" s="181"/>
      <c r="U189" s="182"/>
      <c r="V189" s="182" t="s">
        <v>35</v>
      </c>
      <c r="W189" s="183">
        <v>10</v>
      </c>
      <c r="X189" s="182" t="s">
        <v>51</v>
      </c>
      <c r="Y189" s="184">
        <v>2740</v>
      </c>
      <c r="Z189" s="184">
        <v>2740</v>
      </c>
      <c r="AA189" s="184">
        <v>2740</v>
      </c>
      <c r="AB189" s="184">
        <v>2740</v>
      </c>
      <c r="AC189" s="184">
        <v>2740</v>
      </c>
      <c r="AD189" s="184">
        <v>2740</v>
      </c>
      <c r="AE189" s="184">
        <v>2370</v>
      </c>
      <c r="AF189" s="184">
        <v>2370</v>
      </c>
      <c r="AG189" s="184">
        <v>2370</v>
      </c>
      <c r="AH189" s="184">
        <v>2058</v>
      </c>
      <c r="AI189" s="184">
        <v>2058</v>
      </c>
      <c r="AJ189" s="184">
        <v>2058</v>
      </c>
      <c r="AK189" s="146">
        <f>AK186+180</f>
        <v>2280</v>
      </c>
      <c r="AL189" s="146">
        <f>AL186+180</f>
        <v>2280</v>
      </c>
      <c r="AM189" s="146">
        <f>AM186+180</f>
        <v>2280</v>
      </c>
      <c r="AN189" s="184">
        <v>2410</v>
      </c>
      <c r="AO189" s="184">
        <v>2410</v>
      </c>
      <c r="AP189" s="184">
        <v>2410</v>
      </c>
      <c r="AQ189" s="184">
        <v>2560</v>
      </c>
      <c r="AR189" s="184">
        <v>2560</v>
      </c>
      <c r="AS189" s="184">
        <v>2560</v>
      </c>
      <c r="AT189" s="184">
        <v>2560</v>
      </c>
      <c r="AU189" s="184">
        <v>2560</v>
      </c>
      <c r="AV189" s="184">
        <v>2560</v>
      </c>
      <c r="AW189" s="184">
        <v>2480</v>
      </c>
      <c r="AX189" s="184">
        <v>2480</v>
      </c>
      <c r="AY189" s="184">
        <v>2480</v>
      </c>
      <c r="AZ189" s="184">
        <v>2280</v>
      </c>
      <c r="BA189" s="184">
        <v>2280</v>
      </c>
      <c r="BB189" s="184">
        <v>2580</v>
      </c>
      <c r="BC189" s="184">
        <v>2580</v>
      </c>
      <c r="BD189" s="184">
        <v>2580</v>
      </c>
      <c r="BE189" s="184">
        <v>2580</v>
      </c>
      <c r="BF189" s="184">
        <v>2500</v>
      </c>
      <c r="BG189" s="184">
        <v>2500</v>
      </c>
      <c r="BH189" s="184">
        <v>2500</v>
      </c>
      <c r="BI189" s="184"/>
      <c r="BJ189" s="184"/>
      <c r="BK189" s="184"/>
      <c r="BL189" s="184"/>
      <c r="BM189" s="184"/>
      <c r="BN189" s="184"/>
      <c r="BO189" s="184"/>
      <c r="BP189" s="184"/>
      <c r="BQ189" s="184"/>
      <c r="BR189" s="184"/>
      <c r="BS189" s="184"/>
      <c r="BT189" s="184"/>
      <c r="BU189" s="146" cm="1">
        <f t="array" ref="BU189">LOOKUP(2,1/(Y189:BT189&lt;&gt;""),Y189:BH189)</f>
        <v>2500</v>
      </c>
      <c r="BV189" s="145" cm="1">
        <f t="array" aca="1" ref="BV189" ca="1">_xlfn.LET(
    _xlpm.last_col_idx, LOOKUP(2, 1/(Y189:BT189&lt;&gt;""), COLUMN(Y189:BT189) - COLUMN(Y189) + 1),
    _xlpm.header_val, INDEX($Y$3:$BT$3, 1, _xlpm.last_col_idx),
    _xlpm.header_date, IF(ISNUMBER(_xlpm.header_val), _xlpm.header_val, DATEVALUE(_xlpm.header_val)),
    IF(_xlpm.header_date &gt; TODAY(), TODAY(), _xlpm.header_date)
)</f>
        <v>45992</v>
      </c>
      <c r="BW189" s="209" cm="1">
        <f t="array" ref="BW189">(LOOKUP(2,1/(BH189:BT189&lt;&gt;""),BH189:BT189))/(INDEX(BH189:BT189,MATCH(TRUE,INDEX((BH189:BT189&lt;&gt;0),0),0)))-1</f>
        <v>0</v>
      </c>
      <c r="BX189" s="210">
        <f t="shared" si="32"/>
        <v>2.5</v>
      </c>
      <c r="BY189" s="210">
        <f t="shared" si="33"/>
        <v>14.75</v>
      </c>
      <c r="BZ189" s="210">
        <f ca="1">IF(L189="BR",'Impostos e Frete'!$F$6,IF(L189="EU",'Impostos e Frete'!$I$3,IF(L189="CN",'Impostos e Frete'!$I$4,IF(L189="JP",'Impostos e Frete'!$I$5,IF(L189="RU",'Impostos e Frete'!$I$7,"ERRO")))))</f>
        <v>0.1410816</v>
      </c>
      <c r="CA189" s="210">
        <f>VLOOKUP(L189,'Impostos e Frete'!$A$3:$B$7,2,0)*'Preços e Condições'!BY189</f>
        <v>1.9175</v>
      </c>
      <c r="CB189" s="147">
        <f t="shared" si="34"/>
        <v>0</v>
      </c>
      <c r="CC189" s="147">
        <f>IF(X189="BRL",'Impostos e Frete'!$B$11,'Impostos e Frete'!$B$12)</f>
        <v>9.1999999999999998E-2</v>
      </c>
      <c r="CD189" s="211">
        <f t="shared" ca="1" si="35"/>
        <v>16.900581599999999</v>
      </c>
      <c r="CE189" s="212">
        <f t="shared" ca="1" si="36"/>
        <v>1.1830407119999999</v>
      </c>
      <c r="CF189" s="213">
        <f>VLOOKUP(L189,'Impostos e Frete'!$A$3:$C$7,3,0)</f>
        <v>105</v>
      </c>
      <c r="CG189" s="213">
        <f t="shared" si="37"/>
        <v>120</v>
      </c>
      <c r="CH189" s="213">
        <f t="shared" si="38"/>
        <v>15</v>
      </c>
      <c r="CI189" s="214">
        <f t="shared" ca="1" si="39"/>
        <v>-0.12534596942424159</v>
      </c>
      <c r="CJ189" s="215">
        <f t="shared" ca="1" si="40"/>
        <v>16.775235630575757</v>
      </c>
      <c r="CK189" s="216">
        <f t="shared" ca="1" si="41"/>
        <v>1.1742664941403032</v>
      </c>
    </row>
    <row r="190" spans="1:89">
      <c r="A190" s="176">
        <v>17045</v>
      </c>
      <c r="B190" s="177">
        <v>8292</v>
      </c>
      <c r="C190" s="178">
        <v>70</v>
      </c>
      <c r="D190" s="178">
        <v>1920</v>
      </c>
      <c r="E190" s="178" t="s">
        <v>50</v>
      </c>
      <c r="F190" s="179" t="s">
        <v>47</v>
      </c>
      <c r="G190" s="185" t="s">
        <v>302</v>
      </c>
      <c r="H190" s="178" t="s">
        <v>42</v>
      </c>
      <c r="I190" s="178">
        <v>6795</v>
      </c>
      <c r="J190" s="178"/>
      <c r="K190" s="178"/>
      <c r="L190" s="178" t="s">
        <v>59</v>
      </c>
      <c r="M190" s="178">
        <v>120</v>
      </c>
      <c r="N190" s="178">
        <v>300</v>
      </c>
      <c r="O190" s="178"/>
      <c r="P190" s="178"/>
      <c r="Q190" s="178"/>
      <c r="R190" s="178" t="s">
        <v>19</v>
      </c>
      <c r="S190" s="181"/>
      <c r="T190" s="181"/>
      <c r="U190" s="182"/>
      <c r="V190" s="182" t="s">
        <v>35</v>
      </c>
      <c r="W190" s="183">
        <v>50</v>
      </c>
      <c r="X190" s="182" t="s">
        <v>51</v>
      </c>
      <c r="Y190" s="184">
        <v>2560</v>
      </c>
      <c r="Z190" s="184">
        <v>2560</v>
      </c>
      <c r="AA190" s="184">
        <v>2560</v>
      </c>
      <c r="AB190" s="184">
        <v>2560</v>
      </c>
      <c r="AC190" s="184">
        <v>2560</v>
      </c>
      <c r="AD190" s="184">
        <v>2560</v>
      </c>
      <c r="AE190" s="184">
        <v>2190</v>
      </c>
      <c r="AF190" s="184">
        <v>2190</v>
      </c>
      <c r="AG190" s="184">
        <v>2190</v>
      </c>
      <c r="AH190" s="184">
        <v>2040</v>
      </c>
      <c r="AI190" s="184">
        <v>2040</v>
      </c>
      <c r="AJ190" s="184">
        <v>2040</v>
      </c>
      <c r="AK190" s="184">
        <v>2100</v>
      </c>
      <c r="AL190" s="184">
        <v>2100</v>
      </c>
      <c r="AM190" s="184">
        <v>2100</v>
      </c>
      <c r="AN190" s="184">
        <v>2230</v>
      </c>
      <c r="AO190" s="184">
        <v>2230</v>
      </c>
      <c r="AP190" s="184">
        <v>2230</v>
      </c>
      <c r="AQ190" s="184">
        <v>2380</v>
      </c>
      <c r="AR190" s="184">
        <v>2380</v>
      </c>
      <c r="AS190" s="184">
        <v>2380</v>
      </c>
      <c r="AT190" s="184">
        <v>2380</v>
      </c>
      <c r="AU190" s="184">
        <v>2380</v>
      </c>
      <c r="AV190" s="184">
        <v>2380</v>
      </c>
      <c r="AW190" s="184">
        <v>2300</v>
      </c>
      <c r="AX190" s="184">
        <v>2300</v>
      </c>
      <c r="AY190" s="184">
        <v>2300</v>
      </c>
      <c r="AZ190" s="184">
        <v>2100</v>
      </c>
      <c r="BA190" s="184">
        <v>2100</v>
      </c>
      <c r="BB190" s="184">
        <v>2400</v>
      </c>
      <c r="BC190" s="184">
        <v>2400</v>
      </c>
      <c r="BD190" s="184">
        <v>2400</v>
      </c>
      <c r="BE190" s="184">
        <v>2400</v>
      </c>
      <c r="BF190" s="184">
        <v>2320</v>
      </c>
      <c r="BG190" s="184">
        <v>2320</v>
      </c>
      <c r="BH190" s="184">
        <v>2320</v>
      </c>
      <c r="BI190" s="184">
        <v>2350</v>
      </c>
      <c r="BJ190" s="184">
        <v>2350</v>
      </c>
      <c r="BK190" s="184">
        <v>2350</v>
      </c>
      <c r="BL190" s="184">
        <v>2450</v>
      </c>
      <c r="BM190" s="184">
        <v>2450</v>
      </c>
      <c r="BN190" s="184">
        <v>2450</v>
      </c>
      <c r="BO190" s="184">
        <v>2530</v>
      </c>
      <c r="BP190" s="184">
        <v>2530</v>
      </c>
      <c r="BQ190" s="184">
        <v>2530</v>
      </c>
      <c r="BR190" s="184"/>
      <c r="BS190" s="184"/>
      <c r="BT190" s="184"/>
      <c r="BU190" s="146" cm="1">
        <f t="array" ref="BU190">LOOKUP(2,1/(Y190:BT190&lt;&gt;""),Y190:BH190)</f>
        <v>2530</v>
      </c>
      <c r="BV190" s="145" cm="1">
        <f t="array" aca="1" ref="BV190" ca="1">_xlfn.LET(
    _xlpm.last_col_idx, LOOKUP(2, 1/(Y190:BT190&lt;&gt;""), COLUMN(Y190:BT190) - COLUMN(Y190) + 1),
    _xlpm.header_val, INDEX($Y$3:$BT$3, 1, _xlpm.last_col_idx),
    _xlpm.header_date, IF(ISNUMBER(_xlpm.header_val), _xlpm.header_val, DATEVALUE(_xlpm.header_val)),
    IF(_xlpm.header_date &gt; TODAY(), TODAY(), _xlpm.header_date)
)</f>
        <v>46212</v>
      </c>
      <c r="BW190" s="209" cm="1">
        <f t="array" ref="BW190">(LOOKUP(2,1/(BH190:BT190&lt;&gt;""),BH190:BT190))/(INDEX(BH190:BT190,MATCH(TRUE,INDEX((BH190:BT190&lt;&gt;0),0),0)))-1</f>
        <v>9.0517241379310276E-2</v>
      </c>
      <c r="BX190" s="210">
        <f t="shared" si="32"/>
        <v>2.5299999999999998</v>
      </c>
      <c r="BY190" s="210">
        <f t="shared" si="33"/>
        <v>14.927</v>
      </c>
      <c r="BZ190" s="210">
        <f ca="1">IF(L190="BR",'Impostos e Frete'!$F$6,IF(L190="EU",'Impostos e Frete'!$I$3,IF(L190="CN",'Impostos e Frete'!$I$4,IF(L190="JP",'Impostos e Frete'!$I$5,IF(L190="RU",'Impostos e Frete'!$I$7,"ERRO")))))</f>
        <v>0.1410816</v>
      </c>
      <c r="CA190" s="210">
        <f>VLOOKUP(L190,'Impostos e Frete'!$A$3:$B$7,2,0)*'Preços e Condições'!BY190</f>
        <v>1.94051</v>
      </c>
      <c r="CB190" s="147">
        <f t="shared" si="34"/>
        <v>0</v>
      </c>
      <c r="CC190" s="147">
        <f>IF(X190="BRL",'Impostos e Frete'!$B$11,'Impostos e Frete'!$B$12)</f>
        <v>9.1999999999999998E-2</v>
      </c>
      <c r="CD190" s="211">
        <f t="shared" ca="1" si="35"/>
        <v>17.100591599999998</v>
      </c>
      <c r="CE190" s="212">
        <f t="shared" ca="1" si="36"/>
        <v>1.1970414119999999</v>
      </c>
      <c r="CF190" s="213">
        <f>VLOOKUP(L190,'Impostos e Frete'!$A$3:$C$7,3,0)</f>
        <v>105</v>
      </c>
      <c r="CG190" s="213">
        <f t="shared" si="37"/>
        <v>120</v>
      </c>
      <c r="CH190" s="213">
        <f t="shared" si="38"/>
        <v>15</v>
      </c>
      <c r="CI190" s="214">
        <f t="shared" ca="1" si="39"/>
        <v>-0.12682937679671724</v>
      </c>
      <c r="CJ190" s="215">
        <f t="shared" ca="1" si="40"/>
        <v>16.973762223203281</v>
      </c>
      <c r="CK190" s="216">
        <f t="shared" ca="1" si="41"/>
        <v>1.1881633556242297</v>
      </c>
    </row>
    <row r="191" spans="1:89">
      <c r="A191" s="176">
        <v>17045</v>
      </c>
      <c r="B191" s="177">
        <v>8292</v>
      </c>
      <c r="C191" s="178">
        <v>70</v>
      </c>
      <c r="D191" s="178">
        <v>1920</v>
      </c>
      <c r="E191" s="178" t="s">
        <v>50</v>
      </c>
      <c r="F191" s="179" t="s">
        <v>47</v>
      </c>
      <c r="G191" s="185" t="s">
        <v>302</v>
      </c>
      <c r="H191" s="178" t="s">
        <v>42</v>
      </c>
      <c r="I191" s="178">
        <v>6795</v>
      </c>
      <c r="J191" s="178"/>
      <c r="K191" s="178"/>
      <c r="L191" s="178" t="s">
        <v>59</v>
      </c>
      <c r="M191" s="178">
        <v>120</v>
      </c>
      <c r="N191" s="178">
        <v>300</v>
      </c>
      <c r="O191" s="178"/>
      <c r="P191" s="178"/>
      <c r="Q191" s="178"/>
      <c r="R191" s="178" t="s">
        <v>19</v>
      </c>
      <c r="S191" s="181"/>
      <c r="T191" s="181"/>
      <c r="U191" s="182"/>
      <c r="V191" s="182" t="s">
        <v>35</v>
      </c>
      <c r="W191" s="183">
        <v>30</v>
      </c>
      <c r="X191" s="182" t="s">
        <v>51</v>
      </c>
      <c r="Y191" s="184">
        <v>2610</v>
      </c>
      <c r="Z191" s="184">
        <v>2610</v>
      </c>
      <c r="AA191" s="184">
        <v>2610</v>
      </c>
      <c r="AB191" s="184">
        <v>2610</v>
      </c>
      <c r="AC191" s="184">
        <v>2610</v>
      </c>
      <c r="AD191" s="184">
        <v>2610</v>
      </c>
      <c r="AE191" s="184">
        <v>2240</v>
      </c>
      <c r="AF191" s="184">
        <v>2240</v>
      </c>
      <c r="AG191" s="184">
        <v>2240</v>
      </c>
      <c r="AH191" s="184">
        <v>2045</v>
      </c>
      <c r="AI191" s="184">
        <v>2045</v>
      </c>
      <c r="AJ191" s="184">
        <v>2045</v>
      </c>
      <c r="AK191" s="146">
        <f>AK190+50</f>
        <v>2150</v>
      </c>
      <c r="AL191" s="146">
        <f>AL190+50</f>
        <v>2150</v>
      </c>
      <c r="AM191" s="146">
        <f>AM190+50</f>
        <v>2150</v>
      </c>
      <c r="AN191" s="184">
        <v>2280</v>
      </c>
      <c r="AO191" s="184">
        <v>2280</v>
      </c>
      <c r="AP191" s="184">
        <v>2280</v>
      </c>
      <c r="AQ191" s="184">
        <v>2430</v>
      </c>
      <c r="AR191" s="184">
        <v>2430</v>
      </c>
      <c r="AS191" s="184">
        <v>2430</v>
      </c>
      <c r="AT191" s="184">
        <v>2430</v>
      </c>
      <c r="AU191" s="184">
        <v>2430</v>
      </c>
      <c r="AV191" s="184">
        <v>2430</v>
      </c>
      <c r="AW191" s="184">
        <v>2350</v>
      </c>
      <c r="AX191" s="184">
        <v>2350</v>
      </c>
      <c r="AY191" s="184">
        <v>2350</v>
      </c>
      <c r="AZ191" s="184">
        <v>2150</v>
      </c>
      <c r="BA191" s="184">
        <v>2150</v>
      </c>
      <c r="BB191" s="184">
        <v>2450</v>
      </c>
      <c r="BC191" s="184">
        <v>2450</v>
      </c>
      <c r="BD191" s="184">
        <v>2450</v>
      </c>
      <c r="BE191" s="184">
        <v>2450</v>
      </c>
      <c r="BF191" s="184">
        <v>2370</v>
      </c>
      <c r="BG191" s="184">
        <v>2370</v>
      </c>
      <c r="BH191" s="184">
        <v>2370</v>
      </c>
      <c r="BI191" s="184"/>
      <c r="BJ191" s="184"/>
      <c r="BK191" s="184"/>
      <c r="BL191" s="184"/>
      <c r="BM191" s="184"/>
      <c r="BN191" s="184"/>
      <c r="BO191" s="184"/>
      <c r="BP191" s="184"/>
      <c r="BQ191" s="184"/>
      <c r="BR191" s="184"/>
      <c r="BS191" s="184"/>
      <c r="BT191" s="184"/>
      <c r="BU191" s="146" cm="1">
        <f t="array" ref="BU191">LOOKUP(2,1/(Y191:BT191&lt;&gt;""),Y191:BH191)</f>
        <v>2370</v>
      </c>
      <c r="BV191" s="145" cm="1">
        <f t="array" aca="1" ref="BV191" ca="1">_xlfn.LET(
    _xlpm.last_col_idx, LOOKUP(2, 1/(Y191:BT191&lt;&gt;""), COLUMN(Y191:BT191) - COLUMN(Y191) + 1),
    _xlpm.header_val, INDEX($Y$3:$BT$3, 1, _xlpm.last_col_idx),
    _xlpm.header_date, IF(ISNUMBER(_xlpm.header_val), _xlpm.header_val, DATEVALUE(_xlpm.header_val)),
    IF(_xlpm.header_date &gt; TODAY(), TODAY(), _xlpm.header_date)
)</f>
        <v>45992</v>
      </c>
      <c r="BW191" s="209" cm="1">
        <f t="array" ref="BW191">(LOOKUP(2,1/(BH191:BT191&lt;&gt;""),BH191:BT191))/(INDEX(BH191:BT191,MATCH(TRUE,INDEX((BH191:BT191&lt;&gt;0),0),0)))-1</f>
        <v>0</v>
      </c>
      <c r="BX191" s="210">
        <f t="shared" si="32"/>
        <v>2.37</v>
      </c>
      <c r="BY191" s="210">
        <f t="shared" si="33"/>
        <v>13.983000000000002</v>
      </c>
      <c r="BZ191" s="210">
        <f ca="1">IF(L191="BR",'Impostos e Frete'!$F$6,IF(L191="EU",'Impostos e Frete'!$I$3,IF(L191="CN",'Impostos e Frete'!$I$4,IF(L191="JP",'Impostos e Frete'!$I$5,IF(L191="RU",'Impostos e Frete'!$I$7,"ERRO")))))</f>
        <v>0.1410816</v>
      </c>
      <c r="CA191" s="210">
        <f>VLOOKUP(L191,'Impostos e Frete'!$A$3:$B$7,2,0)*'Preços e Condições'!BY191</f>
        <v>1.8177900000000005</v>
      </c>
      <c r="CB191" s="147">
        <f t="shared" si="34"/>
        <v>0</v>
      </c>
      <c r="CC191" s="147">
        <f>IF(X191="BRL",'Impostos e Frete'!$B$11,'Impostos e Frete'!$B$12)</f>
        <v>9.1999999999999998E-2</v>
      </c>
      <c r="CD191" s="211">
        <f t="shared" ca="1" si="35"/>
        <v>16.033871600000001</v>
      </c>
      <c r="CE191" s="212">
        <f t="shared" ca="1" si="36"/>
        <v>1.1223710120000001</v>
      </c>
      <c r="CF191" s="213">
        <f>VLOOKUP(L191,'Impostos e Frete'!$A$3:$C$7,3,0)</f>
        <v>105</v>
      </c>
      <c r="CG191" s="213">
        <f t="shared" si="37"/>
        <v>120</v>
      </c>
      <c r="CH191" s="213">
        <f t="shared" si="38"/>
        <v>15</v>
      </c>
      <c r="CI191" s="214">
        <f t="shared" ca="1" si="39"/>
        <v>-0.11891787081018634</v>
      </c>
      <c r="CJ191" s="215">
        <f t="shared" ca="1" si="40"/>
        <v>15.914953729189815</v>
      </c>
      <c r="CK191" s="216">
        <f t="shared" ca="1" si="41"/>
        <v>1.1140467610432871</v>
      </c>
    </row>
    <row r="192" spans="1:89">
      <c r="A192" s="176">
        <v>17045</v>
      </c>
      <c r="B192" s="177">
        <v>8292</v>
      </c>
      <c r="C192" s="178">
        <v>70</v>
      </c>
      <c r="D192" s="178">
        <v>1920</v>
      </c>
      <c r="E192" s="178" t="s">
        <v>50</v>
      </c>
      <c r="F192" s="179" t="s">
        <v>47</v>
      </c>
      <c r="G192" s="185" t="s">
        <v>302</v>
      </c>
      <c r="H192" s="178" t="s">
        <v>42</v>
      </c>
      <c r="I192" s="178">
        <v>6795</v>
      </c>
      <c r="J192" s="178"/>
      <c r="K192" s="178"/>
      <c r="L192" s="178" t="s">
        <v>59</v>
      </c>
      <c r="M192" s="178">
        <v>120</v>
      </c>
      <c r="N192" s="178">
        <v>300</v>
      </c>
      <c r="O192" s="178"/>
      <c r="P192" s="178"/>
      <c r="Q192" s="178"/>
      <c r="R192" s="178" t="s">
        <v>19</v>
      </c>
      <c r="S192" s="181"/>
      <c r="T192" s="181"/>
      <c r="U192" s="182"/>
      <c r="V192" s="182" t="s">
        <v>35</v>
      </c>
      <c r="W192" s="183">
        <v>20</v>
      </c>
      <c r="X192" s="182" t="s">
        <v>51</v>
      </c>
      <c r="Y192" s="184">
        <v>2660</v>
      </c>
      <c r="Z192" s="184">
        <v>2660</v>
      </c>
      <c r="AA192" s="184">
        <v>2660</v>
      </c>
      <c r="AB192" s="184">
        <v>2660</v>
      </c>
      <c r="AC192" s="184">
        <v>2660</v>
      </c>
      <c r="AD192" s="184">
        <v>2660</v>
      </c>
      <c r="AE192" s="184">
        <v>2290</v>
      </c>
      <c r="AF192" s="184">
        <v>2290</v>
      </c>
      <c r="AG192" s="184">
        <v>2290</v>
      </c>
      <c r="AH192" s="184">
        <v>2050</v>
      </c>
      <c r="AI192" s="184">
        <v>2050</v>
      </c>
      <c r="AJ192" s="184">
        <v>2050</v>
      </c>
      <c r="AK192" s="146">
        <f>AK190+100</f>
        <v>2200</v>
      </c>
      <c r="AL192" s="146">
        <f>AL190+100</f>
        <v>2200</v>
      </c>
      <c r="AM192" s="146">
        <f>AM190+100</f>
        <v>2200</v>
      </c>
      <c r="AN192" s="184">
        <v>2330</v>
      </c>
      <c r="AO192" s="184">
        <v>2330</v>
      </c>
      <c r="AP192" s="184">
        <v>2330</v>
      </c>
      <c r="AQ192" s="184">
        <v>2480</v>
      </c>
      <c r="AR192" s="184">
        <v>2480</v>
      </c>
      <c r="AS192" s="184">
        <v>2480</v>
      </c>
      <c r="AT192" s="184">
        <v>2480</v>
      </c>
      <c r="AU192" s="184">
        <v>2480</v>
      </c>
      <c r="AV192" s="184">
        <v>2480</v>
      </c>
      <c r="AW192" s="184">
        <v>2400</v>
      </c>
      <c r="AX192" s="184">
        <v>2400</v>
      </c>
      <c r="AY192" s="184">
        <v>2400</v>
      </c>
      <c r="AZ192" s="184">
        <v>2200</v>
      </c>
      <c r="BA192" s="184">
        <v>2200</v>
      </c>
      <c r="BB192" s="184">
        <v>2500</v>
      </c>
      <c r="BC192" s="184">
        <v>2500</v>
      </c>
      <c r="BD192" s="184">
        <v>2500</v>
      </c>
      <c r="BE192" s="184">
        <v>2500</v>
      </c>
      <c r="BF192" s="184">
        <v>2420</v>
      </c>
      <c r="BG192" s="184">
        <v>2420</v>
      </c>
      <c r="BH192" s="184">
        <v>2420</v>
      </c>
      <c r="BI192" s="184"/>
      <c r="BJ192" s="184"/>
      <c r="BK192" s="184"/>
      <c r="BL192" s="184"/>
      <c r="BM192" s="184"/>
      <c r="BN192" s="184"/>
      <c r="BO192" s="184"/>
      <c r="BP192" s="184"/>
      <c r="BQ192" s="184"/>
      <c r="BR192" s="184"/>
      <c r="BS192" s="184"/>
      <c r="BT192" s="184"/>
      <c r="BU192" s="146" cm="1">
        <f t="array" ref="BU192">LOOKUP(2,1/(Y192:BT192&lt;&gt;""),Y192:BH192)</f>
        <v>2420</v>
      </c>
      <c r="BV192" s="145" cm="1">
        <f t="array" aca="1" ref="BV192" ca="1">_xlfn.LET(
    _xlpm.last_col_idx, LOOKUP(2, 1/(Y192:BT192&lt;&gt;""), COLUMN(Y192:BT192) - COLUMN(Y192) + 1),
    _xlpm.header_val, INDEX($Y$3:$BT$3, 1, _xlpm.last_col_idx),
    _xlpm.header_date, IF(ISNUMBER(_xlpm.header_val), _xlpm.header_val, DATEVALUE(_xlpm.header_val)),
    IF(_xlpm.header_date &gt; TODAY(), TODAY(), _xlpm.header_date)
)</f>
        <v>45992</v>
      </c>
      <c r="BW192" s="209" cm="1">
        <f t="array" ref="BW192">(LOOKUP(2,1/(BH192:BT192&lt;&gt;""),BH192:BT192))/(INDEX(BH192:BT192,MATCH(TRUE,INDEX((BH192:BT192&lt;&gt;0),0),0)))-1</f>
        <v>0</v>
      </c>
      <c r="BX192" s="210">
        <f t="shared" si="32"/>
        <v>2.42</v>
      </c>
      <c r="BY192" s="210">
        <f t="shared" si="33"/>
        <v>14.278</v>
      </c>
      <c r="BZ192" s="210">
        <f ca="1">IF(L192="BR",'Impostos e Frete'!$F$6,IF(L192="EU",'Impostos e Frete'!$I$3,IF(L192="CN",'Impostos e Frete'!$I$4,IF(L192="JP",'Impostos e Frete'!$I$5,IF(L192="RU",'Impostos e Frete'!$I$7,"ERRO")))))</f>
        <v>0.1410816</v>
      </c>
      <c r="CA192" s="210">
        <f>VLOOKUP(L192,'Impostos e Frete'!$A$3:$B$7,2,0)*'Preços e Condições'!BY192</f>
        <v>1.8561400000000001</v>
      </c>
      <c r="CB192" s="147">
        <f t="shared" si="34"/>
        <v>0</v>
      </c>
      <c r="CC192" s="147">
        <f>IF(X192="BRL",'Impostos e Frete'!$B$11,'Impostos e Frete'!$B$12)</f>
        <v>9.1999999999999998E-2</v>
      </c>
      <c r="CD192" s="211">
        <f t="shared" ca="1" si="35"/>
        <v>16.367221600000001</v>
      </c>
      <c r="CE192" s="212">
        <f t="shared" ca="1" si="36"/>
        <v>1.1457055120000001</v>
      </c>
      <c r="CF192" s="213">
        <f>VLOOKUP(L192,'Impostos e Frete'!$A$3:$C$7,3,0)</f>
        <v>105</v>
      </c>
      <c r="CG192" s="213">
        <f t="shared" si="37"/>
        <v>120</v>
      </c>
      <c r="CH192" s="213">
        <f t="shared" si="38"/>
        <v>15</v>
      </c>
      <c r="CI192" s="214">
        <f t="shared" ca="1" si="39"/>
        <v>-0.12139021643097792</v>
      </c>
      <c r="CJ192" s="215">
        <f t="shared" ca="1" si="40"/>
        <v>16.245831383569023</v>
      </c>
      <c r="CK192" s="216">
        <f t="shared" ca="1" si="41"/>
        <v>1.1372081968498315</v>
      </c>
    </row>
    <row r="193" spans="1:89">
      <c r="A193" s="176">
        <v>17045</v>
      </c>
      <c r="B193" s="177">
        <v>8292</v>
      </c>
      <c r="C193" s="178">
        <v>70</v>
      </c>
      <c r="D193" s="178">
        <v>1920</v>
      </c>
      <c r="E193" s="178" t="s">
        <v>50</v>
      </c>
      <c r="F193" s="179" t="s">
        <v>47</v>
      </c>
      <c r="G193" s="185" t="s">
        <v>302</v>
      </c>
      <c r="H193" s="178" t="s">
        <v>42</v>
      </c>
      <c r="I193" s="178">
        <v>6795</v>
      </c>
      <c r="J193" s="178"/>
      <c r="K193" s="178"/>
      <c r="L193" s="178" t="s">
        <v>59</v>
      </c>
      <c r="M193" s="178">
        <v>120</v>
      </c>
      <c r="N193" s="178">
        <v>300</v>
      </c>
      <c r="O193" s="178"/>
      <c r="P193" s="178"/>
      <c r="Q193" s="178"/>
      <c r="R193" s="178" t="s">
        <v>19</v>
      </c>
      <c r="S193" s="181"/>
      <c r="T193" s="181"/>
      <c r="U193" s="182"/>
      <c r="V193" s="182" t="s">
        <v>35</v>
      </c>
      <c r="W193" s="183">
        <v>10</v>
      </c>
      <c r="X193" s="182" t="s">
        <v>51</v>
      </c>
      <c r="Y193" s="184">
        <v>2740</v>
      </c>
      <c r="Z193" s="184">
        <v>2740</v>
      </c>
      <c r="AA193" s="184">
        <v>2740</v>
      </c>
      <c r="AB193" s="184">
        <v>2740</v>
      </c>
      <c r="AC193" s="184">
        <v>2740</v>
      </c>
      <c r="AD193" s="184">
        <v>2740</v>
      </c>
      <c r="AE193" s="184">
        <v>2370</v>
      </c>
      <c r="AF193" s="184">
        <v>2370</v>
      </c>
      <c r="AG193" s="184">
        <v>2370</v>
      </c>
      <c r="AH193" s="184">
        <v>2058</v>
      </c>
      <c r="AI193" s="184">
        <v>2058</v>
      </c>
      <c r="AJ193" s="184">
        <v>2058</v>
      </c>
      <c r="AK193" s="146">
        <f>AK190+180</f>
        <v>2280</v>
      </c>
      <c r="AL193" s="146">
        <f>AL190+180</f>
        <v>2280</v>
      </c>
      <c r="AM193" s="146">
        <f>AM190+180</f>
        <v>2280</v>
      </c>
      <c r="AN193" s="184">
        <v>2410</v>
      </c>
      <c r="AO193" s="184">
        <v>2410</v>
      </c>
      <c r="AP193" s="184">
        <v>2410</v>
      </c>
      <c r="AQ193" s="184">
        <v>2560</v>
      </c>
      <c r="AR193" s="184">
        <v>2560</v>
      </c>
      <c r="AS193" s="184">
        <v>2560</v>
      </c>
      <c r="AT193" s="184">
        <v>2560</v>
      </c>
      <c r="AU193" s="184">
        <v>2560</v>
      </c>
      <c r="AV193" s="184">
        <v>2560</v>
      </c>
      <c r="AW193" s="184">
        <v>2480</v>
      </c>
      <c r="AX193" s="184">
        <v>2480</v>
      </c>
      <c r="AY193" s="184">
        <v>2480</v>
      </c>
      <c r="AZ193" s="184">
        <v>2280</v>
      </c>
      <c r="BA193" s="184">
        <v>2280</v>
      </c>
      <c r="BB193" s="184">
        <v>2580</v>
      </c>
      <c r="BC193" s="184">
        <v>2580</v>
      </c>
      <c r="BD193" s="184">
        <v>2580</v>
      </c>
      <c r="BE193" s="184">
        <v>2580</v>
      </c>
      <c r="BF193" s="184">
        <v>2500</v>
      </c>
      <c r="BG193" s="184">
        <v>2500</v>
      </c>
      <c r="BH193" s="184">
        <v>2500</v>
      </c>
      <c r="BI193" s="184"/>
      <c r="BJ193" s="184"/>
      <c r="BK193" s="184"/>
      <c r="BL193" s="184"/>
      <c r="BM193" s="184"/>
      <c r="BN193" s="184"/>
      <c r="BO193" s="184"/>
      <c r="BP193" s="184"/>
      <c r="BQ193" s="184"/>
      <c r="BR193" s="184"/>
      <c r="BS193" s="184"/>
      <c r="BT193" s="184"/>
      <c r="BU193" s="146" cm="1">
        <f t="array" ref="BU193">LOOKUP(2,1/(Y193:BT193&lt;&gt;""),Y193:BH193)</f>
        <v>2500</v>
      </c>
      <c r="BV193" s="145" cm="1">
        <f t="array" aca="1" ref="BV193" ca="1">_xlfn.LET(
    _xlpm.last_col_idx, LOOKUP(2, 1/(Y193:BT193&lt;&gt;""), COLUMN(Y193:BT193) - COLUMN(Y193) + 1),
    _xlpm.header_val, INDEX($Y$3:$BT$3, 1, _xlpm.last_col_idx),
    _xlpm.header_date, IF(ISNUMBER(_xlpm.header_val), _xlpm.header_val, DATEVALUE(_xlpm.header_val)),
    IF(_xlpm.header_date &gt; TODAY(), TODAY(), _xlpm.header_date)
)</f>
        <v>45992</v>
      </c>
      <c r="BW193" s="209" cm="1">
        <f t="array" ref="BW193">(LOOKUP(2,1/(BH193:BT193&lt;&gt;""),BH193:BT193))/(INDEX(BH193:BT193,MATCH(TRUE,INDEX((BH193:BT193&lt;&gt;0),0),0)))-1</f>
        <v>0</v>
      </c>
      <c r="BX193" s="210">
        <f t="shared" si="32"/>
        <v>2.5</v>
      </c>
      <c r="BY193" s="210">
        <f t="shared" si="33"/>
        <v>14.75</v>
      </c>
      <c r="BZ193" s="210">
        <f ca="1">IF(L193="BR",'Impostos e Frete'!$F$6,IF(L193="EU",'Impostos e Frete'!$I$3,IF(L193="CN",'Impostos e Frete'!$I$4,IF(L193="JP",'Impostos e Frete'!$I$5,IF(L193="RU",'Impostos e Frete'!$I$7,"ERRO")))))</f>
        <v>0.1410816</v>
      </c>
      <c r="CA193" s="210">
        <f>VLOOKUP(L193,'Impostos e Frete'!$A$3:$B$7,2,0)*'Preços e Condições'!BY193</f>
        <v>1.9175</v>
      </c>
      <c r="CB193" s="147">
        <f t="shared" si="34"/>
        <v>0</v>
      </c>
      <c r="CC193" s="147">
        <f>IF(X193="BRL",'Impostos e Frete'!$B$11,'Impostos e Frete'!$B$12)</f>
        <v>9.1999999999999998E-2</v>
      </c>
      <c r="CD193" s="211">
        <f t="shared" ca="1" si="35"/>
        <v>16.900581599999999</v>
      </c>
      <c r="CE193" s="212">
        <f t="shared" ca="1" si="36"/>
        <v>1.1830407119999999</v>
      </c>
      <c r="CF193" s="213">
        <f>VLOOKUP(L193,'Impostos e Frete'!$A$3:$C$7,3,0)</f>
        <v>105</v>
      </c>
      <c r="CG193" s="213">
        <f t="shared" si="37"/>
        <v>120</v>
      </c>
      <c r="CH193" s="213">
        <f t="shared" si="38"/>
        <v>15</v>
      </c>
      <c r="CI193" s="214">
        <f t="shared" ca="1" si="39"/>
        <v>-0.12534596942424159</v>
      </c>
      <c r="CJ193" s="215">
        <f t="shared" ca="1" si="40"/>
        <v>16.775235630575757</v>
      </c>
      <c r="CK193" s="216">
        <f t="shared" ca="1" si="41"/>
        <v>1.1742664941403032</v>
      </c>
    </row>
    <row r="194" spans="1:89">
      <c r="A194" s="176">
        <v>17048</v>
      </c>
      <c r="B194" s="177" t="s">
        <v>346</v>
      </c>
      <c r="C194" s="178">
        <v>68</v>
      </c>
      <c r="D194" s="178">
        <v>1870</v>
      </c>
      <c r="E194" s="178" t="s">
        <v>50</v>
      </c>
      <c r="F194" s="179" t="s">
        <v>47</v>
      </c>
      <c r="G194" s="185" t="s">
        <v>94</v>
      </c>
      <c r="H194" s="178" t="s">
        <v>43</v>
      </c>
      <c r="I194" s="178" t="s">
        <v>41</v>
      </c>
      <c r="J194" s="178"/>
      <c r="K194" s="178"/>
      <c r="L194" s="178" t="s">
        <v>59</v>
      </c>
      <c r="M194" s="178">
        <v>120</v>
      </c>
      <c r="N194" s="178">
        <v>300</v>
      </c>
      <c r="O194" s="178"/>
      <c r="P194" s="178"/>
      <c r="Q194" s="178"/>
      <c r="R194" s="178" t="s">
        <v>19</v>
      </c>
      <c r="S194" s="181"/>
      <c r="T194" s="181"/>
      <c r="U194" s="182"/>
      <c r="V194" s="182" t="s">
        <v>35</v>
      </c>
      <c r="W194" s="183">
        <v>100</v>
      </c>
      <c r="X194" s="182" t="s">
        <v>51</v>
      </c>
      <c r="Y194" s="184">
        <v>3040</v>
      </c>
      <c r="Z194" s="184">
        <v>3040</v>
      </c>
      <c r="AA194" s="184">
        <v>3040</v>
      </c>
      <c r="AB194" s="184">
        <v>3040</v>
      </c>
      <c r="AC194" s="184">
        <v>3040</v>
      </c>
      <c r="AD194" s="184">
        <v>3040</v>
      </c>
      <c r="AE194" s="184">
        <v>2350</v>
      </c>
      <c r="AF194" s="184">
        <v>2350</v>
      </c>
      <c r="AG194" s="184">
        <v>2350</v>
      </c>
      <c r="AH194" s="184">
        <v>2200</v>
      </c>
      <c r="AI194" s="184">
        <v>2200</v>
      </c>
      <c r="AJ194" s="184">
        <v>2200</v>
      </c>
      <c r="AK194" s="184">
        <v>2260</v>
      </c>
      <c r="AL194" s="184">
        <v>2260</v>
      </c>
      <c r="AM194" s="184">
        <v>2260</v>
      </c>
      <c r="AN194" s="184">
        <v>2390</v>
      </c>
      <c r="AO194" s="184">
        <v>2390</v>
      </c>
      <c r="AP194" s="184">
        <v>2390</v>
      </c>
      <c r="AQ194" s="184">
        <v>2540</v>
      </c>
      <c r="AR194" s="184">
        <v>2540</v>
      </c>
      <c r="AS194" s="184">
        <v>2540</v>
      </c>
      <c r="AT194" s="184">
        <v>2540</v>
      </c>
      <c r="AU194" s="184">
        <v>2540</v>
      </c>
      <c r="AV194" s="184">
        <v>2540</v>
      </c>
      <c r="AW194" s="184">
        <v>2460</v>
      </c>
      <c r="AX194" s="184">
        <v>2460</v>
      </c>
      <c r="AY194" s="184">
        <v>2460</v>
      </c>
      <c r="AZ194" s="184">
        <v>2220</v>
      </c>
      <c r="BA194" s="184">
        <v>2220</v>
      </c>
      <c r="BB194" s="184">
        <v>2350</v>
      </c>
      <c r="BC194" s="184">
        <v>2350</v>
      </c>
      <c r="BD194" s="184">
        <v>2350</v>
      </c>
      <c r="BE194" s="184">
        <v>2350</v>
      </c>
      <c r="BF194" s="184">
        <v>2300</v>
      </c>
      <c r="BG194" s="184">
        <v>2300</v>
      </c>
      <c r="BH194" s="184">
        <v>2300</v>
      </c>
      <c r="BI194" s="184">
        <v>2300</v>
      </c>
      <c r="BJ194" s="184">
        <v>2300</v>
      </c>
      <c r="BK194" s="184">
        <v>2300</v>
      </c>
      <c r="BL194" s="184">
        <v>2400</v>
      </c>
      <c r="BM194" s="184">
        <v>2400</v>
      </c>
      <c r="BN194" s="184">
        <v>2400</v>
      </c>
      <c r="BO194" s="184">
        <v>2480</v>
      </c>
      <c r="BP194" s="184">
        <v>2480</v>
      </c>
      <c r="BQ194" s="184">
        <v>2480</v>
      </c>
      <c r="BR194" s="184"/>
      <c r="BS194" s="184"/>
      <c r="BT194" s="184"/>
      <c r="BU194" s="146" cm="1">
        <f t="array" ref="BU194">LOOKUP(2,1/(Y194:BT194&lt;&gt;""),Y194:BH194)</f>
        <v>2480</v>
      </c>
      <c r="BV194" s="145" cm="1">
        <f t="array" aca="1" ref="BV194" ca="1">_xlfn.LET(
    _xlpm.last_col_idx, LOOKUP(2, 1/(Y194:BT194&lt;&gt;""), COLUMN(Y194:BT194) - COLUMN(Y194) + 1),
    _xlpm.header_val, INDEX($Y$3:$BT$3, 1, _xlpm.last_col_idx),
    _xlpm.header_date, IF(ISNUMBER(_xlpm.header_val), _xlpm.header_val, DATEVALUE(_xlpm.header_val)),
    IF(_xlpm.header_date &gt; TODAY(), TODAY(), _xlpm.header_date)
)</f>
        <v>46212</v>
      </c>
      <c r="BW194" s="209" cm="1">
        <f t="array" ref="BW194">(LOOKUP(2,1/(BH194:BT194&lt;&gt;""),BH194:BT194))/(INDEX(BH194:BT194,MATCH(TRUE,INDEX((BH194:BT194&lt;&gt;0),0),0)))-1</f>
        <v>7.8260869565217384E-2</v>
      </c>
      <c r="BX194" s="210">
        <f t="shared" si="32"/>
        <v>2.48</v>
      </c>
      <c r="BY194" s="210">
        <f t="shared" si="33"/>
        <v>14.632000000000001</v>
      </c>
      <c r="BZ194" s="210">
        <f ca="1">IF(L194="BR",'Impostos e Frete'!$F$6,IF(L194="EU",'Impostos e Frete'!$I$3,IF(L194="CN",'Impostos e Frete'!$I$4,IF(L194="JP",'Impostos e Frete'!$I$5,IF(L194="RU",'Impostos e Frete'!$I$7,"ERRO")))))</f>
        <v>0.1410816</v>
      </c>
      <c r="CA194" s="210">
        <f>VLOOKUP(L194,'Impostos e Frete'!$A$3:$B$7,2,0)*'Preços e Condições'!BY194</f>
        <v>1.9021600000000003</v>
      </c>
      <c r="CB194" s="147">
        <f t="shared" si="34"/>
        <v>0</v>
      </c>
      <c r="CC194" s="147">
        <f>IF(X194="BRL",'Impostos e Frete'!$B$11,'Impostos e Frete'!$B$12)</f>
        <v>9.1999999999999998E-2</v>
      </c>
      <c r="CD194" s="211">
        <f t="shared" ca="1" si="35"/>
        <v>16.767241599999998</v>
      </c>
      <c r="CE194" s="212">
        <f t="shared" ca="1" si="36"/>
        <v>1.1401724287999999</v>
      </c>
      <c r="CF194" s="213">
        <f>VLOOKUP(L194,'Impostos e Frete'!$A$3:$C$7,3,0)</f>
        <v>105</v>
      </c>
      <c r="CG194" s="213">
        <f t="shared" si="37"/>
        <v>120</v>
      </c>
      <c r="CH194" s="213">
        <f t="shared" si="38"/>
        <v>15</v>
      </c>
      <c r="CI194" s="214">
        <f t="shared" ca="1" si="39"/>
        <v>-0.12435703117592567</v>
      </c>
      <c r="CJ194" s="215">
        <f t="shared" ca="1" si="40"/>
        <v>16.642884568824073</v>
      </c>
      <c r="CK194" s="216">
        <f t="shared" ca="1" si="41"/>
        <v>1.1317161506800368</v>
      </c>
    </row>
    <row r="195" spans="1:89">
      <c r="A195" s="176">
        <v>17048</v>
      </c>
      <c r="B195" s="177" t="s">
        <v>346</v>
      </c>
      <c r="C195" s="178">
        <v>68</v>
      </c>
      <c r="D195" s="178">
        <v>1870</v>
      </c>
      <c r="E195" s="178" t="s">
        <v>50</v>
      </c>
      <c r="F195" s="179" t="s">
        <v>47</v>
      </c>
      <c r="G195" s="185" t="s">
        <v>94</v>
      </c>
      <c r="H195" s="178" t="s">
        <v>43</v>
      </c>
      <c r="I195" s="178" t="s">
        <v>41</v>
      </c>
      <c r="J195" s="178"/>
      <c r="K195" s="178"/>
      <c r="L195" s="178" t="s">
        <v>59</v>
      </c>
      <c r="M195" s="178">
        <v>120</v>
      </c>
      <c r="N195" s="178">
        <v>300</v>
      </c>
      <c r="O195" s="178"/>
      <c r="P195" s="178"/>
      <c r="Q195" s="178"/>
      <c r="R195" s="178" t="s">
        <v>19</v>
      </c>
      <c r="S195" s="181"/>
      <c r="T195" s="181"/>
      <c r="U195" s="182"/>
      <c r="V195" s="182" t="s">
        <v>35</v>
      </c>
      <c r="W195" s="183">
        <v>50</v>
      </c>
      <c r="X195" s="182" t="s">
        <v>51</v>
      </c>
      <c r="Y195" s="184">
        <v>3040</v>
      </c>
      <c r="Z195" s="184">
        <v>3040</v>
      </c>
      <c r="AA195" s="184">
        <v>3040</v>
      </c>
      <c r="AB195" s="184">
        <v>3040</v>
      </c>
      <c r="AC195" s="184">
        <v>3040</v>
      </c>
      <c r="AD195" s="184">
        <v>3040</v>
      </c>
      <c r="AE195" s="184">
        <v>2350</v>
      </c>
      <c r="AF195" s="184">
        <v>2350</v>
      </c>
      <c r="AG195" s="184">
        <v>2350</v>
      </c>
      <c r="AH195" s="184">
        <v>2200</v>
      </c>
      <c r="AI195" s="184">
        <v>2200</v>
      </c>
      <c r="AJ195" s="184">
        <v>2200</v>
      </c>
      <c r="AK195" s="184">
        <v>2260</v>
      </c>
      <c r="AL195" s="184">
        <v>2260</v>
      </c>
      <c r="AM195" s="184">
        <v>2260</v>
      </c>
      <c r="AN195" s="184">
        <v>2390</v>
      </c>
      <c r="AO195" s="184">
        <v>2390</v>
      </c>
      <c r="AP195" s="184">
        <v>2390</v>
      </c>
      <c r="AQ195" s="184">
        <v>2540</v>
      </c>
      <c r="AR195" s="184">
        <v>2540</v>
      </c>
      <c r="AS195" s="184">
        <v>2540</v>
      </c>
      <c r="AT195" s="184">
        <v>2540</v>
      </c>
      <c r="AU195" s="184">
        <v>2540</v>
      </c>
      <c r="AV195" s="184">
        <v>2540</v>
      </c>
      <c r="AW195" s="184">
        <v>2460</v>
      </c>
      <c r="AX195" s="184">
        <v>2460</v>
      </c>
      <c r="AY195" s="184">
        <v>2460</v>
      </c>
      <c r="AZ195" s="184">
        <v>2220</v>
      </c>
      <c r="BA195" s="184">
        <v>2220</v>
      </c>
      <c r="BB195" s="184">
        <v>2350</v>
      </c>
      <c r="BC195" s="184">
        <v>2350</v>
      </c>
      <c r="BD195" s="184">
        <v>2350</v>
      </c>
      <c r="BE195" s="184">
        <v>2350</v>
      </c>
      <c r="BF195" s="184">
        <v>2300</v>
      </c>
      <c r="BG195" s="184">
        <v>2300</v>
      </c>
      <c r="BH195" s="184">
        <v>2300</v>
      </c>
      <c r="BI195" s="184">
        <v>2320</v>
      </c>
      <c r="BJ195" s="184">
        <v>2320</v>
      </c>
      <c r="BK195" s="184">
        <v>2320</v>
      </c>
      <c r="BL195" s="184">
        <v>2420</v>
      </c>
      <c r="BM195" s="184">
        <v>2420</v>
      </c>
      <c r="BN195" s="184">
        <v>2420</v>
      </c>
      <c r="BO195" s="184">
        <v>2500</v>
      </c>
      <c r="BP195" s="184">
        <v>2500</v>
      </c>
      <c r="BQ195" s="184">
        <v>2500</v>
      </c>
      <c r="BR195" s="184"/>
      <c r="BS195" s="184"/>
      <c r="BT195" s="184"/>
      <c r="BU195" s="146" cm="1">
        <f t="array" ref="BU195">LOOKUP(2,1/(Y195:BT195&lt;&gt;""),Y195:BH195)</f>
        <v>2500</v>
      </c>
      <c r="BV195" s="145" cm="1">
        <f t="array" aca="1" ref="BV195" ca="1">_xlfn.LET(
    _xlpm.last_col_idx, LOOKUP(2, 1/(Y195:BT195&lt;&gt;""), COLUMN(Y195:BT195) - COLUMN(Y195) + 1),
    _xlpm.header_val, INDEX($Y$3:$BT$3, 1, _xlpm.last_col_idx),
    _xlpm.header_date, IF(ISNUMBER(_xlpm.header_val), _xlpm.header_val, DATEVALUE(_xlpm.header_val)),
    IF(_xlpm.header_date &gt; TODAY(), TODAY(), _xlpm.header_date)
)</f>
        <v>46212</v>
      </c>
      <c r="BW195" s="209" cm="1">
        <f t="array" ref="BW195">(LOOKUP(2,1/(BH195:BT195&lt;&gt;""),BH195:BT195))/(INDEX(BH195:BT195,MATCH(TRUE,INDEX((BH195:BT195&lt;&gt;0),0),0)))-1</f>
        <v>8.6956521739130377E-2</v>
      </c>
      <c r="BX195" s="210">
        <f t="shared" si="32"/>
        <v>2.5</v>
      </c>
      <c r="BY195" s="210">
        <f t="shared" si="33"/>
        <v>14.75</v>
      </c>
      <c r="BZ195" s="210">
        <f ca="1">IF(L195="BR",'Impostos e Frete'!$F$6,IF(L195="EU",'Impostos e Frete'!$I$3,IF(L195="CN",'Impostos e Frete'!$I$4,IF(L195="JP",'Impostos e Frete'!$I$5,IF(L195="RU",'Impostos e Frete'!$I$7,"ERRO")))))</f>
        <v>0.1410816</v>
      </c>
      <c r="CA195" s="210">
        <f>VLOOKUP(L195,'Impostos e Frete'!$A$3:$B$7,2,0)*'Preços e Condições'!BY195</f>
        <v>1.9175</v>
      </c>
      <c r="CB195" s="147">
        <f t="shared" si="34"/>
        <v>0</v>
      </c>
      <c r="CC195" s="147">
        <f>IF(X195="BRL",'Impostos e Frete'!$B$11,'Impostos e Frete'!$B$12)</f>
        <v>9.1999999999999998E-2</v>
      </c>
      <c r="CD195" s="211">
        <f t="shared" ca="1" si="35"/>
        <v>16.900581599999999</v>
      </c>
      <c r="CE195" s="212">
        <f t="shared" ca="1" si="36"/>
        <v>1.1492395488</v>
      </c>
      <c r="CF195" s="213">
        <f>VLOOKUP(L195,'Impostos e Frete'!$A$3:$C$7,3,0)</f>
        <v>105</v>
      </c>
      <c r="CG195" s="213">
        <f t="shared" si="37"/>
        <v>120</v>
      </c>
      <c r="CH195" s="213">
        <f t="shared" si="38"/>
        <v>15</v>
      </c>
      <c r="CI195" s="214">
        <f t="shared" ca="1" si="39"/>
        <v>-0.12534596942424159</v>
      </c>
      <c r="CJ195" s="215">
        <f t="shared" ca="1" si="40"/>
        <v>16.775235630575757</v>
      </c>
      <c r="CK195" s="216">
        <f t="shared" ca="1" si="41"/>
        <v>1.1407160228791515</v>
      </c>
    </row>
    <row r="196" spans="1:89">
      <c r="A196" s="176">
        <v>17048</v>
      </c>
      <c r="B196" s="177" t="s">
        <v>346</v>
      </c>
      <c r="C196" s="178">
        <v>68</v>
      </c>
      <c r="D196" s="178">
        <v>1870</v>
      </c>
      <c r="E196" s="178" t="s">
        <v>50</v>
      </c>
      <c r="F196" s="179" t="s">
        <v>47</v>
      </c>
      <c r="G196" s="185" t="s">
        <v>94</v>
      </c>
      <c r="H196" s="178" t="s">
        <v>43</v>
      </c>
      <c r="I196" s="178" t="s">
        <v>41</v>
      </c>
      <c r="J196" s="178"/>
      <c r="K196" s="178"/>
      <c r="L196" s="178" t="s">
        <v>59</v>
      </c>
      <c r="M196" s="178">
        <v>120</v>
      </c>
      <c r="N196" s="178">
        <v>300</v>
      </c>
      <c r="O196" s="178"/>
      <c r="P196" s="178"/>
      <c r="Q196" s="178"/>
      <c r="R196" s="178" t="s">
        <v>19</v>
      </c>
      <c r="S196" s="181"/>
      <c r="T196" s="181"/>
      <c r="U196" s="182"/>
      <c r="V196" s="182" t="s">
        <v>35</v>
      </c>
      <c r="W196" s="183">
        <v>30</v>
      </c>
      <c r="X196" s="182" t="s">
        <v>51</v>
      </c>
      <c r="Y196" s="184">
        <v>3090</v>
      </c>
      <c r="Z196" s="184">
        <v>3090</v>
      </c>
      <c r="AA196" s="184">
        <v>3090</v>
      </c>
      <c r="AB196" s="184">
        <v>3090</v>
      </c>
      <c r="AC196" s="184">
        <v>3090</v>
      </c>
      <c r="AD196" s="184">
        <v>3090</v>
      </c>
      <c r="AE196" s="184">
        <v>2400</v>
      </c>
      <c r="AF196" s="184">
        <v>2400</v>
      </c>
      <c r="AG196" s="184">
        <v>2400</v>
      </c>
      <c r="AH196" s="184">
        <v>2250</v>
      </c>
      <c r="AI196" s="184">
        <v>2250</v>
      </c>
      <c r="AJ196" s="184">
        <v>2250</v>
      </c>
      <c r="AK196" s="146">
        <f>AK195+50</f>
        <v>2310</v>
      </c>
      <c r="AL196" s="146">
        <f>AL195+50</f>
        <v>2310</v>
      </c>
      <c r="AM196" s="146">
        <f>AM195+50</f>
        <v>2310</v>
      </c>
      <c r="AN196" s="184">
        <v>2440</v>
      </c>
      <c r="AO196" s="184">
        <v>2440</v>
      </c>
      <c r="AP196" s="184">
        <v>2440</v>
      </c>
      <c r="AQ196" s="184">
        <v>2590</v>
      </c>
      <c r="AR196" s="184">
        <v>2590</v>
      </c>
      <c r="AS196" s="184">
        <v>2590</v>
      </c>
      <c r="AT196" s="184">
        <v>2590</v>
      </c>
      <c r="AU196" s="184">
        <v>2590</v>
      </c>
      <c r="AV196" s="184">
        <v>2590</v>
      </c>
      <c r="AW196" s="184">
        <v>2510</v>
      </c>
      <c r="AX196" s="184">
        <v>2510</v>
      </c>
      <c r="AY196" s="184">
        <v>2510</v>
      </c>
      <c r="AZ196" s="184">
        <v>2270</v>
      </c>
      <c r="BA196" s="184">
        <v>2270</v>
      </c>
      <c r="BB196" s="184">
        <v>2400</v>
      </c>
      <c r="BC196" s="184">
        <v>2400</v>
      </c>
      <c r="BD196" s="184">
        <v>2400</v>
      </c>
      <c r="BE196" s="184">
        <v>2400</v>
      </c>
      <c r="BF196" s="184">
        <v>2350</v>
      </c>
      <c r="BG196" s="184">
        <v>2350</v>
      </c>
      <c r="BH196" s="184">
        <v>2350</v>
      </c>
      <c r="BI196" s="184">
        <v>2370</v>
      </c>
      <c r="BJ196" s="184">
        <v>2370</v>
      </c>
      <c r="BK196" s="184">
        <v>2370</v>
      </c>
      <c r="BL196" s="184">
        <v>2470</v>
      </c>
      <c r="BM196" s="184">
        <v>2470</v>
      </c>
      <c r="BN196" s="184">
        <v>2470</v>
      </c>
      <c r="BO196" s="184">
        <v>2550</v>
      </c>
      <c r="BP196" s="184">
        <v>2550</v>
      </c>
      <c r="BQ196" s="184">
        <v>2550</v>
      </c>
      <c r="BR196" s="184"/>
      <c r="BS196" s="184"/>
      <c r="BT196" s="184"/>
      <c r="BU196" s="146" cm="1">
        <f t="array" ref="BU196">LOOKUP(2,1/(Y196:BT196&lt;&gt;""),Y196:BH196)</f>
        <v>2550</v>
      </c>
      <c r="BV196" s="145" cm="1">
        <f t="array" aca="1" ref="BV196" ca="1">_xlfn.LET(
    _xlpm.last_col_idx, LOOKUP(2, 1/(Y196:BT196&lt;&gt;""), COLUMN(Y196:BT196) - COLUMN(Y196) + 1),
    _xlpm.header_val, INDEX($Y$3:$BT$3, 1, _xlpm.last_col_idx),
    _xlpm.header_date, IF(ISNUMBER(_xlpm.header_val), _xlpm.header_val, DATEVALUE(_xlpm.header_val)),
    IF(_xlpm.header_date &gt; TODAY(), TODAY(), _xlpm.header_date)
)</f>
        <v>46212</v>
      </c>
      <c r="BW196" s="209" cm="1">
        <f t="array" ref="BW196">(LOOKUP(2,1/(BH196:BT196&lt;&gt;""),BH196:BT196))/(INDEX(BH196:BT196,MATCH(TRUE,INDEX((BH196:BT196&lt;&gt;0),0),0)))-1</f>
        <v>8.5106382978723305E-2</v>
      </c>
      <c r="BX196" s="210">
        <f t="shared" ref="BX196:BX259" si="42">BU196/1000</f>
        <v>2.5499999999999998</v>
      </c>
      <c r="BY196" s="210">
        <f t="shared" ref="BY196:BY259" si="43">IF(X196="BRL",BX196,IF(X196="EUR",BX196*$CK$2,IF(X196="USD",BX196*$CK$1,IF(X196="CNY",BX196*$CM$1,IF(X196="RUB",BX196*$CM$2,"CRRY#")))))</f>
        <v>15.045</v>
      </c>
      <c r="BZ196" s="210">
        <f ca="1">IF(L196="BR",'Impostos e Frete'!$F$6,IF(L196="EU",'Impostos e Frete'!$I$3,IF(L196="CN",'Impostos e Frete'!$I$4,IF(L196="JP",'Impostos e Frete'!$I$5,IF(L196="RU",'Impostos e Frete'!$I$7,"ERRO")))))</f>
        <v>0.1410816</v>
      </c>
      <c r="CA196" s="210">
        <f>VLOOKUP(L196,'Impostos e Frete'!$A$3:$B$7,2,0)*'Preços e Condições'!BY196</f>
        <v>1.9558500000000001</v>
      </c>
      <c r="CB196" s="147">
        <f t="shared" ref="CB196:CB259" si="44">IF(R196="CFR",$CB$2,IF(R196="FOB",0,IF(R196="EXW",$CB$1,"ERRO")))</f>
        <v>0</v>
      </c>
      <c r="CC196" s="147">
        <f>IF(X196="BRL",'Impostos e Frete'!$B$11,'Impostos e Frete'!$B$12)</f>
        <v>9.1999999999999998E-2</v>
      </c>
      <c r="CD196" s="211">
        <f t="shared" ref="CD196:CD259" ca="1" si="45">SUM(BY196:CC196)</f>
        <v>17.233931599999998</v>
      </c>
      <c r="CE196" s="212">
        <f t="shared" ref="CE196:CE259" ca="1" si="46">IF(C196="","erro",(CD196/1000)*C196)</f>
        <v>1.1719073487999998</v>
      </c>
      <c r="CF196" s="213">
        <f>VLOOKUP(L196,'Impostos e Frete'!$A$3:$C$7,3,0)</f>
        <v>105</v>
      </c>
      <c r="CG196" s="213">
        <f t="shared" ref="CG196:CG259" si="47">M196</f>
        <v>120</v>
      </c>
      <c r="CH196" s="213">
        <f t="shared" ref="CH196:CH259" si="48">CG196-CF196</f>
        <v>15</v>
      </c>
      <c r="CI196" s="214">
        <f t="shared" ref="CI196:CI259" ca="1" si="49">CD196*(1+VALUE($CI$2))^((CH196*-1)/30)-CD196</f>
        <v>-0.12781831504503316</v>
      </c>
      <c r="CJ196" s="215">
        <f t="shared" ref="CJ196:CJ259" ca="1" si="50">CD196+CI196</f>
        <v>17.106113284954965</v>
      </c>
      <c r="CK196" s="216">
        <f t="shared" ref="CK196:CK259" ca="1" si="51">IF(C196="","erro",(CJ196/1000)*C196)</f>
        <v>1.1632157033769377</v>
      </c>
    </row>
    <row r="197" spans="1:89">
      <c r="A197" s="176">
        <v>17048</v>
      </c>
      <c r="B197" s="177" t="s">
        <v>346</v>
      </c>
      <c r="C197" s="178">
        <v>68</v>
      </c>
      <c r="D197" s="178">
        <v>1870</v>
      </c>
      <c r="E197" s="178" t="s">
        <v>50</v>
      </c>
      <c r="F197" s="179" t="s">
        <v>47</v>
      </c>
      <c r="G197" s="185" t="s">
        <v>94</v>
      </c>
      <c r="H197" s="178" t="s">
        <v>43</v>
      </c>
      <c r="I197" s="178" t="s">
        <v>41</v>
      </c>
      <c r="J197" s="178"/>
      <c r="K197" s="178"/>
      <c r="L197" s="178" t="s">
        <v>59</v>
      </c>
      <c r="M197" s="178">
        <v>120</v>
      </c>
      <c r="N197" s="178">
        <v>300</v>
      </c>
      <c r="O197" s="178"/>
      <c r="P197" s="178"/>
      <c r="Q197" s="178"/>
      <c r="R197" s="178" t="s">
        <v>19</v>
      </c>
      <c r="S197" s="181"/>
      <c r="T197" s="181"/>
      <c r="U197" s="182"/>
      <c r="V197" s="182" t="s">
        <v>35</v>
      </c>
      <c r="W197" s="183">
        <v>20</v>
      </c>
      <c r="X197" s="182" t="s">
        <v>51</v>
      </c>
      <c r="Y197" s="184">
        <v>3140</v>
      </c>
      <c r="Z197" s="184">
        <v>3140</v>
      </c>
      <c r="AA197" s="184">
        <v>3140</v>
      </c>
      <c r="AB197" s="184">
        <v>3140</v>
      </c>
      <c r="AC197" s="184">
        <v>3140</v>
      </c>
      <c r="AD197" s="184">
        <v>3140</v>
      </c>
      <c r="AE197" s="184">
        <v>2450</v>
      </c>
      <c r="AF197" s="184">
        <v>2450</v>
      </c>
      <c r="AG197" s="184">
        <v>2450</v>
      </c>
      <c r="AH197" s="184">
        <v>2300</v>
      </c>
      <c r="AI197" s="184">
        <v>2300</v>
      </c>
      <c r="AJ197" s="184">
        <v>2300</v>
      </c>
      <c r="AK197" s="146">
        <f>AK195+100</f>
        <v>2360</v>
      </c>
      <c r="AL197" s="146">
        <f>AL195+100</f>
        <v>2360</v>
      </c>
      <c r="AM197" s="146">
        <f>AM195+100</f>
        <v>2360</v>
      </c>
      <c r="AN197" s="184">
        <v>2490</v>
      </c>
      <c r="AO197" s="184">
        <v>2490</v>
      </c>
      <c r="AP197" s="184">
        <v>2490</v>
      </c>
      <c r="AQ197" s="184">
        <v>2640</v>
      </c>
      <c r="AR197" s="184">
        <v>2640</v>
      </c>
      <c r="AS197" s="184">
        <v>2640</v>
      </c>
      <c r="AT197" s="184">
        <v>2640</v>
      </c>
      <c r="AU197" s="184">
        <v>2640</v>
      </c>
      <c r="AV197" s="184">
        <v>2640</v>
      </c>
      <c r="AW197" s="184">
        <v>2560</v>
      </c>
      <c r="AX197" s="184">
        <v>2560</v>
      </c>
      <c r="AY197" s="184">
        <v>2560</v>
      </c>
      <c r="AZ197" s="184">
        <v>2320</v>
      </c>
      <c r="BA197" s="184">
        <v>2320</v>
      </c>
      <c r="BB197" s="184">
        <v>2450</v>
      </c>
      <c r="BC197" s="184">
        <v>2450</v>
      </c>
      <c r="BD197" s="184">
        <v>2450</v>
      </c>
      <c r="BE197" s="184">
        <v>2450</v>
      </c>
      <c r="BF197" s="184">
        <v>2400</v>
      </c>
      <c r="BG197" s="184">
        <v>2400</v>
      </c>
      <c r="BH197" s="184">
        <v>2400</v>
      </c>
      <c r="BI197" s="184">
        <v>2420</v>
      </c>
      <c r="BJ197" s="184">
        <v>2420</v>
      </c>
      <c r="BK197" s="184">
        <v>2420</v>
      </c>
      <c r="BL197" s="184">
        <v>2520</v>
      </c>
      <c r="BM197" s="184">
        <v>2520</v>
      </c>
      <c r="BN197" s="184">
        <v>2520</v>
      </c>
      <c r="BO197" s="184">
        <v>2600</v>
      </c>
      <c r="BP197" s="184">
        <v>2600</v>
      </c>
      <c r="BQ197" s="184">
        <v>2600</v>
      </c>
      <c r="BR197" s="184"/>
      <c r="BS197" s="184"/>
      <c r="BT197" s="184"/>
      <c r="BU197" s="146" cm="1">
        <f t="array" ref="BU197">LOOKUP(2,1/(Y197:BT197&lt;&gt;""),Y197:BH197)</f>
        <v>2600</v>
      </c>
      <c r="BV197" s="145" cm="1">
        <f t="array" aca="1" ref="BV197" ca="1">_xlfn.LET(
    _xlpm.last_col_idx, LOOKUP(2, 1/(Y197:BT197&lt;&gt;""), COLUMN(Y197:BT197) - COLUMN(Y197) + 1),
    _xlpm.header_val, INDEX($Y$3:$BT$3, 1, _xlpm.last_col_idx),
    _xlpm.header_date, IF(ISNUMBER(_xlpm.header_val), _xlpm.header_val, DATEVALUE(_xlpm.header_val)),
    IF(_xlpm.header_date &gt; TODAY(), TODAY(), _xlpm.header_date)
)</f>
        <v>46212</v>
      </c>
      <c r="BW197" s="209" cm="1">
        <f t="array" ref="BW197">(LOOKUP(2,1/(BH197:BT197&lt;&gt;""),BH197:BT197))/(INDEX(BH197:BT197,MATCH(TRUE,INDEX((BH197:BT197&lt;&gt;0),0),0)))-1</f>
        <v>8.3333333333333259E-2</v>
      </c>
      <c r="BX197" s="210">
        <f t="shared" si="42"/>
        <v>2.6</v>
      </c>
      <c r="BY197" s="210">
        <f t="shared" si="43"/>
        <v>15.340000000000002</v>
      </c>
      <c r="BZ197" s="210">
        <f ca="1">IF(L197="BR",'Impostos e Frete'!$F$6,IF(L197="EU",'Impostos e Frete'!$I$3,IF(L197="CN",'Impostos e Frete'!$I$4,IF(L197="JP",'Impostos e Frete'!$I$5,IF(L197="RU",'Impostos e Frete'!$I$7,"ERRO")))))</f>
        <v>0.1410816</v>
      </c>
      <c r="CA197" s="210">
        <f>VLOOKUP(L197,'Impostos e Frete'!$A$3:$B$7,2,0)*'Preços e Condições'!BY197</f>
        <v>1.9942000000000002</v>
      </c>
      <c r="CB197" s="147">
        <f t="shared" si="44"/>
        <v>0</v>
      </c>
      <c r="CC197" s="147">
        <f>IF(X197="BRL",'Impostos e Frete'!$B$11,'Impostos e Frete'!$B$12)</f>
        <v>9.1999999999999998E-2</v>
      </c>
      <c r="CD197" s="211">
        <f t="shared" ca="1" si="45"/>
        <v>17.567281600000001</v>
      </c>
      <c r="CE197" s="212">
        <f t="shared" ca="1" si="46"/>
        <v>1.1945751488</v>
      </c>
      <c r="CF197" s="213">
        <f>VLOOKUP(L197,'Impostos e Frete'!$A$3:$C$7,3,0)</f>
        <v>105</v>
      </c>
      <c r="CG197" s="213">
        <f t="shared" si="47"/>
        <v>120</v>
      </c>
      <c r="CH197" s="213">
        <f t="shared" si="48"/>
        <v>15</v>
      </c>
      <c r="CI197" s="214">
        <f t="shared" ca="1" si="49"/>
        <v>-0.13029066066582118</v>
      </c>
      <c r="CJ197" s="215">
        <f t="shared" ca="1" si="50"/>
        <v>17.43699093933418</v>
      </c>
      <c r="CK197" s="216">
        <f t="shared" ca="1" si="51"/>
        <v>1.1857153838747241</v>
      </c>
    </row>
    <row r="198" spans="1:89">
      <c r="A198" s="176">
        <v>17048</v>
      </c>
      <c r="B198" s="177" t="s">
        <v>346</v>
      </c>
      <c r="C198" s="178">
        <v>68</v>
      </c>
      <c r="D198" s="178">
        <v>1870</v>
      </c>
      <c r="E198" s="178" t="s">
        <v>50</v>
      </c>
      <c r="F198" s="179" t="s">
        <v>47</v>
      </c>
      <c r="G198" s="185" t="s">
        <v>94</v>
      </c>
      <c r="H198" s="178" t="s">
        <v>43</v>
      </c>
      <c r="I198" s="178" t="s">
        <v>41</v>
      </c>
      <c r="J198" s="178"/>
      <c r="K198" s="178"/>
      <c r="L198" s="178" t="s">
        <v>59</v>
      </c>
      <c r="M198" s="178">
        <v>120</v>
      </c>
      <c r="N198" s="178">
        <v>300</v>
      </c>
      <c r="O198" s="178"/>
      <c r="P198" s="178"/>
      <c r="Q198" s="178"/>
      <c r="R198" s="178" t="s">
        <v>19</v>
      </c>
      <c r="S198" s="181"/>
      <c r="T198" s="181"/>
      <c r="U198" s="182"/>
      <c r="V198" s="182" t="s">
        <v>35</v>
      </c>
      <c r="W198" s="183">
        <v>10</v>
      </c>
      <c r="X198" s="182" t="s">
        <v>51</v>
      </c>
      <c r="Y198" s="184">
        <v>3220</v>
      </c>
      <c r="Z198" s="184">
        <v>3220</v>
      </c>
      <c r="AA198" s="184">
        <v>3220</v>
      </c>
      <c r="AB198" s="184">
        <v>3220</v>
      </c>
      <c r="AC198" s="184">
        <v>3220</v>
      </c>
      <c r="AD198" s="184">
        <v>3220</v>
      </c>
      <c r="AE198" s="184">
        <v>2530</v>
      </c>
      <c r="AF198" s="184">
        <v>2530</v>
      </c>
      <c r="AG198" s="184">
        <v>2530</v>
      </c>
      <c r="AH198" s="184">
        <v>2380</v>
      </c>
      <c r="AI198" s="184">
        <v>2380</v>
      </c>
      <c r="AJ198" s="184">
        <v>2380</v>
      </c>
      <c r="AK198" s="146">
        <f>AK195+180</f>
        <v>2440</v>
      </c>
      <c r="AL198" s="146">
        <f>AL195+180</f>
        <v>2440</v>
      </c>
      <c r="AM198" s="146">
        <f>AM195+180</f>
        <v>2440</v>
      </c>
      <c r="AN198" s="184">
        <v>2570</v>
      </c>
      <c r="AO198" s="184">
        <v>2570</v>
      </c>
      <c r="AP198" s="184">
        <v>2570</v>
      </c>
      <c r="AQ198" s="184">
        <v>2720</v>
      </c>
      <c r="AR198" s="184">
        <v>2720</v>
      </c>
      <c r="AS198" s="184">
        <v>2720</v>
      </c>
      <c r="AT198" s="184">
        <v>2720</v>
      </c>
      <c r="AU198" s="184">
        <v>2720</v>
      </c>
      <c r="AV198" s="184">
        <v>2720</v>
      </c>
      <c r="AW198" s="184">
        <v>2640</v>
      </c>
      <c r="AX198" s="184">
        <v>2640</v>
      </c>
      <c r="AY198" s="184">
        <v>2640</v>
      </c>
      <c r="AZ198" s="184">
        <v>2400</v>
      </c>
      <c r="BA198" s="184">
        <v>2400</v>
      </c>
      <c r="BB198" s="184">
        <v>2530</v>
      </c>
      <c r="BC198" s="184">
        <v>2530</v>
      </c>
      <c r="BD198" s="184">
        <v>2530</v>
      </c>
      <c r="BE198" s="184">
        <v>2530</v>
      </c>
      <c r="BF198" s="184">
        <v>2480</v>
      </c>
      <c r="BG198" s="184">
        <v>2480</v>
      </c>
      <c r="BH198" s="184">
        <v>2480</v>
      </c>
      <c r="BI198" s="184">
        <v>2500</v>
      </c>
      <c r="BJ198" s="184">
        <v>2500</v>
      </c>
      <c r="BK198" s="184">
        <v>2500</v>
      </c>
      <c r="BL198" s="184">
        <v>2600</v>
      </c>
      <c r="BM198" s="184">
        <v>2600</v>
      </c>
      <c r="BN198" s="184">
        <v>2600</v>
      </c>
      <c r="BO198" s="184">
        <v>2680</v>
      </c>
      <c r="BP198" s="184">
        <v>2680</v>
      </c>
      <c r="BQ198" s="184">
        <v>2680</v>
      </c>
      <c r="BR198" s="184"/>
      <c r="BS198" s="184"/>
      <c r="BT198" s="184"/>
      <c r="BU198" s="146" cm="1">
        <f t="array" ref="BU198">LOOKUP(2,1/(Y198:BT198&lt;&gt;""),Y198:BH198)</f>
        <v>2680</v>
      </c>
      <c r="BV198" s="145" cm="1">
        <f t="array" aca="1" ref="BV198" ca="1">_xlfn.LET(
    _xlpm.last_col_idx, LOOKUP(2, 1/(Y198:BT198&lt;&gt;""), COLUMN(Y198:BT198) - COLUMN(Y198) + 1),
    _xlpm.header_val, INDEX($Y$3:$BT$3, 1, _xlpm.last_col_idx),
    _xlpm.header_date, IF(ISNUMBER(_xlpm.header_val), _xlpm.header_val, DATEVALUE(_xlpm.header_val)),
    IF(_xlpm.header_date &gt; TODAY(), TODAY(), _xlpm.header_date)
)</f>
        <v>46212</v>
      </c>
      <c r="BW198" s="209" cm="1">
        <f t="array" ref="BW198">(LOOKUP(2,1/(BH198:BT198&lt;&gt;""),BH198:BT198))/(INDEX(BH198:BT198,MATCH(TRUE,INDEX((BH198:BT198&lt;&gt;0),0),0)))-1</f>
        <v>8.0645161290322509E-2</v>
      </c>
      <c r="BX198" s="210">
        <f t="shared" si="42"/>
        <v>2.68</v>
      </c>
      <c r="BY198" s="210">
        <f t="shared" si="43"/>
        <v>15.812000000000001</v>
      </c>
      <c r="BZ198" s="210">
        <f ca="1">IF(L198="BR",'Impostos e Frete'!$F$6,IF(L198="EU",'Impostos e Frete'!$I$3,IF(L198="CN",'Impostos e Frete'!$I$4,IF(L198="JP",'Impostos e Frete'!$I$5,IF(L198="RU",'Impostos e Frete'!$I$7,"ERRO")))))</f>
        <v>0.1410816</v>
      </c>
      <c r="CA198" s="210">
        <f>VLOOKUP(L198,'Impostos e Frete'!$A$3:$B$7,2,0)*'Preços e Condições'!BY198</f>
        <v>2.0555600000000003</v>
      </c>
      <c r="CB198" s="147">
        <f t="shared" si="44"/>
        <v>0</v>
      </c>
      <c r="CC198" s="147">
        <f>IF(X198="BRL",'Impostos e Frete'!$B$11,'Impostos e Frete'!$B$12)</f>
        <v>9.1999999999999998E-2</v>
      </c>
      <c r="CD198" s="211">
        <f t="shared" ca="1" si="45"/>
        <v>18.100641599999999</v>
      </c>
      <c r="CE198" s="212">
        <f t="shared" ca="1" si="46"/>
        <v>1.2308436288</v>
      </c>
      <c r="CF198" s="213">
        <f>VLOOKUP(L198,'Impostos e Frete'!$A$3:$C$7,3,0)</f>
        <v>105</v>
      </c>
      <c r="CG198" s="213">
        <f t="shared" si="47"/>
        <v>120</v>
      </c>
      <c r="CH198" s="213">
        <f t="shared" si="48"/>
        <v>15</v>
      </c>
      <c r="CI198" s="214">
        <f t="shared" ca="1" si="49"/>
        <v>-0.1342464136590884</v>
      </c>
      <c r="CJ198" s="215">
        <f t="shared" ca="1" si="50"/>
        <v>17.966395186340911</v>
      </c>
      <c r="CK198" s="216">
        <f t="shared" ca="1" si="51"/>
        <v>1.221714872671182</v>
      </c>
    </row>
    <row r="199" spans="1:89">
      <c r="A199" s="176">
        <v>17050</v>
      </c>
      <c r="B199" s="177">
        <v>399</v>
      </c>
      <c r="C199" s="178">
        <v>68</v>
      </c>
      <c r="D199" s="178">
        <v>1270</v>
      </c>
      <c r="E199" s="178" t="s">
        <v>50</v>
      </c>
      <c r="F199" s="179" t="s">
        <v>47</v>
      </c>
      <c r="G199" s="179" t="s">
        <v>79</v>
      </c>
      <c r="H199" s="178" t="s">
        <v>42</v>
      </c>
      <c r="I199" s="178">
        <v>6656</v>
      </c>
      <c r="J199" s="178"/>
      <c r="K199" s="178"/>
      <c r="L199" s="178" t="s">
        <v>59</v>
      </c>
      <c r="M199" s="178">
        <v>120</v>
      </c>
      <c r="N199" s="178">
        <v>300</v>
      </c>
      <c r="O199" s="178"/>
      <c r="P199" s="178"/>
      <c r="Q199" s="178"/>
      <c r="R199" s="178" t="s">
        <v>19</v>
      </c>
      <c r="S199" s="181"/>
      <c r="T199" s="181"/>
      <c r="U199" s="182"/>
      <c r="V199" s="182" t="s">
        <v>35</v>
      </c>
      <c r="W199" s="183">
        <v>50</v>
      </c>
      <c r="X199" s="182" t="s">
        <v>51</v>
      </c>
      <c r="Y199" s="184">
        <v>2760</v>
      </c>
      <c r="Z199" s="184">
        <v>2760</v>
      </c>
      <c r="AA199" s="184">
        <v>2760</v>
      </c>
      <c r="AB199" s="184">
        <v>2760</v>
      </c>
      <c r="AC199" s="184">
        <v>2760</v>
      </c>
      <c r="AD199" s="184">
        <v>2760</v>
      </c>
      <c r="AE199" s="184">
        <v>2400</v>
      </c>
      <c r="AF199" s="184">
        <v>2400</v>
      </c>
      <c r="AG199" s="184">
        <v>2400</v>
      </c>
      <c r="AH199" s="184">
        <v>2250</v>
      </c>
      <c r="AI199" s="184">
        <v>2250</v>
      </c>
      <c r="AJ199" s="184">
        <v>2250</v>
      </c>
      <c r="AK199" s="184">
        <v>2310</v>
      </c>
      <c r="AL199" s="184">
        <v>2310</v>
      </c>
      <c r="AM199" s="184">
        <v>2310</v>
      </c>
      <c r="AN199" s="184">
        <v>2440</v>
      </c>
      <c r="AO199" s="184">
        <v>2440</v>
      </c>
      <c r="AP199" s="184">
        <v>2440</v>
      </c>
      <c r="AQ199" s="184">
        <v>2590</v>
      </c>
      <c r="AR199" s="184">
        <v>2590</v>
      </c>
      <c r="AS199" s="184">
        <v>2590</v>
      </c>
      <c r="AT199" s="184">
        <v>2590</v>
      </c>
      <c r="AU199" s="184">
        <v>2590</v>
      </c>
      <c r="AV199" s="184">
        <v>2590</v>
      </c>
      <c r="AW199" s="184">
        <v>2510</v>
      </c>
      <c r="AX199" s="184">
        <v>2510</v>
      </c>
      <c r="AY199" s="184">
        <v>2510</v>
      </c>
      <c r="AZ199" s="184">
        <v>2290</v>
      </c>
      <c r="BA199" s="184">
        <v>2290</v>
      </c>
      <c r="BB199" s="184">
        <v>2590</v>
      </c>
      <c r="BC199" s="184">
        <v>2590</v>
      </c>
      <c r="BD199" s="184">
        <v>2590</v>
      </c>
      <c r="BE199" s="184">
        <v>2590</v>
      </c>
      <c r="BF199" s="184">
        <v>2510</v>
      </c>
      <c r="BG199" s="184">
        <v>2510</v>
      </c>
      <c r="BH199" s="184">
        <v>2510</v>
      </c>
      <c r="BI199" s="184">
        <v>2540</v>
      </c>
      <c r="BJ199" s="184">
        <v>2540</v>
      </c>
      <c r="BK199" s="184">
        <v>2540</v>
      </c>
      <c r="BL199" s="184">
        <v>2640</v>
      </c>
      <c r="BM199" s="184">
        <v>2640</v>
      </c>
      <c r="BN199" s="184">
        <v>2640</v>
      </c>
      <c r="BO199" s="184">
        <v>2720</v>
      </c>
      <c r="BP199" s="184">
        <v>2720</v>
      </c>
      <c r="BQ199" s="184">
        <v>2720</v>
      </c>
      <c r="BR199" s="184"/>
      <c r="BS199" s="184"/>
      <c r="BT199" s="184"/>
      <c r="BU199" s="146" cm="1">
        <f t="array" ref="BU199">LOOKUP(2,1/(Y199:BT199&lt;&gt;""),Y199:BH199)</f>
        <v>2720</v>
      </c>
      <c r="BV199" s="145" cm="1">
        <f t="array" aca="1" ref="BV199" ca="1">_xlfn.LET(
    _xlpm.last_col_idx, LOOKUP(2, 1/(Y199:BT199&lt;&gt;""), COLUMN(Y199:BT199) - COLUMN(Y199) + 1),
    _xlpm.header_val, INDEX($Y$3:$BT$3, 1, _xlpm.last_col_idx),
    _xlpm.header_date, IF(ISNUMBER(_xlpm.header_val), _xlpm.header_val, DATEVALUE(_xlpm.header_val)),
    IF(_xlpm.header_date &gt; TODAY(), TODAY(), _xlpm.header_date)
)</f>
        <v>46212</v>
      </c>
      <c r="BW199" s="209" cm="1">
        <f t="array" ref="BW199">(LOOKUP(2,1/(BH199:BT199&lt;&gt;""),BH199:BT199))/(INDEX(BH199:BT199,MATCH(TRUE,INDEX((BH199:BT199&lt;&gt;0),0),0)))-1</f>
        <v>8.3665338645418252E-2</v>
      </c>
      <c r="BX199" s="210">
        <f t="shared" si="42"/>
        <v>2.72</v>
      </c>
      <c r="BY199" s="210">
        <f t="shared" si="43"/>
        <v>16.048000000000002</v>
      </c>
      <c r="BZ199" s="210">
        <f ca="1">IF(L199="BR",'Impostos e Frete'!$F$6,IF(L199="EU",'Impostos e Frete'!$I$3,IF(L199="CN",'Impostos e Frete'!$I$4,IF(L199="JP",'Impostos e Frete'!$I$5,IF(L199="RU",'Impostos e Frete'!$I$7,"ERRO")))))</f>
        <v>0.1410816</v>
      </c>
      <c r="CA199" s="210">
        <f>VLOOKUP(L199,'Impostos e Frete'!$A$3:$B$7,2,0)*'Preços e Condições'!BY199</f>
        <v>2.0862400000000001</v>
      </c>
      <c r="CB199" s="147">
        <f t="shared" si="44"/>
        <v>0</v>
      </c>
      <c r="CC199" s="147">
        <f>IF(X199="BRL",'Impostos e Frete'!$B$11,'Impostos e Frete'!$B$12)</f>
        <v>9.1999999999999998E-2</v>
      </c>
      <c r="CD199" s="211">
        <f t="shared" ca="1" si="45"/>
        <v>18.3673216</v>
      </c>
      <c r="CE199" s="212">
        <f t="shared" ca="1" si="46"/>
        <v>1.2489778687999999</v>
      </c>
      <c r="CF199" s="213">
        <f>VLOOKUP(L199,'Impostos e Frete'!$A$3:$C$7,3,0)</f>
        <v>105</v>
      </c>
      <c r="CG199" s="213">
        <f t="shared" si="47"/>
        <v>120</v>
      </c>
      <c r="CH199" s="213">
        <f t="shared" si="48"/>
        <v>15</v>
      </c>
      <c r="CI199" s="214">
        <f t="shared" ca="1" si="49"/>
        <v>-0.13622429015572024</v>
      </c>
      <c r="CJ199" s="215">
        <f t="shared" ca="1" si="50"/>
        <v>18.23109730984428</v>
      </c>
      <c r="CK199" s="216">
        <f t="shared" ca="1" si="51"/>
        <v>1.2397146170694111</v>
      </c>
    </row>
    <row r="200" spans="1:89">
      <c r="A200" s="176">
        <v>17050</v>
      </c>
      <c r="B200" s="177">
        <v>399</v>
      </c>
      <c r="C200" s="178">
        <v>68</v>
      </c>
      <c r="D200" s="178">
        <v>1270</v>
      </c>
      <c r="E200" s="178" t="s">
        <v>50</v>
      </c>
      <c r="F200" s="179" t="s">
        <v>47</v>
      </c>
      <c r="G200" s="179" t="s">
        <v>79</v>
      </c>
      <c r="H200" s="178" t="s">
        <v>42</v>
      </c>
      <c r="I200" s="178">
        <v>6656</v>
      </c>
      <c r="J200" s="178"/>
      <c r="K200" s="178"/>
      <c r="L200" s="178" t="s">
        <v>59</v>
      </c>
      <c r="M200" s="178">
        <v>120</v>
      </c>
      <c r="N200" s="178">
        <v>300</v>
      </c>
      <c r="O200" s="178"/>
      <c r="P200" s="178"/>
      <c r="Q200" s="178"/>
      <c r="R200" s="178" t="s">
        <v>19</v>
      </c>
      <c r="S200" s="181"/>
      <c r="T200" s="181"/>
      <c r="U200" s="182"/>
      <c r="V200" s="182" t="s">
        <v>35</v>
      </c>
      <c r="W200" s="183">
        <v>30</v>
      </c>
      <c r="X200" s="182" t="s">
        <v>51</v>
      </c>
      <c r="Y200" s="184">
        <v>2810</v>
      </c>
      <c r="Z200" s="184">
        <v>2810</v>
      </c>
      <c r="AA200" s="184">
        <v>2810</v>
      </c>
      <c r="AB200" s="184">
        <v>2810</v>
      </c>
      <c r="AC200" s="184">
        <v>2810</v>
      </c>
      <c r="AD200" s="184">
        <v>2810</v>
      </c>
      <c r="AE200" s="184">
        <v>2450</v>
      </c>
      <c r="AF200" s="184">
        <v>2450</v>
      </c>
      <c r="AG200" s="184">
        <v>2450</v>
      </c>
      <c r="AH200" s="184">
        <v>2300</v>
      </c>
      <c r="AI200" s="184">
        <v>2300</v>
      </c>
      <c r="AJ200" s="184">
        <v>2300</v>
      </c>
      <c r="AK200" s="184">
        <v>2360</v>
      </c>
      <c r="AL200" s="184">
        <v>2360</v>
      </c>
      <c r="AM200" s="184">
        <v>2360</v>
      </c>
      <c r="AN200" s="184">
        <v>2490</v>
      </c>
      <c r="AO200" s="184">
        <v>2490</v>
      </c>
      <c r="AP200" s="184">
        <v>2490</v>
      </c>
      <c r="AQ200" s="184">
        <v>2640</v>
      </c>
      <c r="AR200" s="184">
        <v>2640</v>
      </c>
      <c r="AS200" s="184">
        <v>2640</v>
      </c>
      <c r="AT200" s="184">
        <v>2640</v>
      </c>
      <c r="AU200" s="184">
        <v>2640</v>
      </c>
      <c r="AV200" s="184">
        <v>2640</v>
      </c>
      <c r="AW200" s="184">
        <v>2560</v>
      </c>
      <c r="AX200" s="184">
        <v>2560</v>
      </c>
      <c r="AY200" s="184">
        <v>2560</v>
      </c>
      <c r="AZ200" s="184">
        <v>2340</v>
      </c>
      <c r="BA200" s="184">
        <v>2340</v>
      </c>
      <c r="BB200" s="184">
        <v>2640</v>
      </c>
      <c r="BC200" s="184">
        <v>2640</v>
      </c>
      <c r="BD200" s="184">
        <v>2640</v>
      </c>
      <c r="BE200" s="184">
        <v>2640</v>
      </c>
      <c r="BF200" s="184">
        <v>2560</v>
      </c>
      <c r="BG200" s="184">
        <v>2560</v>
      </c>
      <c r="BH200" s="184">
        <v>2560</v>
      </c>
      <c r="BI200" s="184">
        <v>2590</v>
      </c>
      <c r="BJ200" s="184">
        <v>2590</v>
      </c>
      <c r="BK200" s="184">
        <v>2590</v>
      </c>
      <c r="BL200" s="184">
        <v>2690</v>
      </c>
      <c r="BM200" s="184">
        <v>2690</v>
      </c>
      <c r="BN200" s="184">
        <v>2690</v>
      </c>
      <c r="BO200" s="184">
        <v>2770</v>
      </c>
      <c r="BP200" s="184">
        <v>2770</v>
      </c>
      <c r="BQ200" s="184">
        <v>2770</v>
      </c>
      <c r="BR200" s="184"/>
      <c r="BS200" s="184"/>
      <c r="BT200" s="184"/>
      <c r="BU200" s="146" cm="1">
        <f t="array" ref="BU200">LOOKUP(2,1/(Y200:BT200&lt;&gt;""),Y200:BH200)</f>
        <v>2770</v>
      </c>
      <c r="BV200" s="145" cm="1">
        <f t="array" aca="1" ref="BV200" ca="1">_xlfn.LET(
    _xlpm.last_col_idx, LOOKUP(2, 1/(Y200:BT200&lt;&gt;""), COLUMN(Y200:BT200) - COLUMN(Y200) + 1),
    _xlpm.header_val, INDEX($Y$3:$BT$3, 1, _xlpm.last_col_idx),
    _xlpm.header_date, IF(ISNUMBER(_xlpm.header_val), _xlpm.header_val, DATEVALUE(_xlpm.header_val)),
    IF(_xlpm.header_date &gt; TODAY(), TODAY(), _xlpm.header_date)
)</f>
        <v>46212</v>
      </c>
      <c r="BW200" s="209" cm="1">
        <f t="array" ref="BW200">(LOOKUP(2,1/(BH200:BT200&lt;&gt;""),BH200:BT200))/(INDEX(BH200:BT200,MATCH(TRUE,INDEX((BH200:BT200&lt;&gt;0),0),0)))-1</f>
        <v>8.203125E-2</v>
      </c>
      <c r="BX200" s="210">
        <f t="shared" si="42"/>
        <v>2.77</v>
      </c>
      <c r="BY200" s="210">
        <f t="shared" si="43"/>
        <v>16.343</v>
      </c>
      <c r="BZ200" s="210">
        <f ca="1">IF(L200="BR",'Impostos e Frete'!$F$6,IF(L200="EU",'Impostos e Frete'!$I$3,IF(L200="CN",'Impostos e Frete'!$I$4,IF(L200="JP",'Impostos e Frete'!$I$5,IF(L200="RU",'Impostos e Frete'!$I$7,"ERRO")))))</f>
        <v>0.1410816</v>
      </c>
      <c r="CA200" s="210">
        <f>VLOOKUP(L200,'Impostos e Frete'!$A$3:$B$7,2,0)*'Preços e Condições'!BY200</f>
        <v>2.12459</v>
      </c>
      <c r="CB200" s="147">
        <f t="shared" si="44"/>
        <v>0</v>
      </c>
      <c r="CC200" s="147">
        <f>IF(X200="BRL",'Impostos e Frete'!$B$11,'Impostos e Frete'!$B$12)</f>
        <v>9.1999999999999998E-2</v>
      </c>
      <c r="CD200" s="211">
        <f t="shared" ca="1" si="45"/>
        <v>18.7006716</v>
      </c>
      <c r="CE200" s="212">
        <f t="shared" ca="1" si="46"/>
        <v>1.2716456688</v>
      </c>
      <c r="CF200" s="213">
        <f>VLOOKUP(L200,'Impostos e Frete'!$A$3:$C$7,3,0)</f>
        <v>105</v>
      </c>
      <c r="CG200" s="213">
        <f t="shared" si="47"/>
        <v>120</v>
      </c>
      <c r="CH200" s="213">
        <f t="shared" si="48"/>
        <v>15</v>
      </c>
      <c r="CI200" s="214">
        <f t="shared" ca="1" si="49"/>
        <v>-0.13869663577650826</v>
      </c>
      <c r="CJ200" s="215">
        <f t="shared" ca="1" si="50"/>
        <v>18.561974964223491</v>
      </c>
      <c r="CK200" s="216">
        <f t="shared" ca="1" si="51"/>
        <v>1.2622142975671975</v>
      </c>
    </row>
    <row r="201" spans="1:89">
      <c r="A201" s="176">
        <v>17050</v>
      </c>
      <c r="B201" s="177">
        <v>399</v>
      </c>
      <c r="C201" s="178">
        <v>68</v>
      </c>
      <c r="D201" s="178">
        <v>1270</v>
      </c>
      <c r="E201" s="178" t="s">
        <v>50</v>
      </c>
      <c r="F201" s="179" t="s">
        <v>47</v>
      </c>
      <c r="G201" s="179" t="s">
        <v>79</v>
      </c>
      <c r="H201" s="178" t="s">
        <v>42</v>
      </c>
      <c r="I201" s="178">
        <v>6656</v>
      </c>
      <c r="J201" s="178"/>
      <c r="K201" s="178"/>
      <c r="L201" s="178" t="s">
        <v>59</v>
      </c>
      <c r="M201" s="178">
        <v>120</v>
      </c>
      <c r="N201" s="178">
        <v>300</v>
      </c>
      <c r="O201" s="178"/>
      <c r="P201" s="178"/>
      <c r="Q201" s="178"/>
      <c r="R201" s="178" t="s">
        <v>19</v>
      </c>
      <c r="S201" s="181"/>
      <c r="T201" s="181"/>
      <c r="U201" s="182"/>
      <c r="V201" s="182" t="s">
        <v>35</v>
      </c>
      <c r="W201" s="183">
        <v>20</v>
      </c>
      <c r="X201" s="182" t="s">
        <v>51</v>
      </c>
      <c r="Y201" s="184">
        <v>2860</v>
      </c>
      <c r="Z201" s="184">
        <v>2860</v>
      </c>
      <c r="AA201" s="184">
        <v>2860</v>
      </c>
      <c r="AB201" s="184">
        <v>2860</v>
      </c>
      <c r="AC201" s="184">
        <v>2860</v>
      </c>
      <c r="AD201" s="184">
        <v>2860</v>
      </c>
      <c r="AE201" s="184">
        <v>2500</v>
      </c>
      <c r="AF201" s="184">
        <v>2500</v>
      </c>
      <c r="AG201" s="184">
        <v>2500</v>
      </c>
      <c r="AH201" s="184">
        <v>2350</v>
      </c>
      <c r="AI201" s="184">
        <v>2350</v>
      </c>
      <c r="AJ201" s="184">
        <v>2350</v>
      </c>
      <c r="AK201" s="184">
        <v>2410</v>
      </c>
      <c r="AL201" s="184">
        <v>2410</v>
      </c>
      <c r="AM201" s="184">
        <v>2410</v>
      </c>
      <c r="AN201" s="184">
        <v>2540</v>
      </c>
      <c r="AO201" s="184">
        <v>2540</v>
      </c>
      <c r="AP201" s="184">
        <v>2540</v>
      </c>
      <c r="AQ201" s="184">
        <v>2690</v>
      </c>
      <c r="AR201" s="184">
        <v>2690</v>
      </c>
      <c r="AS201" s="184">
        <v>2690</v>
      </c>
      <c r="AT201" s="184">
        <v>2690</v>
      </c>
      <c r="AU201" s="184">
        <v>2690</v>
      </c>
      <c r="AV201" s="184">
        <v>2690</v>
      </c>
      <c r="AW201" s="184">
        <v>2610</v>
      </c>
      <c r="AX201" s="184">
        <v>2610</v>
      </c>
      <c r="AY201" s="184">
        <v>2610</v>
      </c>
      <c r="AZ201" s="184">
        <v>2390</v>
      </c>
      <c r="BA201" s="184">
        <v>2390</v>
      </c>
      <c r="BB201" s="184">
        <v>2690</v>
      </c>
      <c r="BC201" s="184">
        <v>2690</v>
      </c>
      <c r="BD201" s="184">
        <v>2690</v>
      </c>
      <c r="BE201" s="184">
        <v>2690</v>
      </c>
      <c r="BF201" s="184">
        <v>2610</v>
      </c>
      <c r="BG201" s="184">
        <v>2610</v>
      </c>
      <c r="BH201" s="184">
        <v>2610</v>
      </c>
      <c r="BI201" s="184">
        <v>2640</v>
      </c>
      <c r="BJ201" s="184">
        <v>2640</v>
      </c>
      <c r="BK201" s="184">
        <v>2640</v>
      </c>
      <c r="BL201" s="184">
        <v>2740</v>
      </c>
      <c r="BM201" s="184">
        <v>2740</v>
      </c>
      <c r="BN201" s="184">
        <v>2740</v>
      </c>
      <c r="BO201" s="184">
        <v>2820</v>
      </c>
      <c r="BP201" s="184">
        <v>2820</v>
      </c>
      <c r="BQ201" s="184">
        <v>2820</v>
      </c>
      <c r="BR201" s="184"/>
      <c r="BS201" s="184"/>
      <c r="BT201" s="184"/>
      <c r="BU201" s="146" cm="1">
        <f t="array" ref="BU201">LOOKUP(2,1/(Y201:BT201&lt;&gt;""),Y201:BH201)</f>
        <v>2820</v>
      </c>
      <c r="BV201" s="145" cm="1">
        <f t="array" aca="1" ref="BV201" ca="1">_xlfn.LET(
    _xlpm.last_col_idx, LOOKUP(2, 1/(Y201:BT201&lt;&gt;""), COLUMN(Y201:BT201) - COLUMN(Y201) + 1),
    _xlpm.header_val, INDEX($Y$3:$BT$3, 1, _xlpm.last_col_idx),
    _xlpm.header_date, IF(ISNUMBER(_xlpm.header_val), _xlpm.header_val, DATEVALUE(_xlpm.header_val)),
    IF(_xlpm.header_date &gt; TODAY(), TODAY(), _xlpm.header_date)
)</f>
        <v>46212</v>
      </c>
      <c r="BW201" s="209" cm="1">
        <f t="array" ref="BW201">(LOOKUP(2,1/(BH201:BT201&lt;&gt;""),BH201:BT201))/(INDEX(BH201:BT201,MATCH(TRUE,INDEX((BH201:BT201&lt;&gt;0),0),0)))-1</f>
        <v>8.0459770114942541E-2</v>
      </c>
      <c r="BX201" s="210">
        <f t="shared" si="42"/>
        <v>2.82</v>
      </c>
      <c r="BY201" s="210">
        <f t="shared" si="43"/>
        <v>16.638000000000002</v>
      </c>
      <c r="BZ201" s="210">
        <f ca="1">IF(L201="BR",'Impostos e Frete'!$F$6,IF(L201="EU",'Impostos e Frete'!$I$3,IF(L201="CN",'Impostos e Frete'!$I$4,IF(L201="JP",'Impostos e Frete'!$I$5,IF(L201="RU",'Impostos e Frete'!$I$7,"ERRO")))))</f>
        <v>0.1410816</v>
      </c>
      <c r="CA201" s="210">
        <f>VLOOKUP(L201,'Impostos e Frete'!$A$3:$B$7,2,0)*'Preços e Condições'!BY201</f>
        <v>2.1629400000000003</v>
      </c>
      <c r="CB201" s="147">
        <f t="shared" si="44"/>
        <v>0</v>
      </c>
      <c r="CC201" s="147">
        <f>IF(X201="BRL",'Impostos e Frete'!$B$11,'Impostos e Frete'!$B$12)</f>
        <v>9.1999999999999998E-2</v>
      </c>
      <c r="CD201" s="211">
        <f t="shared" ca="1" si="45"/>
        <v>19.034021599999999</v>
      </c>
      <c r="CE201" s="212">
        <f t="shared" ca="1" si="46"/>
        <v>1.2943134688</v>
      </c>
      <c r="CF201" s="213">
        <f>VLOOKUP(L201,'Impostos e Frete'!$A$3:$C$7,3,0)</f>
        <v>105</v>
      </c>
      <c r="CG201" s="213">
        <f t="shared" si="47"/>
        <v>120</v>
      </c>
      <c r="CH201" s="213">
        <f t="shared" si="48"/>
        <v>15</v>
      </c>
      <c r="CI201" s="214">
        <f t="shared" ca="1" si="49"/>
        <v>-0.14116898139729983</v>
      </c>
      <c r="CJ201" s="215">
        <f t="shared" ca="1" si="50"/>
        <v>18.892852618602699</v>
      </c>
      <c r="CK201" s="216">
        <f t="shared" ca="1" si="51"/>
        <v>1.2847139780649834</v>
      </c>
    </row>
    <row r="202" spans="1:89">
      <c r="A202" s="176">
        <v>17050</v>
      </c>
      <c r="B202" s="177">
        <v>399</v>
      </c>
      <c r="C202" s="178">
        <v>68</v>
      </c>
      <c r="D202" s="178">
        <v>1270</v>
      </c>
      <c r="E202" s="178" t="s">
        <v>50</v>
      </c>
      <c r="F202" s="179" t="s">
        <v>47</v>
      </c>
      <c r="G202" s="179" t="s">
        <v>79</v>
      </c>
      <c r="H202" s="178" t="s">
        <v>42</v>
      </c>
      <c r="I202" s="178">
        <v>6656</v>
      </c>
      <c r="J202" s="178"/>
      <c r="K202" s="178"/>
      <c r="L202" s="178" t="s">
        <v>59</v>
      </c>
      <c r="M202" s="178">
        <v>120</v>
      </c>
      <c r="N202" s="178">
        <v>300</v>
      </c>
      <c r="O202" s="178"/>
      <c r="P202" s="178"/>
      <c r="Q202" s="178"/>
      <c r="R202" s="178" t="s">
        <v>19</v>
      </c>
      <c r="S202" s="181"/>
      <c r="T202" s="181"/>
      <c r="U202" s="182"/>
      <c r="V202" s="182" t="s">
        <v>35</v>
      </c>
      <c r="W202" s="183">
        <v>10</v>
      </c>
      <c r="X202" s="182" t="s">
        <v>51</v>
      </c>
      <c r="Y202" s="184">
        <v>2940</v>
      </c>
      <c r="Z202" s="184">
        <v>2940</v>
      </c>
      <c r="AA202" s="184">
        <v>2940</v>
      </c>
      <c r="AB202" s="184">
        <v>2940</v>
      </c>
      <c r="AC202" s="184">
        <v>2940</v>
      </c>
      <c r="AD202" s="184">
        <v>2940</v>
      </c>
      <c r="AE202" s="184">
        <v>2580</v>
      </c>
      <c r="AF202" s="184">
        <v>2580</v>
      </c>
      <c r="AG202" s="184">
        <v>2580</v>
      </c>
      <c r="AH202" s="184">
        <v>2430</v>
      </c>
      <c r="AI202" s="184">
        <v>2430</v>
      </c>
      <c r="AJ202" s="184">
        <v>2430</v>
      </c>
      <c r="AK202" s="184">
        <v>2490</v>
      </c>
      <c r="AL202" s="184">
        <v>2490</v>
      </c>
      <c r="AM202" s="184">
        <v>2490</v>
      </c>
      <c r="AN202" s="184">
        <v>2620</v>
      </c>
      <c r="AO202" s="184">
        <v>2620</v>
      </c>
      <c r="AP202" s="184">
        <v>2620</v>
      </c>
      <c r="AQ202" s="184">
        <v>2770</v>
      </c>
      <c r="AR202" s="184">
        <v>2770</v>
      </c>
      <c r="AS202" s="184">
        <v>2770</v>
      </c>
      <c r="AT202" s="184">
        <v>2770</v>
      </c>
      <c r="AU202" s="184">
        <v>2770</v>
      </c>
      <c r="AV202" s="184">
        <v>2770</v>
      </c>
      <c r="AW202" s="184">
        <v>2690</v>
      </c>
      <c r="AX202" s="184">
        <v>2690</v>
      </c>
      <c r="AY202" s="184">
        <v>2690</v>
      </c>
      <c r="AZ202" s="184">
        <v>2470</v>
      </c>
      <c r="BA202" s="184">
        <v>2470</v>
      </c>
      <c r="BB202" s="184">
        <v>2770</v>
      </c>
      <c r="BC202" s="184">
        <v>2770</v>
      </c>
      <c r="BD202" s="184">
        <v>2770</v>
      </c>
      <c r="BE202" s="184">
        <v>2770</v>
      </c>
      <c r="BF202" s="184">
        <v>2690</v>
      </c>
      <c r="BG202" s="184">
        <v>2690</v>
      </c>
      <c r="BH202" s="184">
        <v>2690</v>
      </c>
      <c r="BI202" s="184">
        <v>2720</v>
      </c>
      <c r="BJ202" s="184">
        <v>2720</v>
      </c>
      <c r="BK202" s="184">
        <v>2720</v>
      </c>
      <c r="BL202" s="184">
        <v>2820</v>
      </c>
      <c r="BM202" s="184">
        <v>2820</v>
      </c>
      <c r="BN202" s="184">
        <v>2820</v>
      </c>
      <c r="BO202" s="184">
        <v>2900</v>
      </c>
      <c r="BP202" s="184">
        <v>2900</v>
      </c>
      <c r="BQ202" s="184">
        <v>2900</v>
      </c>
      <c r="BR202" s="184"/>
      <c r="BS202" s="184"/>
      <c r="BT202" s="184"/>
      <c r="BU202" s="146" cm="1">
        <f t="array" ref="BU202">LOOKUP(2,1/(Y202:BT202&lt;&gt;""),Y202:BH202)</f>
        <v>2900</v>
      </c>
      <c r="BV202" s="145" cm="1">
        <f t="array" aca="1" ref="BV202" ca="1">_xlfn.LET(
    _xlpm.last_col_idx, LOOKUP(2, 1/(Y202:BT202&lt;&gt;""), COLUMN(Y202:BT202) - COLUMN(Y202) + 1),
    _xlpm.header_val, INDEX($Y$3:$BT$3, 1, _xlpm.last_col_idx),
    _xlpm.header_date, IF(ISNUMBER(_xlpm.header_val), _xlpm.header_val, DATEVALUE(_xlpm.header_val)),
    IF(_xlpm.header_date &gt; TODAY(), TODAY(), _xlpm.header_date)
)</f>
        <v>46212</v>
      </c>
      <c r="BW202" s="209" cm="1">
        <f t="array" ref="BW202">(LOOKUP(2,1/(BH202:BT202&lt;&gt;""),BH202:BT202))/(INDEX(BH202:BT202,MATCH(TRUE,INDEX((BH202:BT202&lt;&gt;0),0),0)))-1</f>
        <v>7.8066914498141182E-2</v>
      </c>
      <c r="BX202" s="210">
        <f t="shared" si="42"/>
        <v>2.9</v>
      </c>
      <c r="BY202" s="210">
        <f t="shared" si="43"/>
        <v>17.11</v>
      </c>
      <c r="BZ202" s="210">
        <f ca="1">IF(L202="BR",'Impostos e Frete'!$F$6,IF(L202="EU",'Impostos e Frete'!$I$3,IF(L202="CN",'Impostos e Frete'!$I$4,IF(L202="JP",'Impostos e Frete'!$I$5,IF(L202="RU",'Impostos e Frete'!$I$7,"ERRO")))))</f>
        <v>0.1410816</v>
      </c>
      <c r="CA202" s="210">
        <f>VLOOKUP(L202,'Impostos e Frete'!$A$3:$B$7,2,0)*'Preços e Condições'!BY202</f>
        <v>2.2242999999999999</v>
      </c>
      <c r="CB202" s="147">
        <f t="shared" si="44"/>
        <v>0</v>
      </c>
      <c r="CC202" s="147">
        <f>IF(X202="BRL",'Impostos e Frete'!$B$11,'Impostos e Frete'!$B$12)</f>
        <v>9.1999999999999998E-2</v>
      </c>
      <c r="CD202" s="211">
        <f t="shared" ca="1" si="45"/>
        <v>19.567381599999997</v>
      </c>
      <c r="CE202" s="212">
        <f t="shared" ca="1" si="46"/>
        <v>1.3305819487999997</v>
      </c>
      <c r="CF202" s="213">
        <f>VLOOKUP(L202,'Impostos e Frete'!$A$3:$C$7,3,0)</f>
        <v>105</v>
      </c>
      <c r="CG202" s="213">
        <f t="shared" si="47"/>
        <v>120</v>
      </c>
      <c r="CH202" s="213">
        <f t="shared" si="48"/>
        <v>15</v>
      </c>
      <c r="CI202" s="214">
        <f t="shared" ca="1" si="49"/>
        <v>-0.1451247343905635</v>
      </c>
      <c r="CJ202" s="215">
        <f t="shared" ca="1" si="50"/>
        <v>19.422256865609434</v>
      </c>
      <c r="CK202" s="216">
        <f t="shared" ca="1" si="51"/>
        <v>1.3207134668614415</v>
      </c>
    </row>
    <row r="203" spans="1:89">
      <c r="A203" s="176">
        <v>17051</v>
      </c>
      <c r="B203" s="177" t="s">
        <v>52</v>
      </c>
      <c r="C203" s="178">
        <v>71</v>
      </c>
      <c r="D203" s="178">
        <v>1870</v>
      </c>
      <c r="E203" s="178" t="s">
        <v>50</v>
      </c>
      <c r="F203" s="179" t="s">
        <v>47</v>
      </c>
      <c r="G203" s="185" t="s">
        <v>92</v>
      </c>
      <c r="H203" s="178" t="s">
        <v>42</v>
      </c>
      <c r="I203" s="178" t="s">
        <v>40</v>
      </c>
      <c r="J203" s="178"/>
      <c r="K203" s="178"/>
      <c r="L203" s="178" t="s">
        <v>59</v>
      </c>
      <c r="M203" s="178">
        <v>120</v>
      </c>
      <c r="N203" s="178">
        <v>300</v>
      </c>
      <c r="O203" s="178"/>
      <c r="P203" s="178"/>
      <c r="Q203" s="178"/>
      <c r="R203" s="178" t="s">
        <v>19</v>
      </c>
      <c r="S203" s="181"/>
      <c r="T203" s="181"/>
      <c r="U203" s="182"/>
      <c r="V203" s="182" t="s">
        <v>35</v>
      </c>
      <c r="W203" s="183">
        <v>50</v>
      </c>
      <c r="X203" s="182" t="s">
        <v>51</v>
      </c>
      <c r="Y203" s="184">
        <v>2940</v>
      </c>
      <c r="Z203" s="184">
        <v>2940</v>
      </c>
      <c r="AA203" s="184">
        <v>2940</v>
      </c>
      <c r="AB203" s="184">
        <v>2940</v>
      </c>
      <c r="AC203" s="184">
        <v>2940</v>
      </c>
      <c r="AD203" s="184">
        <v>2940</v>
      </c>
      <c r="AE203" s="184">
        <v>2300</v>
      </c>
      <c r="AF203" s="184">
        <v>2300</v>
      </c>
      <c r="AG203" s="184">
        <v>2300</v>
      </c>
      <c r="AH203" s="184">
        <v>2150</v>
      </c>
      <c r="AI203" s="184">
        <v>2150</v>
      </c>
      <c r="AJ203" s="184">
        <v>2150</v>
      </c>
      <c r="AK203" s="184">
        <v>2210</v>
      </c>
      <c r="AL203" s="184">
        <v>2210</v>
      </c>
      <c r="AM203" s="184">
        <v>2210</v>
      </c>
      <c r="AN203" s="184">
        <v>2340</v>
      </c>
      <c r="AO203" s="184">
        <v>2340</v>
      </c>
      <c r="AP203" s="184">
        <v>2340</v>
      </c>
      <c r="AQ203" s="184">
        <v>2490</v>
      </c>
      <c r="AR203" s="184">
        <v>2490</v>
      </c>
      <c r="AS203" s="184">
        <v>2490</v>
      </c>
      <c r="AT203" s="184">
        <v>2490</v>
      </c>
      <c r="AU203" s="184">
        <v>2490</v>
      </c>
      <c r="AV203" s="184">
        <v>2490</v>
      </c>
      <c r="AW203" s="184">
        <v>2410</v>
      </c>
      <c r="AX203" s="184">
        <v>2410</v>
      </c>
      <c r="AY203" s="184">
        <v>2410</v>
      </c>
      <c r="AZ203" s="184">
        <v>2170</v>
      </c>
      <c r="BA203" s="184">
        <v>2170</v>
      </c>
      <c r="BB203" s="184">
        <v>2300</v>
      </c>
      <c r="BC203" s="184">
        <v>2300</v>
      </c>
      <c r="BD203" s="184">
        <v>2300</v>
      </c>
      <c r="BE203" s="184">
        <v>2300</v>
      </c>
      <c r="BF203" s="184">
        <v>2200</v>
      </c>
      <c r="BG203" s="184">
        <v>2200</v>
      </c>
      <c r="BH203" s="184">
        <v>2200</v>
      </c>
      <c r="BI203" s="184">
        <v>2220</v>
      </c>
      <c r="BJ203" s="184">
        <v>2220</v>
      </c>
      <c r="BK203" s="184">
        <v>2220</v>
      </c>
      <c r="BL203" s="184">
        <v>2320</v>
      </c>
      <c r="BM203" s="184">
        <v>2320</v>
      </c>
      <c r="BN203" s="184">
        <v>2320</v>
      </c>
      <c r="BO203" s="184">
        <v>2400</v>
      </c>
      <c r="BP203" s="184">
        <v>2400</v>
      </c>
      <c r="BQ203" s="184">
        <v>2400</v>
      </c>
      <c r="BR203" s="184"/>
      <c r="BS203" s="184"/>
      <c r="BT203" s="184"/>
      <c r="BU203" s="146" cm="1">
        <f t="array" ref="BU203">LOOKUP(2,1/(Y203:BT203&lt;&gt;""),Y203:BH203)</f>
        <v>2400</v>
      </c>
      <c r="BV203" s="145" cm="1">
        <f t="array" aca="1" ref="BV203" ca="1">_xlfn.LET(
    _xlpm.last_col_idx, LOOKUP(2, 1/(Y203:BT203&lt;&gt;""), COLUMN(Y203:BT203) - COLUMN(Y203) + 1),
    _xlpm.header_val, INDEX($Y$3:$BT$3, 1, _xlpm.last_col_idx),
    _xlpm.header_date, IF(ISNUMBER(_xlpm.header_val), _xlpm.header_val, DATEVALUE(_xlpm.header_val)),
    IF(_xlpm.header_date &gt; TODAY(), TODAY(), _xlpm.header_date)
)</f>
        <v>46212</v>
      </c>
      <c r="BW203" s="209" cm="1">
        <f t="array" ref="BW203">(LOOKUP(2,1/(BH203:BT203&lt;&gt;""),BH203:BT203))/(INDEX(BH203:BT203,MATCH(TRUE,INDEX((BH203:BT203&lt;&gt;0),0),0)))-1</f>
        <v>9.0909090909090828E-2</v>
      </c>
      <c r="BX203" s="210">
        <f t="shared" si="42"/>
        <v>2.4</v>
      </c>
      <c r="BY203" s="210">
        <f t="shared" si="43"/>
        <v>14.16</v>
      </c>
      <c r="BZ203" s="210">
        <f ca="1">IF(L203="BR",'Impostos e Frete'!$F$6,IF(L203="EU",'Impostos e Frete'!$I$3,IF(L203="CN",'Impostos e Frete'!$I$4,IF(L203="JP",'Impostos e Frete'!$I$5,IF(L203="RU",'Impostos e Frete'!$I$7,"ERRO")))))</f>
        <v>0.1410816</v>
      </c>
      <c r="CA203" s="210">
        <f>VLOOKUP(L203,'Impostos e Frete'!$A$3:$B$7,2,0)*'Preços e Condições'!BY203</f>
        <v>1.8408</v>
      </c>
      <c r="CB203" s="147">
        <f t="shared" si="44"/>
        <v>0</v>
      </c>
      <c r="CC203" s="147">
        <f>IF(X203="BRL",'Impostos e Frete'!$B$11,'Impostos e Frete'!$B$12)</f>
        <v>9.1999999999999998E-2</v>
      </c>
      <c r="CD203" s="211">
        <f t="shared" ca="1" si="45"/>
        <v>16.2338816</v>
      </c>
      <c r="CE203" s="212">
        <f t="shared" ca="1" si="46"/>
        <v>1.1526055935999999</v>
      </c>
      <c r="CF203" s="213">
        <f>VLOOKUP(L203,'Impostos e Frete'!$A$3:$C$7,3,0)</f>
        <v>105</v>
      </c>
      <c r="CG203" s="213">
        <f t="shared" si="47"/>
        <v>120</v>
      </c>
      <c r="CH203" s="213">
        <f t="shared" si="48"/>
        <v>15</v>
      </c>
      <c r="CI203" s="214">
        <f t="shared" ca="1" si="49"/>
        <v>-0.120401278182662</v>
      </c>
      <c r="CJ203" s="215">
        <f t="shared" ca="1" si="50"/>
        <v>16.113480321817338</v>
      </c>
      <c r="CK203" s="216">
        <f t="shared" ca="1" si="51"/>
        <v>1.1440571028490312</v>
      </c>
    </row>
    <row r="204" spans="1:89">
      <c r="A204" s="176">
        <v>17051</v>
      </c>
      <c r="B204" s="177" t="s">
        <v>52</v>
      </c>
      <c r="C204" s="178">
        <v>71</v>
      </c>
      <c r="D204" s="178">
        <v>1870</v>
      </c>
      <c r="E204" s="178" t="s">
        <v>50</v>
      </c>
      <c r="F204" s="179" t="s">
        <v>47</v>
      </c>
      <c r="G204" s="185" t="s">
        <v>92</v>
      </c>
      <c r="H204" s="178" t="s">
        <v>42</v>
      </c>
      <c r="I204" s="178" t="s">
        <v>40</v>
      </c>
      <c r="J204" s="178"/>
      <c r="K204" s="178"/>
      <c r="L204" s="178" t="s">
        <v>59</v>
      </c>
      <c r="M204" s="178">
        <v>120</v>
      </c>
      <c r="N204" s="178">
        <v>300</v>
      </c>
      <c r="O204" s="178"/>
      <c r="P204" s="178"/>
      <c r="Q204" s="178"/>
      <c r="R204" s="178" t="s">
        <v>19</v>
      </c>
      <c r="S204" s="181"/>
      <c r="T204" s="181"/>
      <c r="U204" s="182"/>
      <c r="V204" s="182" t="s">
        <v>35</v>
      </c>
      <c r="W204" s="183">
        <v>30</v>
      </c>
      <c r="X204" s="182" t="s">
        <v>51</v>
      </c>
      <c r="Y204" s="184">
        <v>2990</v>
      </c>
      <c r="Z204" s="184">
        <v>2990</v>
      </c>
      <c r="AA204" s="184">
        <v>2990</v>
      </c>
      <c r="AB204" s="184">
        <v>2990</v>
      </c>
      <c r="AC204" s="184">
        <v>2990</v>
      </c>
      <c r="AD204" s="184">
        <v>2990</v>
      </c>
      <c r="AE204" s="184">
        <v>2350</v>
      </c>
      <c r="AF204" s="184">
        <v>2350</v>
      </c>
      <c r="AG204" s="184">
        <v>2350</v>
      </c>
      <c r="AH204" s="184">
        <v>2200</v>
      </c>
      <c r="AI204" s="184">
        <v>2200</v>
      </c>
      <c r="AJ204" s="184">
        <v>2200</v>
      </c>
      <c r="AK204" s="146">
        <f>AK203+50</f>
        <v>2260</v>
      </c>
      <c r="AL204" s="146">
        <f>AL203+50</f>
        <v>2260</v>
      </c>
      <c r="AM204" s="146">
        <f>AM203+50</f>
        <v>2260</v>
      </c>
      <c r="AN204" s="184">
        <v>2390</v>
      </c>
      <c r="AO204" s="184">
        <v>2390</v>
      </c>
      <c r="AP204" s="184">
        <v>2390</v>
      </c>
      <c r="AQ204" s="184">
        <v>2540</v>
      </c>
      <c r="AR204" s="184">
        <v>2540</v>
      </c>
      <c r="AS204" s="184">
        <v>2540</v>
      </c>
      <c r="AT204" s="184">
        <v>2540</v>
      </c>
      <c r="AU204" s="184">
        <v>2540</v>
      </c>
      <c r="AV204" s="184">
        <v>2540</v>
      </c>
      <c r="AW204" s="184">
        <v>2460</v>
      </c>
      <c r="AX204" s="184">
        <v>2460</v>
      </c>
      <c r="AY204" s="184">
        <v>2460</v>
      </c>
      <c r="AZ204" s="184">
        <v>2220</v>
      </c>
      <c r="BA204" s="184">
        <v>2220</v>
      </c>
      <c r="BB204" s="184">
        <v>2350</v>
      </c>
      <c r="BC204" s="184">
        <v>2350</v>
      </c>
      <c r="BD204" s="184">
        <v>2350</v>
      </c>
      <c r="BE204" s="184">
        <v>2350</v>
      </c>
      <c r="BF204" s="184">
        <v>2250</v>
      </c>
      <c r="BG204" s="184">
        <v>2250</v>
      </c>
      <c r="BH204" s="184">
        <v>2250</v>
      </c>
      <c r="BI204" s="184">
        <v>2270</v>
      </c>
      <c r="BJ204" s="184">
        <v>2270</v>
      </c>
      <c r="BK204" s="184">
        <v>2270</v>
      </c>
      <c r="BL204" s="184">
        <v>2370</v>
      </c>
      <c r="BM204" s="184">
        <v>2370</v>
      </c>
      <c r="BN204" s="184">
        <v>2370</v>
      </c>
      <c r="BO204" s="184">
        <v>2450</v>
      </c>
      <c r="BP204" s="184">
        <v>2450</v>
      </c>
      <c r="BQ204" s="184">
        <v>2450</v>
      </c>
      <c r="BR204" s="184"/>
      <c r="BS204" s="184"/>
      <c r="BT204" s="184"/>
      <c r="BU204" s="146" cm="1">
        <f t="array" ref="BU204">LOOKUP(2,1/(Y204:BT204&lt;&gt;""),Y204:BH204)</f>
        <v>2450</v>
      </c>
      <c r="BV204" s="145" cm="1">
        <f t="array" aca="1" ref="BV204" ca="1">_xlfn.LET(
    _xlpm.last_col_idx, LOOKUP(2, 1/(Y204:BT204&lt;&gt;""), COLUMN(Y204:BT204) - COLUMN(Y204) + 1),
    _xlpm.header_val, INDEX($Y$3:$BT$3, 1, _xlpm.last_col_idx),
    _xlpm.header_date, IF(ISNUMBER(_xlpm.header_val), _xlpm.header_val, DATEVALUE(_xlpm.header_val)),
    IF(_xlpm.header_date &gt; TODAY(), TODAY(), _xlpm.header_date)
)</f>
        <v>46212</v>
      </c>
      <c r="BW204" s="209" cm="1">
        <f t="array" ref="BW204">(LOOKUP(2,1/(BH204:BT204&lt;&gt;""),BH204:BT204))/(INDEX(BH204:BT204,MATCH(TRUE,INDEX((BH204:BT204&lt;&gt;0),0),0)))-1</f>
        <v>8.8888888888888795E-2</v>
      </c>
      <c r="BX204" s="210">
        <f t="shared" si="42"/>
        <v>2.4500000000000002</v>
      </c>
      <c r="BY204" s="210">
        <f t="shared" si="43"/>
        <v>14.455000000000002</v>
      </c>
      <c r="BZ204" s="210">
        <f ca="1">IF(L204="BR",'Impostos e Frete'!$F$6,IF(L204="EU",'Impostos e Frete'!$I$3,IF(L204="CN",'Impostos e Frete'!$I$4,IF(L204="JP",'Impostos e Frete'!$I$5,IF(L204="RU",'Impostos e Frete'!$I$7,"ERRO")))))</f>
        <v>0.1410816</v>
      </c>
      <c r="CA204" s="210">
        <f>VLOOKUP(L204,'Impostos e Frete'!$A$3:$B$7,2,0)*'Preços e Condições'!BY204</f>
        <v>1.8791500000000003</v>
      </c>
      <c r="CB204" s="147">
        <f t="shared" si="44"/>
        <v>0</v>
      </c>
      <c r="CC204" s="147">
        <f>IF(X204="BRL",'Impostos e Frete'!$B$11,'Impostos e Frete'!$B$12)</f>
        <v>9.1999999999999998E-2</v>
      </c>
      <c r="CD204" s="211">
        <f t="shared" ca="1" si="45"/>
        <v>16.5672316</v>
      </c>
      <c r="CE204" s="212">
        <f t="shared" ca="1" si="46"/>
        <v>1.1762734436</v>
      </c>
      <c r="CF204" s="213">
        <f>VLOOKUP(L204,'Impostos e Frete'!$A$3:$C$7,3,0)</f>
        <v>105</v>
      </c>
      <c r="CG204" s="213">
        <f t="shared" si="47"/>
        <v>120</v>
      </c>
      <c r="CH204" s="213">
        <f t="shared" si="48"/>
        <v>15</v>
      </c>
      <c r="CI204" s="214">
        <f t="shared" ca="1" si="49"/>
        <v>-0.12287362380345002</v>
      </c>
      <c r="CJ204" s="215">
        <f t="shared" ca="1" si="50"/>
        <v>16.444357976196549</v>
      </c>
      <c r="CK204" s="216">
        <f t="shared" ca="1" si="51"/>
        <v>1.1675494163099551</v>
      </c>
    </row>
    <row r="205" spans="1:89">
      <c r="A205" s="176">
        <v>17051</v>
      </c>
      <c r="B205" s="177" t="s">
        <v>52</v>
      </c>
      <c r="C205" s="178">
        <v>71</v>
      </c>
      <c r="D205" s="178">
        <v>1870</v>
      </c>
      <c r="E205" s="178" t="s">
        <v>50</v>
      </c>
      <c r="F205" s="179" t="s">
        <v>47</v>
      </c>
      <c r="G205" s="185" t="s">
        <v>92</v>
      </c>
      <c r="H205" s="178" t="s">
        <v>42</v>
      </c>
      <c r="I205" s="178" t="s">
        <v>40</v>
      </c>
      <c r="J205" s="178"/>
      <c r="K205" s="178"/>
      <c r="L205" s="178" t="s">
        <v>59</v>
      </c>
      <c r="M205" s="178">
        <v>120</v>
      </c>
      <c r="N205" s="178">
        <v>300</v>
      </c>
      <c r="O205" s="178"/>
      <c r="P205" s="178"/>
      <c r="Q205" s="178"/>
      <c r="R205" s="178" t="s">
        <v>19</v>
      </c>
      <c r="S205" s="181"/>
      <c r="T205" s="181"/>
      <c r="U205" s="182"/>
      <c r="V205" s="182" t="s">
        <v>35</v>
      </c>
      <c r="W205" s="183">
        <v>20</v>
      </c>
      <c r="X205" s="182" t="s">
        <v>51</v>
      </c>
      <c r="Y205" s="184">
        <v>3040</v>
      </c>
      <c r="Z205" s="184">
        <v>3040</v>
      </c>
      <c r="AA205" s="184">
        <v>3040</v>
      </c>
      <c r="AB205" s="184">
        <v>3040</v>
      </c>
      <c r="AC205" s="184">
        <v>3040</v>
      </c>
      <c r="AD205" s="184">
        <v>3040</v>
      </c>
      <c r="AE205" s="184">
        <v>2400</v>
      </c>
      <c r="AF205" s="184">
        <v>2400</v>
      </c>
      <c r="AG205" s="184">
        <v>2400</v>
      </c>
      <c r="AH205" s="184">
        <v>2250</v>
      </c>
      <c r="AI205" s="184">
        <v>2250</v>
      </c>
      <c r="AJ205" s="184">
        <v>2250</v>
      </c>
      <c r="AK205" s="146">
        <f>AK203+100</f>
        <v>2310</v>
      </c>
      <c r="AL205" s="146">
        <f>AL203+100</f>
        <v>2310</v>
      </c>
      <c r="AM205" s="146">
        <f>AM203+100</f>
        <v>2310</v>
      </c>
      <c r="AN205" s="184">
        <v>2440</v>
      </c>
      <c r="AO205" s="184">
        <v>2440</v>
      </c>
      <c r="AP205" s="184">
        <v>2440</v>
      </c>
      <c r="AQ205" s="184">
        <v>2590</v>
      </c>
      <c r="AR205" s="184">
        <v>2590</v>
      </c>
      <c r="AS205" s="184">
        <v>2590</v>
      </c>
      <c r="AT205" s="184">
        <v>2590</v>
      </c>
      <c r="AU205" s="184">
        <v>2590</v>
      </c>
      <c r="AV205" s="184">
        <v>2590</v>
      </c>
      <c r="AW205" s="184">
        <v>2510</v>
      </c>
      <c r="AX205" s="184">
        <v>2510</v>
      </c>
      <c r="AY205" s="184">
        <v>2510</v>
      </c>
      <c r="AZ205" s="184">
        <v>2270</v>
      </c>
      <c r="BA205" s="184">
        <v>2270</v>
      </c>
      <c r="BB205" s="184">
        <v>2400</v>
      </c>
      <c r="BC205" s="184">
        <v>2400</v>
      </c>
      <c r="BD205" s="184">
        <v>2400</v>
      </c>
      <c r="BE205" s="184">
        <v>2400</v>
      </c>
      <c r="BF205" s="184">
        <v>2300</v>
      </c>
      <c r="BG205" s="184">
        <v>2300</v>
      </c>
      <c r="BH205" s="184">
        <v>2300</v>
      </c>
      <c r="BI205" s="184">
        <v>2320</v>
      </c>
      <c r="BJ205" s="184">
        <v>2320</v>
      </c>
      <c r="BK205" s="184">
        <v>2320</v>
      </c>
      <c r="BL205" s="184">
        <v>2420</v>
      </c>
      <c r="BM205" s="184">
        <v>2420</v>
      </c>
      <c r="BN205" s="184">
        <v>2420</v>
      </c>
      <c r="BO205" s="184">
        <v>2500</v>
      </c>
      <c r="BP205" s="184">
        <v>2500</v>
      </c>
      <c r="BQ205" s="184">
        <v>2500</v>
      </c>
      <c r="BR205" s="184"/>
      <c r="BS205" s="184"/>
      <c r="BT205" s="184"/>
      <c r="BU205" s="146" cm="1">
        <f t="array" ref="BU205">LOOKUP(2,1/(Y205:BT205&lt;&gt;""),Y205:BH205)</f>
        <v>2500</v>
      </c>
      <c r="BV205" s="145" cm="1">
        <f t="array" aca="1" ref="BV205" ca="1">_xlfn.LET(
    _xlpm.last_col_idx, LOOKUP(2, 1/(Y205:BT205&lt;&gt;""), COLUMN(Y205:BT205) - COLUMN(Y205) + 1),
    _xlpm.header_val, INDEX($Y$3:$BT$3, 1, _xlpm.last_col_idx),
    _xlpm.header_date, IF(ISNUMBER(_xlpm.header_val), _xlpm.header_val, DATEVALUE(_xlpm.header_val)),
    IF(_xlpm.header_date &gt; TODAY(), TODAY(), _xlpm.header_date)
)</f>
        <v>46212</v>
      </c>
      <c r="BW205" s="209" cm="1">
        <f t="array" ref="BW205">(LOOKUP(2,1/(BH205:BT205&lt;&gt;""),BH205:BT205))/(INDEX(BH205:BT205,MATCH(TRUE,INDEX((BH205:BT205&lt;&gt;0),0),0)))-1</f>
        <v>8.6956521739130377E-2</v>
      </c>
      <c r="BX205" s="210">
        <f t="shared" si="42"/>
        <v>2.5</v>
      </c>
      <c r="BY205" s="210">
        <f t="shared" si="43"/>
        <v>14.75</v>
      </c>
      <c r="BZ205" s="210">
        <f ca="1">IF(L205="BR",'Impostos e Frete'!$F$6,IF(L205="EU",'Impostos e Frete'!$I$3,IF(L205="CN",'Impostos e Frete'!$I$4,IF(L205="JP",'Impostos e Frete'!$I$5,IF(L205="RU",'Impostos e Frete'!$I$7,"ERRO")))))</f>
        <v>0.1410816</v>
      </c>
      <c r="CA205" s="210">
        <f>VLOOKUP(L205,'Impostos e Frete'!$A$3:$B$7,2,0)*'Preços e Condições'!BY205</f>
        <v>1.9175</v>
      </c>
      <c r="CB205" s="147">
        <f t="shared" si="44"/>
        <v>0</v>
      </c>
      <c r="CC205" s="147">
        <f>IF(X205="BRL",'Impostos e Frete'!$B$11,'Impostos e Frete'!$B$12)</f>
        <v>9.1999999999999998E-2</v>
      </c>
      <c r="CD205" s="211">
        <f t="shared" ca="1" si="45"/>
        <v>16.900581599999999</v>
      </c>
      <c r="CE205" s="212">
        <f t="shared" ca="1" si="46"/>
        <v>1.1999412936</v>
      </c>
      <c r="CF205" s="213">
        <f>VLOOKUP(L205,'Impostos e Frete'!$A$3:$C$7,3,0)</f>
        <v>105</v>
      </c>
      <c r="CG205" s="213">
        <f t="shared" si="47"/>
        <v>120</v>
      </c>
      <c r="CH205" s="213">
        <f t="shared" si="48"/>
        <v>15</v>
      </c>
      <c r="CI205" s="214">
        <f t="shared" ca="1" si="49"/>
        <v>-0.12534596942424159</v>
      </c>
      <c r="CJ205" s="215">
        <f t="shared" ca="1" si="50"/>
        <v>16.775235630575757</v>
      </c>
      <c r="CK205" s="216">
        <f t="shared" ca="1" si="51"/>
        <v>1.1910417297708789</v>
      </c>
    </row>
    <row r="206" spans="1:89">
      <c r="A206" s="176">
        <v>17051</v>
      </c>
      <c r="B206" s="177" t="s">
        <v>52</v>
      </c>
      <c r="C206" s="178">
        <v>71</v>
      </c>
      <c r="D206" s="178">
        <v>1870</v>
      </c>
      <c r="E206" s="178" t="s">
        <v>50</v>
      </c>
      <c r="F206" s="179" t="s">
        <v>47</v>
      </c>
      <c r="G206" s="185" t="s">
        <v>92</v>
      </c>
      <c r="H206" s="178" t="s">
        <v>42</v>
      </c>
      <c r="I206" s="178" t="s">
        <v>40</v>
      </c>
      <c r="J206" s="178"/>
      <c r="K206" s="178"/>
      <c r="L206" s="178" t="s">
        <v>59</v>
      </c>
      <c r="M206" s="178">
        <v>120</v>
      </c>
      <c r="N206" s="178">
        <v>300</v>
      </c>
      <c r="O206" s="178"/>
      <c r="P206" s="178"/>
      <c r="Q206" s="178"/>
      <c r="R206" s="178" t="s">
        <v>19</v>
      </c>
      <c r="S206" s="181"/>
      <c r="T206" s="181"/>
      <c r="U206" s="182"/>
      <c r="V206" s="182" t="s">
        <v>35</v>
      </c>
      <c r="W206" s="183">
        <v>10</v>
      </c>
      <c r="X206" s="182" t="s">
        <v>51</v>
      </c>
      <c r="Y206" s="184">
        <v>3120</v>
      </c>
      <c r="Z206" s="184">
        <v>3120</v>
      </c>
      <c r="AA206" s="184">
        <v>3120</v>
      </c>
      <c r="AB206" s="184">
        <v>3120</v>
      </c>
      <c r="AC206" s="184">
        <v>3120</v>
      </c>
      <c r="AD206" s="184">
        <v>3120</v>
      </c>
      <c r="AE206" s="184">
        <v>2480</v>
      </c>
      <c r="AF206" s="184">
        <v>2480</v>
      </c>
      <c r="AG206" s="184">
        <v>2480</v>
      </c>
      <c r="AH206" s="184">
        <v>2330</v>
      </c>
      <c r="AI206" s="184">
        <v>2330</v>
      </c>
      <c r="AJ206" s="184">
        <v>2330</v>
      </c>
      <c r="AK206" s="146">
        <f>AK203+180</f>
        <v>2390</v>
      </c>
      <c r="AL206" s="146">
        <f>AL203+180</f>
        <v>2390</v>
      </c>
      <c r="AM206" s="146">
        <f>AM203+180</f>
        <v>2390</v>
      </c>
      <c r="AN206" s="184">
        <v>2520</v>
      </c>
      <c r="AO206" s="184">
        <v>2520</v>
      </c>
      <c r="AP206" s="184">
        <v>2520</v>
      </c>
      <c r="AQ206" s="184">
        <v>2670</v>
      </c>
      <c r="AR206" s="184">
        <v>2670</v>
      </c>
      <c r="AS206" s="184">
        <v>2670</v>
      </c>
      <c r="AT206" s="184">
        <v>2670</v>
      </c>
      <c r="AU206" s="184">
        <v>2670</v>
      </c>
      <c r="AV206" s="184">
        <v>2670</v>
      </c>
      <c r="AW206" s="184">
        <v>2590</v>
      </c>
      <c r="AX206" s="184">
        <v>2590</v>
      </c>
      <c r="AY206" s="184">
        <v>2590</v>
      </c>
      <c r="AZ206" s="184">
        <v>2350</v>
      </c>
      <c r="BA206" s="184">
        <v>2350</v>
      </c>
      <c r="BB206" s="184">
        <v>2480</v>
      </c>
      <c r="BC206" s="184">
        <v>2480</v>
      </c>
      <c r="BD206" s="184">
        <v>2480</v>
      </c>
      <c r="BE206" s="184">
        <v>2480</v>
      </c>
      <c r="BF206" s="184">
        <v>2380</v>
      </c>
      <c r="BG206" s="184">
        <v>2380</v>
      </c>
      <c r="BH206" s="184">
        <v>2380</v>
      </c>
      <c r="BI206" s="184">
        <v>2400</v>
      </c>
      <c r="BJ206" s="184">
        <v>2400</v>
      </c>
      <c r="BK206" s="184">
        <v>2400</v>
      </c>
      <c r="BL206" s="184">
        <v>2500</v>
      </c>
      <c r="BM206" s="184">
        <v>2500</v>
      </c>
      <c r="BN206" s="184">
        <v>2500</v>
      </c>
      <c r="BO206" s="184">
        <v>2580</v>
      </c>
      <c r="BP206" s="184">
        <v>2580</v>
      </c>
      <c r="BQ206" s="184">
        <v>2580</v>
      </c>
      <c r="BR206" s="184"/>
      <c r="BS206" s="184"/>
      <c r="BT206" s="184"/>
      <c r="BU206" s="146" cm="1">
        <f t="array" ref="BU206">LOOKUP(2,1/(Y206:BT206&lt;&gt;""),Y206:BH206)</f>
        <v>2580</v>
      </c>
      <c r="BV206" s="145" cm="1">
        <f t="array" aca="1" ref="BV206" ca="1">_xlfn.LET(
    _xlpm.last_col_idx, LOOKUP(2, 1/(Y206:BT206&lt;&gt;""), COLUMN(Y206:BT206) - COLUMN(Y206) + 1),
    _xlpm.header_val, INDEX($Y$3:$BT$3, 1, _xlpm.last_col_idx),
    _xlpm.header_date, IF(ISNUMBER(_xlpm.header_val), _xlpm.header_val, DATEVALUE(_xlpm.header_val)),
    IF(_xlpm.header_date &gt; TODAY(), TODAY(), _xlpm.header_date)
)</f>
        <v>46212</v>
      </c>
      <c r="BW206" s="209" cm="1">
        <f t="array" ref="BW206">(LOOKUP(2,1/(BH206:BT206&lt;&gt;""),BH206:BT206))/(INDEX(BH206:BT206,MATCH(TRUE,INDEX((BH206:BT206&lt;&gt;0),0),0)))-1</f>
        <v>8.4033613445378075E-2</v>
      </c>
      <c r="BX206" s="210">
        <f t="shared" si="42"/>
        <v>2.58</v>
      </c>
      <c r="BY206" s="210">
        <f t="shared" si="43"/>
        <v>15.222000000000001</v>
      </c>
      <c r="BZ206" s="210">
        <f ca="1">IF(L206="BR",'Impostos e Frete'!$F$6,IF(L206="EU",'Impostos e Frete'!$I$3,IF(L206="CN",'Impostos e Frete'!$I$4,IF(L206="JP",'Impostos e Frete'!$I$5,IF(L206="RU",'Impostos e Frete'!$I$7,"ERRO")))))</f>
        <v>0.1410816</v>
      </c>
      <c r="CA206" s="210">
        <f>VLOOKUP(L206,'Impostos e Frete'!$A$3:$B$7,2,0)*'Preços e Condições'!BY206</f>
        <v>1.9788600000000003</v>
      </c>
      <c r="CB206" s="147">
        <f t="shared" si="44"/>
        <v>0</v>
      </c>
      <c r="CC206" s="147">
        <f>IF(X206="BRL",'Impostos e Frete'!$B$11,'Impostos e Frete'!$B$12)</f>
        <v>9.1999999999999998E-2</v>
      </c>
      <c r="CD206" s="211">
        <f t="shared" ca="1" si="45"/>
        <v>17.433941600000001</v>
      </c>
      <c r="CE206" s="212">
        <f t="shared" ca="1" si="46"/>
        <v>1.2378098536</v>
      </c>
      <c r="CF206" s="213">
        <f>VLOOKUP(L206,'Impostos e Frete'!$A$3:$C$7,3,0)</f>
        <v>105</v>
      </c>
      <c r="CG206" s="213">
        <f t="shared" si="47"/>
        <v>120</v>
      </c>
      <c r="CH206" s="213">
        <f t="shared" si="48"/>
        <v>15</v>
      </c>
      <c r="CI206" s="214">
        <f t="shared" ca="1" si="49"/>
        <v>-0.12930172241750526</v>
      </c>
      <c r="CJ206" s="215">
        <f t="shared" ca="1" si="50"/>
        <v>17.304639877582495</v>
      </c>
      <c r="CK206" s="216">
        <f t="shared" ca="1" si="51"/>
        <v>1.2286294313083572</v>
      </c>
    </row>
    <row r="207" spans="1:89">
      <c r="A207" s="176">
        <v>17054</v>
      </c>
      <c r="B207" s="177" t="s">
        <v>52</v>
      </c>
      <c r="C207" s="178">
        <v>71</v>
      </c>
      <c r="D207" s="178">
        <v>2070</v>
      </c>
      <c r="E207" s="178" t="s">
        <v>50</v>
      </c>
      <c r="F207" s="179" t="s">
        <v>47</v>
      </c>
      <c r="G207" s="185" t="s">
        <v>92</v>
      </c>
      <c r="H207" s="178" t="s">
        <v>42</v>
      </c>
      <c r="I207" s="178" t="s">
        <v>40</v>
      </c>
      <c r="J207" s="178"/>
      <c r="K207" s="178"/>
      <c r="L207" s="178" t="s">
        <v>59</v>
      </c>
      <c r="M207" s="178">
        <v>120</v>
      </c>
      <c r="N207" s="178">
        <v>300</v>
      </c>
      <c r="O207" s="178"/>
      <c r="P207" s="178"/>
      <c r="Q207" s="178"/>
      <c r="R207" s="178" t="s">
        <v>19</v>
      </c>
      <c r="S207" s="181"/>
      <c r="T207" s="181"/>
      <c r="U207" s="182"/>
      <c r="V207" s="182" t="s">
        <v>35</v>
      </c>
      <c r="W207" s="183">
        <v>50</v>
      </c>
      <c r="X207" s="182" t="s">
        <v>51</v>
      </c>
      <c r="Y207" s="184">
        <v>2940</v>
      </c>
      <c r="Z207" s="184">
        <v>2940</v>
      </c>
      <c r="AA207" s="184">
        <v>2940</v>
      </c>
      <c r="AB207" s="184">
        <v>2940</v>
      </c>
      <c r="AC207" s="184">
        <v>2940</v>
      </c>
      <c r="AD207" s="184">
        <v>2940</v>
      </c>
      <c r="AE207" s="184">
        <v>2300</v>
      </c>
      <c r="AF207" s="184">
        <v>2300</v>
      </c>
      <c r="AG207" s="184">
        <v>2300</v>
      </c>
      <c r="AH207" s="184">
        <v>2150</v>
      </c>
      <c r="AI207" s="184">
        <v>2150</v>
      </c>
      <c r="AJ207" s="184">
        <v>2150</v>
      </c>
      <c r="AK207" s="184">
        <v>2210</v>
      </c>
      <c r="AL207" s="184">
        <v>2210</v>
      </c>
      <c r="AM207" s="184">
        <v>2210</v>
      </c>
      <c r="AN207" s="184">
        <v>2340</v>
      </c>
      <c r="AO207" s="184">
        <v>2340</v>
      </c>
      <c r="AP207" s="184">
        <v>2340</v>
      </c>
      <c r="AQ207" s="184">
        <v>2490</v>
      </c>
      <c r="AR207" s="184">
        <v>2490</v>
      </c>
      <c r="AS207" s="184">
        <v>2490</v>
      </c>
      <c r="AT207" s="184">
        <v>2490</v>
      </c>
      <c r="AU207" s="184">
        <v>2490</v>
      </c>
      <c r="AV207" s="184">
        <v>2490</v>
      </c>
      <c r="AW207" s="184">
        <v>2410</v>
      </c>
      <c r="AX207" s="184">
        <v>2410</v>
      </c>
      <c r="AY207" s="184">
        <v>2410</v>
      </c>
      <c r="AZ207" s="184">
        <v>2170</v>
      </c>
      <c r="BA207" s="184">
        <v>2170</v>
      </c>
      <c r="BB207" s="184">
        <v>2300</v>
      </c>
      <c r="BC207" s="184">
        <v>2300</v>
      </c>
      <c r="BD207" s="184">
        <v>2300</v>
      </c>
      <c r="BE207" s="184">
        <v>2300</v>
      </c>
      <c r="BF207" s="184">
        <v>2200</v>
      </c>
      <c r="BG207" s="184">
        <v>2200</v>
      </c>
      <c r="BH207" s="184">
        <v>2200</v>
      </c>
      <c r="BI207" s="184">
        <v>2220</v>
      </c>
      <c r="BJ207" s="184">
        <v>2220</v>
      </c>
      <c r="BK207" s="184">
        <v>2220</v>
      </c>
      <c r="BL207" s="184">
        <v>2320</v>
      </c>
      <c r="BM207" s="184">
        <v>2320</v>
      </c>
      <c r="BN207" s="184">
        <v>2320</v>
      </c>
      <c r="BO207" s="184">
        <v>2400</v>
      </c>
      <c r="BP207" s="184">
        <v>2400</v>
      </c>
      <c r="BQ207" s="184">
        <v>2400</v>
      </c>
      <c r="BR207" s="184"/>
      <c r="BS207" s="184"/>
      <c r="BT207" s="184"/>
      <c r="BU207" s="146" cm="1">
        <f t="array" ref="BU207">LOOKUP(2,1/(Y207:BT207&lt;&gt;""),Y207:BH207)</f>
        <v>2400</v>
      </c>
      <c r="BV207" s="145" cm="1">
        <f t="array" aca="1" ref="BV207" ca="1">_xlfn.LET(
    _xlpm.last_col_idx, LOOKUP(2, 1/(Y207:BT207&lt;&gt;""), COLUMN(Y207:BT207) - COLUMN(Y207) + 1),
    _xlpm.header_val, INDEX($Y$3:$BT$3, 1, _xlpm.last_col_idx),
    _xlpm.header_date, IF(ISNUMBER(_xlpm.header_val), _xlpm.header_val, DATEVALUE(_xlpm.header_val)),
    IF(_xlpm.header_date &gt; TODAY(), TODAY(), _xlpm.header_date)
)</f>
        <v>46212</v>
      </c>
      <c r="BW207" s="209" cm="1">
        <f t="array" ref="BW207">(LOOKUP(2,1/(BH207:BT207&lt;&gt;""),BH207:BT207))/(INDEX(BH207:BT207,MATCH(TRUE,INDEX((BH207:BT207&lt;&gt;0),0),0)))-1</f>
        <v>9.0909090909090828E-2</v>
      </c>
      <c r="BX207" s="210">
        <f t="shared" si="42"/>
        <v>2.4</v>
      </c>
      <c r="BY207" s="210">
        <f t="shared" si="43"/>
        <v>14.16</v>
      </c>
      <c r="BZ207" s="210">
        <f ca="1">IF(L207="BR",'Impostos e Frete'!$F$6,IF(L207="EU",'Impostos e Frete'!$I$3,IF(L207="CN",'Impostos e Frete'!$I$4,IF(L207="JP",'Impostos e Frete'!$I$5,IF(L207="RU",'Impostos e Frete'!$I$7,"ERRO")))))</f>
        <v>0.1410816</v>
      </c>
      <c r="CA207" s="210">
        <f>VLOOKUP(L207,'Impostos e Frete'!$A$3:$B$7,2,0)*'Preços e Condições'!BY207</f>
        <v>1.8408</v>
      </c>
      <c r="CB207" s="147">
        <f t="shared" si="44"/>
        <v>0</v>
      </c>
      <c r="CC207" s="147">
        <f>IF(X207="BRL",'Impostos e Frete'!$B$11,'Impostos e Frete'!$B$12)</f>
        <v>9.1999999999999998E-2</v>
      </c>
      <c r="CD207" s="211">
        <f t="shared" ca="1" si="45"/>
        <v>16.2338816</v>
      </c>
      <c r="CE207" s="212">
        <f t="shared" ca="1" si="46"/>
        <v>1.1526055935999999</v>
      </c>
      <c r="CF207" s="213">
        <f>VLOOKUP(L207,'Impostos e Frete'!$A$3:$C$7,3,0)</f>
        <v>105</v>
      </c>
      <c r="CG207" s="213">
        <f t="shared" si="47"/>
        <v>120</v>
      </c>
      <c r="CH207" s="213">
        <f t="shared" si="48"/>
        <v>15</v>
      </c>
      <c r="CI207" s="214">
        <f t="shared" ca="1" si="49"/>
        <v>-0.120401278182662</v>
      </c>
      <c r="CJ207" s="215">
        <f t="shared" ca="1" si="50"/>
        <v>16.113480321817338</v>
      </c>
      <c r="CK207" s="216">
        <f t="shared" ca="1" si="51"/>
        <v>1.1440571028490312</v>
      </c>
    </row>
    <row r="208" spans="1:89">
      <c r="A208" s="176">
        <v>17054</v>
      </c>
      <c r="B208" s="177" t="s">
        <v>52</v>
      </c>
      <c r="C208" s="178">
        <v>71</v>
      </c>
      <c r="D208" s="178">
        <v>2070</v>
      </c>
      <c r="E208" s="178" t="s">
        <v>50</v>
      </c>
      <c r="F208" s="179" t="s">
        <v>47</v>
      </c>
      <c r="G208" s="185" t="s">
        <v>92</v>
      </c>
      <c r="H208" s="178" t="s">
        <v>42</v>
      </c>
      <c r="I208" s="178" t="s">
        <v>40</v>
      </c>
      <c r="J208" s="178"/>
      <c r="K208" s="178"/>
      <c r="L208" s="178" t="s">
        <v>59</v>
      </c>
      <c r="M208" s="178">
        <v>120</v>
      </c>
      <c r="N208" s="178">
        <v>300</v>
      </c>
      <c r="O208" s="178"/>
      <c r="P208" s="178"/>
      <c r="Q208" s="178"/>
      <c r="R208" s="178" t="s">
        <v>19</v>
      </c>
      <c r="S208" s="181"/>
      <c r="T208" s="181"/>
      <c r="U208" s="182"/>
      <c r="V208" s="182" t="s">
        <v>35</v>
      </c>
      <c r="W208" s="183">
        <v>30</v>
      </c>
      <c r="X208" s="182" t="s">
        <v>51</v>
      </c>
      <c r="Y208" s="184">
        <v>2990</v>
      </c>
      <c r="Z208" s="184">
        <v>2990</v>
      </c>
      <c r="AA208" s="184">
        <v>2990</v>
      </c>
      <c r="AB208" s="184">
        <v>2990</v>
      </c>
      <c r="AC208" s="184">
        <v>2990</v>
      </c>
      <c r="AD208" s="184">
        <v>2990</v>
      </c>
      <c r="AE208" s="184">
        <v>2350</v>
      </c>
      <c r="AF208" s="184">
        <v>2350</v>
      </c>
      <c r="AG208" s="184">
        <v>2350</v>
      </c>
      <c r="AH208" s="184">
        <v>2200</v>
      </c>
      <c r="AI208" s="184">
        <v>2200</v>
      </c>
      <c r="AJ208" s="184">
        <v>2200</v>
      </c>
      <c r="AK208" s="146">
        <f>AK207+50</f>
        <v>2260</v>
      </c>
      <c r="AL208" s="146">
        <f>AL207+50</f>
        <v>2260</v>
      </c>
      <c r="AM208" s="146">
        <f>AM207+50</f>
        <v>2260</v>
      </c>
      <c r="AN208" s="184">
        <v>2390</v>
      </c>
      <c r="AO208" s="184">
        <v>2390</v>
      </c>
      <c r="AP208" s="184">
        <v>2390</v>
      </c>
      <c r="AQ208" s="184">
        <v>2540</v>
      </c>
      <c r="AR208" s="184">
        <v>2540</v>
      </c>
      <c r="AS208" s="184">
        <v>2540</v>
      </c>
      <c r="AT208" s="184">
        <v>2540</v>
      </c>
      <c r="AU208" s="184">
        <v>2540</v>
      </c>
      <c r="AV208" s="184">
        <v>2540</v>
      </c>
      <c r="AW208" s="184">
        <v>2460</v>
      </c>
      <c r="AX208" s="184">
        <v>2460</v>
      </c>
      <c r="AY208" s="184">
        <v>2460</v>
      </c>
      <c r="AZ208" s="184">
        <v>2220</v>
      </c>
      <c r="BA208" s="184">
        <v>2220</v>
      </c>
      <c r="BB208" s="184">
        <v>2350</v>
      </c>
      <c r="BC208" s="184">
        <v>2350</v>
      </c>
      <c r="BD208" s="184">
        <v>2350</v>
      </c>
      <c r="BE208" s="184">
        <v>2350</v>
      </c>
      <c r="BF208" s="184">
        <v>2250</v>
      </c>
      <c r="BG208" s="184">
        <v>2250</v>
      </c>
      <c r="BH208" s="184">
        <v>2250</v>
      </c>
      <c r="BI208" s="184">
        <v>2270</v>
      </c>
      <c r="BJ208" s="184">
        <v>2270</v>
      </c>
      <c r="BK208" s="184">
        <v>2270</v>
      </c>
      <c r="BL208" s="184">
        <v>2370</v>
      </c>
      <c r="BM208" s="184">
        <v>2370</v>
      </c>
      <c r="BN208" s="184">
        <v>2370</v>
      </c>
      <c r="BO208" s="184">
        <v>2450</v>
      </c>
      <c r="BP208" s="184">
        <v>2450</v>
      </c>
      <c r="BQ208" s="184">
        <v>2450</v>
      </c>
      <c r="BR208" s="184"/>
      <c r="BS208" s="184"/>
      <c r="BT208" s="184"/>
      <c r="BU208" s="146" cm="1">
        <f t="array" ref="BU208">LOOKUP(2,1/(Y208:BT208&lt;&gt;""),Y208:BH208)</f>
        <v>2450</v>
      </c>
      <c r="BV208" s="145" cm="1">
        <f t="array" aca="1" ref="BV208" ca="1">_xlfn.LET(
    _xlpm.last_col_idx, LOOKUP(2, 1/(Y208:BT208&lt;&gt;""), COLUMN(Y208:BT208) - COLUMN(Y208) + 1),
    _xlpm.header_val, INDEX($Y$3:$BT$3, 1, _xlpm.last_col_idx),
    _xlpm.header_date, IF(ISNUMBER(_xlpm.header_val), _xlpm.header_val, DATEVALUE(_xlpm.header_val)),
    IF(_xlpm.header_date &gt; TODAY(), TODAY(), _xlpm.header_date)
)</f>
        <v>46212</v>
      </c>
      <c r="BW208" s="209" cm="1">
        <f t="array" ref="BW208">(LOOKUP(2,1/(BH208:BT208&lt;&gt;""),BH208:BT208))/(INDEX(BH208:BT208,MATCH(TRUE,INDEX((BH208:BT208&lt;&gt;0),0),0)))-1</f>
        <v>8.8888888888888795E-2</v>
      </c>
      <c r="BX208" s="210">
        <f t="shared" si="42"/>
        <v>2.4500000000000002</v>
      </c>
      <c r="BY208" s="210">
        <f t="shared" si="43"/>
        <v>14.455000000000002</v>
      </c>
      <c r="BZ208" s="210">
        <f ca="1">IF(L208="BR",'Impostos e Frete'!$F$6,IF(L208="EU",'Impostos e Frete'!$I$3,IF(L208="CN",'Impostos e Frete'!$I$4,IF(L208="JP",'Impostos e Frete'!$I$5,IF(L208="RU",'Impostos e Frete'!$I$7,"ERRO")))))</f>
        <v>0.1410816</v>
      </c>
      <c r="CA208" s="210">
        <f>VLOOKUP(L208,'Impostos e Frete'!$A$3:$B$7,2,0)*'Preços e Condições'!BY208</f>
        <v>1.8791500000000003</v>
      </c>
      <c r="CB208" s="147">
        <f t="shared" si="44"/>
        <v>0</v>
      </c>
      <c r="CC208" s="147">
        <f>IF(X208="BRL",'Impostos e Frete'!$B$11,'Impostos e Frete'!$B$12)</f>
        <v>9.1999999999999998E-2</v>
      </c>
      <c r="CD208" s="211">
        <f t="shared" ca="1" si="45"/>
        <v>16.5672316</v>
      </c>
      <c r="CE208" s="212">
        <f t="shared" ca="1" si="46"/>
        <v>1.1762734436</v>
      </c>
      <c r="CF208" s="213">
        <f>VLOOKUP(L208,'Impostos e Frete'!$A$3:$C$7,3,0)</f>
        <v>105</v>
      </c>
      <c r="CG208" s="213">
        <f t="shared" si="47"/>
        <v>120</v>
      </c>
      <c r="CH208" s="213">
        <f t="shared" si="48"/>
        <v>15</v>
      </c>
      <c r="CI208" s="214">
        <f t="shared" ca="1" si="49"/>
        <v>-0.12287362380345002</v>
      </c>
      <c r="CJ208" s="215">
        <f t="shared" ca="1" si="50"/>
        <v>16.444357976196549</v>
      </c>
      <c r="CK208" s="216">
        <f t="shared" ca="1" si="51"/>
        <v>1.1675494163099551</v>
      </c>
    </row>
    <row r="209" spans="1:89">
      <c r="A209" s="176">
        <v>17054</v>
      </c>
      <c r="B209" s="177" t="s">
        <v>52</v>
      </c>
      <c r="C209" s="178">
        <v>71</v>
      </c>
      <c r="D209" s="178">
        <v>2070</v>
      </c>
      <c r="E209" s="178" t="s">
        <v>50</v>
      </c>
      <c r="F209" s="179" t="s">
        <v>47</v>
      </c>
      <c r="G209" s="185" t="s">
        <v>92</v>
      </c>
      <c r="H209" s="178" t="s">
        <v>42</v>
      </c>
      <c r="I209" s="178" t="s">
        <v>40</v>
      </c>
      <c r="J209" s="178"/>
      <c r="K209" s="178"/>
      <c r="L209" s="178" t="s">
        <v>59</v>
      </c>
      <c r="M209" s="178">
        <v>120</v>
      </c>
      <c r="N209" s="178">
        <v>300</v>
      </c>
      <c r="O209" s="178"/>
      <c r="P209" s="178"/>
      <c r="Q209" s="178"/>
      <c r="R209" s="178" t="s">
        <v>19</v>
      </c>
      <c r="S209" s="181"/>
      <c r="T209" s="181"/>
      <c r="U209" s="182"/>
      <c r="V209" s="182" t="s">
        <v>35</v>
      </c>
      <c r="W209" s="183">
        <v>20</v>
      </c>
      <c r="X209" s="182" t="s">
        <v>51</v>
      </c>
      <c r="Y209" s="184">
        <v>3040</v>
      </c>
      <c r="Z209" s="184">
        <v>3040</v>
      </c>
      <c r="AA209" s="184">
        <v>3040</v>
      </c>
      <c r="AB209" s="184">
        <v>3040</v>
      </c>
      <c r="AC209" s="184">
        <v>3040</v>
      </c>
      <c r="AD209" s="184">
        <v>3040</v>
      </c>
      <c r="AE209" s="184">
        <v>2400</v>
      </c>
      <c r="AF209" s="184">
        <v>2400</v>
      </c>
      <c r="AG209" s="184">
        <v>2400</v>
      </c>
      <c r="AH209" s="184">
        <v>2250</v>
      </c>
      <c r="AI209" s="184">
        <v>2250</v>
      </c>
      <c r="AJ209" s="184">
        <v>2250</v>
      </c>
      <c r="AK209" s="146">
        <f>AK207+100</f>
        <v>2310</v>
      </c>
      <c r="AL209" s="146">
        <f>AL207+100</f>
        <v>2310</v>
      </c>
      <c r="AM209" s="146">
        <f>AM207+100</f>
        <v>2310</v>
      </c>
      <c r="AN209" s="184">
        <v>2440</v>
      </c>
      <c r="AO209" s="184">
        <v>2440</v>
      </c>
      <c r="AP209" s="184">
        <v>2440</v>
      </c>
      <c r="AQ209" s="184">
        <v>2590</v>
      </c>
      <c r="AR209" s="184">
        <v>2590</v>
      </c>
      <c r="AS209" s="184">
        <v>2590</v>
      </c>
      <c r="AT209" s="184">
        <v>2590</v>
      </c>
      <c r="AU209" s="184">
        <v>2590</v>
      </c>
      <c r="AV209" s="184">
        <v>2590</v>
      </c>
      <c r="AW209" s="184">
        <v>2510</v>
      </c>
      <c r="AX209" s="184">
        <v>2510</v>
      </c>
      <c r="AY209" s="184">
        <v>2510</v>
      </c>
      <c r="AZ209" s="184">
        <v>2270</v>
      </c>
      <c r="BA209" s="184">
        <v>2270</v>
      </c>
      <c r="BB209" s="184">
        <v>2400</v>
      </c>
      <c r="BC209" s="184">
        <v>2400</v>
      </c>
      <c r="BD209" s="184">
        <v>2400</v>
      </c>
      <c r="BE209" s="184">
        <v>2400</v>
      </c>
      <c r="BF209" s="184">
        <v>2300</v>
      </c>
      <c r="BG209" s="184">
        <v>2300</v>
      </c>
      <c r="BH209" s="184">
        <v>2300</v>
      </c>
      <c r="BI209" s="184">
        <v>2320</v>
      </c>
      <c r="BJ209" s="184">
        <v>2320</v>
      </c>
      <c r="BK209" s="184">
        <v>2320</v>
      </c>
      <c r="BL209" s="184">
        <v>2420</v>
      </c>
      <c r="BM209" s="184">
        <v>2420</v>
      </c>
      <c r="BN209" s="184">
        <v>2420</v>
      </c>
      <c r="BO209" s="184">
        <v>2500</v>
      </c>
      <c r="BP209" s="184">
        <v>2500</v>
      </c>
      <c r="BQ209" s="184">
        <v>2500</v>
      </c>
      <c r="BR209" s="184"/>
      <c r="BS209" s="184"/>
      <c r="BT209" s="184"/>
      <c r="BU209" s="146" cm="1">
        <f t="array" ref="BU209">LOOKUP(2,1/(Y209:BT209&lt;&gt;""),Y209:BH209)</f>
        <v>2500</v>
      </c>
      <c r="BV209" s="145" cm="1">
        <f t="array" aca="1" ref="BV209" ca="1">_xlfn.LET(
    _xlpm.last_col_idx, LOOKUP(2, 1/(Y209:BT209&lt;&gt;""), COLUMN(Y209:BT209) - COLUMN(Y209) + 1),
    _xlpm.header_val, INDEX($Y$3:$BT$3, 1, _xlpm.last_col_idx),
    _xlpm.header_date, IF(ISNUMBER(_xlpm.header_val), _xlpm.header_val, DATEVALUE(_xlpm.header_val)),
    IF(_xlpm.header_date &gt; TODAY(), TODAY(), _xlpm.header_date)
)</f>
        <v>46212</v>
      </c>
      <c r="BW209" s="209" cm="1">
        <f t="array" ref="BW209">(LOOKUP(2,1/(BH209:BT209&lt;&gt;""),BH209:BT209))/(INDEX(BH209:BT209,MATCH(TRUE,INDEX((BH209:BT209&lt;&gt;0),0),0)))-1</f>
        <v>8.6956521739130377E-2</v>
      </c>
      <c r="BX209" s="210">
        <f t="shared" si="42"/>
        <v>2.5</v>
      </c>
      <c r="BY209" s="210">
        <f t="shared" si="43"/>
        <v>14.75</v>
      </c>
      <c r="BZ209" s="210">
        <f ca="1">IF(L209="BR",'Impostos e Frete'!$F$6,IF(L209="EU",'Impostos e Frete'!$I$3,IF(L209="CN",'Impostos e Frete'!$I$4,IF(L209="JP",'Impostos e Frete'!$I$5,IF(L209="RU",'Impostos e Frete'!$I$7,"ERRO")))))</f>
        <v>0.1410816</v>
      </c>
      <c r="CA209" s="210">
        <f>VLOOKUP(L209,'Impostos e Frete'!$A$3:$B$7,2,0)*'Preços e Condições'!BY209</f>
        <v>1.9175</v>
      </c>
      <c r="CB209" s="147">
        <f t="shared" si="44"/>
        <v>0</v>
      </c>
      <c r="CC209" s="147">
        <f>IF(X209="BRL",'Impostos e Frete'!$B$11,'Impostos e Frete'!$B$12)</f>
        <v>9.1999999999999998E-2</v>
      </c>
      <c r="CD209" s="211">
        <f t="shared" ca="1" si="45"/>
        <v>16.900581599999999</v>
      </c>
      <c r="CE209" s="212">
        <f t="shared" ca="1" si="46"/>
        <v>1.1999412936</v>
      </c>
      <c r="CF209" s="213">
        <f>VLOOKUP(L209,'Impostos e Frete'!$A$3:$C$7,3,0)</f>
        <v>105</v>
      </c>
      <c r="CG209" s="213">
        <f t="shared" si="47"/>
        <v>120</v>
      </c>
      <c r="CH209" s="213">
        <f t="shared" si="48"/>
        <v>15</v>
      </c>
      <c r="CI209" s="214">
        <f t="shared" ca="1" si="49"/>
        <v>-0.12534596942424159</v>
      </c>
      <c r="CJ209" s="215">
        <f t="shared" ca="1" si="50"/>
        <v>16.775235630575757</v>
      </c>
      <c r="CK209" s="216">
        <f t="shared" ca="1" si="51"/>
        <v>1.1910417297708789</v>
      </c>
    </row>
    <row r="210" spans="1:89">
      <c r="A210" s="176">
        <v>17054</v>
      </c>
      <c r="B210" s="177" t="s">
        <v>52</v>
      </c>
      <c r="C210" s="178">
        <v>71</v>
      </c>
      <c r="D210" s="178">
        <v>2070</v>
      </c>
      <c r="E210" s="178" t="s">
        <v>50</v>
      </c>
      <c r="F210" s="179" t="s">
        <v>47</v>
      </c>
      <c r="G210" s="185" t="s">
        <v>92</v>
      </c>
      <c r="H210" s="178" t="s">
        <v>42</v>
      </c>
      <c r="I210" s="178" t="s">
        <v>40</v>
      </c>
      <c r="J210" s="178"/>
      <c r="K210" s="178"/>
      <c r="L210" s="178" t="s">
        <v>59</v>
      </c>
      <c r="M210" s="178">
        <v>120</v>
      </c>
      <c r="N210" s="178">
        <v>300</v>
      </c>
      <c r="O210" s="178"/>
      <c r="P210" s="178"/>
      <c r="Q210" s="178"/>
      <c r="R210" s="178" t="s">
        <v>19</v>
      </c>
      <c r="S210" s="181"/>
      <c r="T210" s="181"/>
      <c r="U210" s="182"/>
      <c r="V210" s="182" t="s">
        <v>35</v>
      </c>
      <c r="W210" s="183">
        <v>10</v>
      </c>
      <c r="X210" s="182" t="s">
        <v>51</v>
      </c>
      <c r="Y210" s="184">
        <v>3120</v>
      </c>
      <c r="Z210" s="184">
        <v>3120</v>
      </c>
      <c r="AA210" s="184">
        <v>3120</v>
      </c>
      <c r="AB210" s="184">
        <v>3120</v>
      </c>
      <c r="AC210" s="184">
        <v>3120</v>
      </c>
      <c r="AD210" s="184">
        <v>3120</v>
      </c>
      <c r="AE210" s="184">
        <v>2480</v>
      </c>
      <c r="AF210" s="184">
        <v>2480</v>
      </c>
      <c r="AG210" s="184">
        <v>2480</v>
      </c>
      <c r="AH210" s="184">
        <v>2330</v>
      </c>
      <c r="AI210" s="184">
        <v>2330</v>
      </c>
      <c r="AJ210" s="184">
        <v>2330</v>
      </c>
      <c r="AK210" s="146">
        <f>AK207+180</f>
        <v>2390</v>
      </c>
      <c r="AL210" s="146">
        <f>AL207+180</f>
        <v>2390</v>
      </c>
      <c r="AM210" s="146">
        <f>AM207+180</f>
        <v>2390</v>
      </c>
      <c r="AN210" s="184">
        <v>2520</v>
      </c>
      <c r="AO210" s="184">
        <v>2520</v>
      </c>
      <c r="AP210" s="184">
        <v>2520</v>
      </c>
      <c r="AQ210" s="184">
        <v>2670</v>
      </c>
      <c r="AR210" s="184">
        <v>2670</v>
      </c>
      <c r="AS210" s="184">
        <v>2670</v>
      </c>
      <c r="AT210" s="184">
        <v>2670</v>
      </c>
      <c r="AU210" s="184">
        <v>2670</v>
      </c>
      <c r="AV210" s="184">
        <v>2670</v>
      </c>
      <c r="AW210" s="184">
        <v>2590</v>
      </c>
      <c r="AX210" s="184">
        <v>2590</v>
      </c>
      <c r="AY210" s="184">
        <v>2590</v>
      </c>
      <c r="AZ210" s="184">
        <v>2350</v>
      </c>
      <c r="BA210" s="184">
        <v>2350</v>
      </c>
      <c r="BB210" s="184">
        <v>2480</v>
      </c>
      <c r="BC210" s="184">
        <v>2480</v>
      </c>
      <c r="BD210" s="184">
        <v>2480</v>
      </c>
      <c r="BE210" s="184">
        <v>2480</v>
      </c>
      <c r="BF210" s="184">
        <v>2380</v>
      </c>
      <c r="BG210" s="184">
        <v>2380</v>
      </c>
      <c r="BH210" s="184">
        <v>2380</v>
      </c>
      <c r="BI210" s="184">
        <v>2400</v>
      </c>
      <c r="BJ210" s="184">
        <v>2400</v>
      </c>
      <c r="BK210" s="184">
        <v>2400</v>
      </c>
      <c r="BL210" s="184">
        <v>2500</v>
      </c>
      <c r="BM210" s="184">
        <v>2500</v>
      </c>
      <c r="BN210" s="184">
        <v>2500</v>
      </c>
      <c r="BO210" s="184">
        <v>2580</v>
      </c>
      <c r="BP210" s="184">
        <v>2580</v>
      </c>
      <c r="BQ210" s="184">
        <v>2580</v>
      </c>
      <c r="BR210" s="184"/>
      <c r="BS210" s="184"/>
      <c r="BT210" s="184"/>
      <c r="BU210" s="146" cm="1">
        <f t="array" ref="BU210">LOOKUP(2,1/(Y210:BT210&lt;&gt;""),Y210:BH210)</f>
        <v>2580</v>
      </c>
      <c r="BV210" s="145" cm="1">
        <f t="array" aca="1" ref="BV210" ca="1">_xlfn.LET(
    _xlpm.last_col_idx, LOOKUP(2, 1/(Y210:BT210&lt;&gt;""), COLUMN(Y210:BT210) - COLUMN(Y210) + 1),
    _xlpm.header_val, INDEX($Y$3:$BT$3, 1, _xlpm.last_col_idx),
    _xlpm.header_date, IF(ISNUMBER(_xlpm.header_val), _xlpm.header_val, DATEVALUE(_xlpm.header_val)),
    IF(_xlpm.header_date &gt; TODAY(), TODAY(), _xlpm.header_date)
)</f>
        <v>46212</v>
      </c>
      <c r="BW210" s="209" cm="1">
        <f t="array" ref="BW210">(LOOKUP(2,1/(BH210:BT210&lt;&gt;""),BH210:BT210))/(INDEX(BH210:BT210,MATCH(TRUE,INDEX((BH210:BT210&lt;&gt;0),0),0)))-1</f>
        <v>8.4033613445378075E-2</v>
      </c>
      <c r="BX210" s="210">
        <f t="shared" si="42"/>
        <v>2.58</v>
      </c>
      <c r="BY210" s="210">
        <f t="shared" si="43"/>
        <v>15.222000000000001</v>
      </c>
      <c r="BZ210" s="210">
        <f ca="1">IF(L210="BR",'Impostos e Frete'!$F$6,IF(L210="EU",'Impostos e Frete'!$I$3,IF(L210="CN",'Impostos e Frete'!$I$4,IF(L210="JP",'Impostos e Frete'!$I$5,IF(L210="RU",'Impostos e Frete'!$I$7,"ERRO")))))</f>
        <v>0.1410816</v>
      </c>
      <c r="CA210" s="210">
        <f>VLOOKUP(L210,'Impostos e Frete'!$A$3:$B$7,2,0)*'Preços e Condições'!BY210</f>
        <v>1.9788600000000003</v>
      </c>
      <c r="CB210" s="147">
        <f t="shared" si="44"/>
        <v>0</v>
      </c>
      <c r="CC210" s="147">
        <f>IF(X210="BRL",'Impostos e Frete'!$B$11,'Impostos e Frete'!$B$12)</f>
        <v>9.1999999999999998E-2</v>
      </c>
      <c r="CD210" s="211">
        <f t="shared" ca="1" si="45"/>
        <v>17.433941600000001</v>
      </c>
      <c r="CE210" s="212">
        <f t="shared" ca="1" si="46"/>
        <v>1.2378098536</v>
      </c>
      <c r="CF210" s="213">
        <f>VLOOKUP(L210,'Impostos e Frete'!$A$3:$C$7,3,0)</f>
        <v>105</v>
      </c>
      <c r="CG210" s="213">
        <f t="shared" si="47"/>
        <v>120</v>
      </c>
      <c r="CH210" s="213">
        <f t="shared" si="48"/>
        <v>15</v>
      </c>
      <c r="CI210" s="214">
        <f t="shared" ca="1" si="49"/>
        <v>-0.12930172241750526</v>
      </c>
      <c r="CJ210" s="215">
        <f t="shared" ca="1" si="50"/>
        <v>17.304639877582495</v>
      </c>
      <c r="CK210" s="216">
        <f t="shared" ca="1" si="51"/>
        <v>1.2286294313083572</v>
      </c>
    </row>
    <row r="211" spans="1:89">
      <c r="A211" s="176">
        <v>17057</v>
      </c>
      <c r="B211" s="177">
        <v>2638</v>
      </c>
      <c r="C211" s="178">
        <v>68</v>
      </c>
      <c r="D211" s="178">
        <v>1870</v>
      </c>
      <c r="E211" s="178"/>
      <c r="F211" s="179" t="s">
        <v>47</v>
      </c>
      <c r="G211" s="185" t="s">
        <v>216</v>
      </c>
      <c r="H211" s="178" t="s">
        <v>42</v>
      </c>
      <c r="I211" s="178">
        <v>2638</v>
      </c>
      <c r="J211" s="178"/>
      <c r="K211" s="178"/>
      <c r="L211" s="178" t="s">
        <v>59</v>
      </c>
      <c r="M211" s="178">
        <v>120</v>
      </c>
      <c r="N211" s="178">
        <v>300</v>
      </c>
      <c r="O211" s="178"/>
      <c r="P211" s="178"/>
      <c r="Q211" s="178"/>
      <c r="R211" s="178" t="s">
        <v>19</v>
      </c>
      <c r="S211" s="181"/>
      <c r="T211" s="181"/>
      <c r="U211" s="182"/>
      <c r="V211" s="182" t="s">
        <v>35</v>
      </c>
      <c r="W211" s="183">
        <v>50</v>
      </c>
      <c r="X211" s="182" t="s">
        <v>51</v>
      </c>
      <c r="Y211" s="184">
        <v>2550</v>
      </c>
      <c r="Z211" s="184">
        <v>2550</v>
      </c>
      <c r="AA211" s="184">
        <v>2550</v>
      </c>
      <c r="AB211" s="184"/>
      <c r="AC211" s="184"/>
      <c r="AD211" s="184"/>
      <c r="AE211" s="184"/>
      <c r="AF211" s="184"/>
      <c r="AG211" s="184"/>
      <c r="AH211" s="184"/>
      <c r="AI211" s="184"/>
      <c r="AJ211" s="184"/>
      <c r="AK211" s="184">
        <v>2210</v>
      </c>
      <c r="AL211" s="184">
        <v>2210</v>
      </c>
      <c r="AM211" s="184">
        <v>2210</v>
      </c>
      <c r="AN211" s="184">
        <v>2340</v>
      </c>
      <c r="AO211" s="184">
        <v>2340</v>
      </c>
      <c r="AP211" s="184">
        <v>2340</v>
      </c>
      <c r="AQ211" s="184">
        <v>2490</v>
      </c>
      <c r="AR211" s="184">
        <v>2490</v>
      </c>
      <c r="AS211" s="184">
        <v>2490</v>
      </c>
      <c r="AT211" s="184">
        <v>2490</v>
      </c>
      <c r="AU211" s="184">
        <v>2490</v>
      </c>
      <c r="AV211" s="184">
        <v>2490</v>
      </c>
      <c r="AW211" s="184">
        <v>2410</v>
      </c>
      <c r="AX211" s="184">
        <v>2410</v>
      </c>
      <c r="AY211" s="184">
        <v>2410</v>
      </c>
      <c r="AZ211" s="184">
        <v>2210</v>
      </c>
      <c r="BA211" s="184">
        <v>2210</v>
      </c>
      <c r="BB211" s="184">
        <v>2510</v>
      </c>
      <c r="BC211" s="184">
        <v>2510</v>
      </c>
      <c r="BD211" s="184">
        <v>2510</v>
      </c>
      <c r="BE211" s="184">
        <v>2510</v>
      </c>
      <c r="BF211" s="184">
        <v>2430</v>
      </c>
      <c r="BG211" s="184">
        <v>2430</v>
      </c>
      <c r="BH211" s="184">
        <v>2430</v>
      </c>
      <c r="BI211" s="184">
        <v>2460</v>
      </c>
      <c r="BJ211" s="184">
        <v>2460</v>
      </c>
      <c r="BK211" s="184">
        <v>2460</v>
      </c>
      <c r="BL211" s="184">
        <v>2560</v>
      </c>
      <c r="BM211" s="184">
        <v>2560</v>
      </c>
      <c r="BN211" s="184">
        <v>2560</v>
      </c>
      <c r="BO211" s="184">
        <v>2640</v>
      </c>
      <c r="BP211" s="184">
        <v>2640</v>
      </c>
      <c r="BQ211" s="184">
        <v>2640</v>
      </c>
      <c r="BR211" s="184"/>
      <c r="BS211" s="184"/>
      <c r="BT211" s="184"/>
      <c r="BU211" s="146" cm="1">
        <f t="array" ref="BU211">LOOKUP(2,1/(Y211:BT211&lt;&gt;""),Y211:BH211)</f>
        <v>2640</v>
      </c>
      <c r="BV211" s="145" cm="1">
        <f t="array" aca="1" ref="BV211" ca="1">_xlfn.LET(
    _xlpm.last_col_idx, LOOKUP(2, 1/(Y211:BT211&lt;&gt;""), COLUMN(Y211:BT211) - COLUMN(Y211) + 1),
    _xlpm.header_val, INDEX($Y$3:$BT$3, 1, _xlpm.last_col_idx),
    _xlpm.header_date, IF(ISNUMBER(_xlpm.header_val), _xlpm.header_val, DATEVALUE(_xlpm.header_val)),
    IF(_xlpm.header_date &gt; TODAY(), TODAY(), _xlpm.header_date)
)</f>
        <v>46212</v>
      </c>
      <c r="BW211" s="209" cm="1">
        <f t="array" ref="BW211">(LOOKUP(2,1/(BH211:BT211&lt;&gt;""),BH211:BT211))/(INDEX(BH211:BT211,MATCH(TRUE,INDEX((BH211:BT211&lt;&gt;0),0),0)))-1</f>
        <v>8.6419753086419693E-2</v>
      </c>
      <c r="BX211" s="210">
        <f t="shared" si="42"/>
        <v>2.64</v>
      </c>
      <c r="BY211" s="210">
        <f t="shared" si="43"/>
        <v>15.576000000000002</v>
      </c>
      <c r="BZ211" s="210">
        <f ca="1">IF(L211="BR",'Impostos e Frete'!$F$6,IF(L211="EU",'Impostos e Frete'!$I$3,IF(L211="CN",'Impostos e Frete'!$I$4,IF(L211="JP",'Impostos e Frete'!$I$5,IF(L211="RU",'Impostos e Frete'!$I$7,"ERRO")))))</f>
        <v>0.1410816</v>
      </c>
      <c r="CA211" s="210">
        <f>VLOOKUP(L211,'Impostos e Frete'!$A$3:$B$7,2,0)*'Preços e Condições'!BY211</f>
        <v>2.0248800000000005</v>
      </c>
      <c r="CB211" s="147">
        <f t="shared" si="44"/>
        <v>0</v>
      </c>
      <c r="CC211" s="147">
        <f>IF(X211="BRL",'Impostos e Frete'!$B$11,'Impostos e Frete'!$B$12)</f>
        <v>9.1999999999999998E-2</v>
      </c>
      <c r="CD211" s="211">
        <f t="shared" ca="1" si="45"/>
        <v>17.833961600000002</v>
      </c>
      <c r="CE211" s="212">
        <f t="shared" ca="1" si="46"/>
        <v>1.2127093888000002</v>
      </c>
      <c r="CF211" s="213">
        <f>VLOOKUP(L211,'Impostos e Frete'!$A$3:$C$7,3,0)</f>
        <v>105</v>
      </c>
      <c r="CG211" s="213">
        <f t="shared" si="47"/>
        <v>120</v>
      </c>
      <c r="CH211" s="213">
        <f t="shared" si="48"/>
        <v>15</v>
      </c>
      <c r="CI211" s="214">
        <f t="shared" ca="1" si="49"/>
        <v>-0.13226853716245301</v>
      </c>
      <c r="CJ211" s="215">
        <f t="shared" ca="1" si="50"/>
        <v>17.701693062837549</v>
      </c>
      <c r="CK211" s="216">
        <f t="shared" ca="1" si="51"/>
        <v>1.2037151282729532</v>
      </c>
    </row>
    <row r="212" spans="1:89">
      <c r="A212" s="176">
        <v>17057</v>
      </c>
      <c r="B212" s="177">
        <v>2638</v>
      </c>
      <c r="C212" s="178">
        <v>68</v>
      </c>
      <c r="D212" s="178">
        <v>1870</v>
      </c>
      <c r="E212" s="178"/>
      <c r="F212" s="179" t="s">
        <v>47</v>
      </c>
      <c r="G212" s="185" t="s">
        <v>216</v>
      </c>
      <c r="H212" s="178" t="s">
        <v>42</v>
      </c>
      <c r="I212" s="178">
        <v>2638</v>
      </c>
      <c r="J212" s="178"/>
      <c r="K212" s="178"/>
      <c r="L212" s="178" t="s">
        <v>59</v>
      </c>
      <c r="M212" s="178">
        <v>120</v>
      </c>
      <c r="N212" s="178">
        <v>300</v>
      </c>
      <c r="O212" s="178"/>
      <c r="P212" s="178"/>
      <c r="Q212" s="178"/>
      <c r="R212" s="178" t="s">
        <v>19</v>
      </c>
      <c r="S212" s="181"/>
      <c r="T212" s="181"/>
      <c r="U212" s="182"/>
      <c r="V212" s="182" t="s">
        <v>35</v>
      </c>
      <c r="W212" s="183">
        <v>30</v>
      </c>
      <c r="X212" s="182" t="s">
        <v>51</v>
      </c>
      <c r="Y212" s="184"/>
      <c r="Z212" s="184"/>
      <c r="AA212" s="184"/>
      <c r="AB212" s="184"/>
      <c r="AC212" s="184"/>
      <c r="AD212" s="184"/>
      <c r="AE212" s="184"/>
      <c r="AF212" s="184"/>
      <c r="AG212" s="184"/>
      <c r="AH212" s="184"/>
      <c r="AI212" s="184"/>
      <c r="AJ212" s="184"/>
      <c r="AK212" s="184">
        <v>2210</v>
      </c>
      <c r="AL212" s="184">
        <v>2210</v>
      </c>
      <c r="AM212" s="184">
        <v>2210</v>
      </c>
      <c r="AN212" s="184">
        <v>2390</v>
      </c>
      <c r="AO212" s="184">
        <v>2390</v>
      </c>
      <c r="AP212" s="184">
        <v>2390</v>
      </c>
      <c r="AQ212" s="184">
        <v>2540</v>
      </c>
      <c r="AR212" s="184">
        <v>2540</v>
      </c>
      <c r="AS212" s="184">
        <v>2540</v>
      </c>
      <c r="AT212" s="184">
        <v>2540</v>
      </c>
      <c r="AU212" s="184">
        <v>2540</v>
      </c>
      <c r="AV212" s="184">
        <v>2540</v>
      </c>
      <c r="AW212" s="184">
        <v>2460</v>
      </c>
      <c r="AX212" s="184">
        <v>2460</v>
      </c>
      <c r="AY212" s="184">
        <v>2460</v>
      </c>
      <c r="AZ212" s="184">
        <v>2260</v>
      </c>
      <c r="BA212" s="184">
        <v>2260</v>
      </c>
      <c r="BB212" s="184">
        <v>2560</v>
      </c>
      <c r="BC212" s="184">
        <v>2560</v>
      </c>
      <c r="BD212" s="184">
        <v>2560</v>
      </c>
      <c r="BE212" s="184">
        <v>2560</v>
      </c>
      <c r="BF212" s="184">
        <v>2480</v>
      </c>
      <c r="BG212" s="184">
        <v>2480</v>
      </c>
      <c r="BH212" s="184">
        <v>2480</v>
      </c>
      <c r="BI212" s="184">
        <v>2510</v>
      </c>
      <c r="BJ212" s="184">
        <v>2510</v>
      </c>
      <c r="BK212" s="184">
        <v>2510</v>
      </c>
      <c r="BL212" s="184">
        <v>2610</v>
      </c>
      <c r="BM212" s="184">
        <v>2610</v>
      </c>
      <c r="BN212" s="184">
        <v>2610</v>
      </c>
      <c r="BO212" s="184">
        <v>2690</v>
      </c>
      <c r="BP212" s="184">
        <v>2690</v>
      </c>
      <c r="BQ212" s="184">
        <v>2690</v>
      </c>
      <c r="BR212" s="184"/>
      <c r="BS212" s="184"/>
      <c r="BT212" s="184"/>
      <c r="BU212" s="146" cm="1">
        <f t="array" ref="BU212">LOOKUP(2,1/(Y212:BT212&lt;&gt;""),Y212:BH212)</f>
        <v>2690</v>
      </c>
      <c r="BV212" s="145" cm="1">
        <f t="array" aca="1" ref="BV212" ca="1">_xlfn.LET(
    _xlpm.last_col_idx, LOOKUP(2, 1/(Y212:BT212&lt;&gt;""), COLUMN(Y212:BT212) - COLUMN(Y212) + 1),
    _xlpm.header_val, INDEX($Y$3:$BT$3, 1, _xlpm.last_col_idx),
    _xlpm.header_date, IF(ISNUMBER(_xlpm.header_val), _xlpm.header_val, DATEVALUE(_xlpm.header_val)),
    IF(_xlpm.header_date &gt; TODAY(), TODAY(), _xlpm.header_date)
)</f>
        <v>46212</v>
      </c>
      <c r="BW212" s="209" cm="1">
        <f t="array" ref="BW212">(LOOKUP(2,1/(BH212:BT212&lt;&gt;""),BH212:BT212))/(INDEX(BH212:BT212,MATCH(TRUE,INDEX((BH212:BT212&lt;&gt;0),0),0)))-1</f>
        <v>8.4677419354838745E-2</v>
      </c>
      <c r="BX212" s="210">
        <f t="shared" si="42"/>
        <v>2.69</v>
      </c>
      <c r="BY212" s="210">
        <f t="shared" si="43"/>
        <v>15.871</v>
      </c>
      <c r="BZ212" s="210">
        <f ca="1">IF(L212="BR",'Impostos e Frete'!$F$6,IF(L212="EU",'Impostos e Frete'!$I$3,IF(L212="CN",'Impostos e Frete'!$I$4,IF(L212="JP",'Impostos e Frete'!$I$5,IF(L212="RU",'Impostos e Frete'!$I$7,"ERRO")))))</f>
        <v>0.1410816</v>
      </c>
      <c r="CA212" s="210">
        <f>VLOOKUP(L212,'Impostos e Frete'!$A$3:$B$7,2,0)*'Preços e Condições'!BY212</f>
        <v>2.0632300000000003</v>
      </c>
      <c r="CB212" s="147">
        <f t="shared" si="44"/>
        <v>0</v>
      </c>
      <c r="CC212" s="147">
        <f>IF(X212="BRL",'Impostos e Frete'!$B$11,'Impostos e Frete'!$B$12)</f>
        <v>9.1999999999999998E-2</v>
      </c>
      <c r="CD212" s="211">
        <f t="shared" ca="1" si="45"/>
        <v>18.167311600000001</v>
      </c>
      <c r="CE212" s="212">
        <f t="shared" ca="1" si="46"/>
        <v>1.2353771888000002</v>
      </c>
      <c r="CF212" s="213">
        <f>VLOOKUP(L212,'Impostos e Frete'!$A$3:$C$7,3,0)</f>
        <v>105</v>
      </c>
      <c r="CG212" s="213">
        <f t="shared" si="47"/>
        <v>120</v>
      </c>
      <c r="CH212" s="213">
        <f t="shared" si="48"/>
        <v>15</v>
      </c>
      <c r="CI212" s="214">
        <f t="shared" ca="1" si="49"/>
        <v>-0.13474088278324459</v>
      </c>
      <c r="CJ212" s="215">
        <f t="shared" ca="1" si="50"/>
        <v>18.032570717216757</v>
      </c>
      <c r="CK212" s="216">
        <f t="shared" ca="1" si="51"/>
        <v>1.2262148087707394</v>
      </c>
    </row>
    <row r="213" spans="1:89">
      <c r="A213" s="176">
        <v>17057</v>
      </c>
      <c r="B213" s="177">
        <v>2638</v>
      </c>
      <c r="C213" s="178">
        <v>68</v>
      </c>
      <c r="D213" s="178">
        <v>1870</v>
      </c>
      <c r="E213" s="178"/>
      <c r="F213" s="179" t="s">
        <v>47</v>
      </c>
      <c r="G213" s="185" t="s">
        <v>216</v>
      </c>
      <c r="H213" s="178" t="s">
        <v>42</v>
      </c>
      <c r="I213" s="178">
        <v>2638</v>
      </c>
      <c r="J213" s="178"/>
      <c r="K213" s="178"/>
      <c r="L213" s="178" t="s">
        <v>59</v>
      </c>
      <c r="M213" s="178">
        <v>120</v>
      </c>
      <c r="N213" s="178">
        <v>300</v>
      </c>
      <c r="O213" s="178"/>
      <c r="P213" s="178"/>
      <c r="Q213" s="178"/>
      <c r="R213" s="178" t="s">
        <v>19</v>
      </c>
      <c r="S213" s="181"/>
      <c r="T213" s="181"/>
      <c r="U213" s="182"/>
      <c r="V213" s="182" t="s">
        <v>35</v>
      </c>
      <c r="W213" s="183">
        <v>20</v>
      </c>
      <c r="X213" s="182" t="s">
        <v>51</v>
      </c>
      <c r="Y213" s="184"/>
      <c r="Z213" s="184"/>
      <c r="AA213" s="184"/>
      <c r="AB213" s="184"/>
      <c r="AC213" s="184"/>
      <c r="AD213" s="184"/>
      <c r="AE213" s="184"/>
      <c r="AF213" s="184"/>
      <c r="AG213" s="184"/>
      <c r="AH213" s="184"/>
      <c r="AI213" s="184"/>
      <c r="AJ213" s="184"/>
      <c r="AK213" s="184">
        <v>2210</v>
      </c>
      <c r="AL213" s="184">
        <v>2210</v>
      </c>
      <c r="AM213" s="184">
        <v>2210</v>
      </c>
      <c r="AN213" s="184">
        <v>2440</v>
      </c>
      <c r="AO213" s="184">
        <v>2440</v>
      </c>
      <c r="AP213" s="184">
        <v>2440</v>
      </c>
      <c r="AQ213" s="184">
        <v>2590</v>
      </c>
      <c r="AR213" s="184">
        <v>2590</v>
      </c>
      <c r="AS213" s="184">
        <v>2590</v>
      </c>
      <c r="AT213" s="184">
        <v>2590</v>
      </c>
      <c r="AU213" s="184">
        <v>2590</v>
      </c>
      <c r="AV213" s="184">
        <v>2590</v>
      </c>
      <c r="AW213" s="184">
        <v>2510</v>
      </c>
      <c r="AX213" s="184">
        <v>2510</v>
      </c>
      <c r="AY213" s="184">
        <v>2510</v>
      </c>
      <c r="AZ213" s="184">
        <v>2310</v>
      </c>
      <c r="BA213" s="184">
        <v>2310</v>
      </c>
      <c r="BB213" s="184">
        <v>2610</v>
      </c>
      <c r="BC213" s="184">
        <v>2610</v>
      </c>
      <c r="BD213" s="184">
        <v>2610</v>
      </c>
      <c r="BE213" s="184">
        <v>2610</v>
      </c>
      <c r="BF213" s="184">
        <v>2530</v>
      </c>
      <c r="BG213" s="184">
        <v>2530</v>
      </c>
      <c r="BH213" s="184">
        <v>2530</v>
      </c>
      <c r="BI213" s="184">
        <v>2560</v>
      </c>
      <c r="BJ213" s="184">
        <v>2560</v>
      </c>
      <c r="BK213" s="184">
        <v>2560</v>
      </c>
      <c r="BL213" s="184">
        <v>2660</v>
      </c>
      <c r="BM213" s="184">
        <v>2660</v>
      </c>
      <c r="BN213" s="184">
        <v>2660</v>
      </c>
      <c r="BO213" s="184">
        <v>2740</v>
      </c>
      <c r="BP213" s="184">
        <v>2740</v>
      </c>
      <c r="BQ213" s="184">
        <v>2740</v>
      </c>
      <c r="BR213" s="184"/>
      <c r="BS213" s="184"/>
      <c r="BT213" s="184"/>
      <c r="BU213" s="146" cm="1">
        <f t="array" ref="BU213">LOOKUP(2,1/(Y213:BT213&lt;&gt;""),Y213:BH213)</f>
        <v>2740</v>
      </c>
      <c r="BV213" s="145" cm="1">
        <f t="array" aca="1" ref="BV213" ca="1">_xlfn.LET(
    _xlpm.last_col_idx, LOOKUP(2, 1/(Y213:BT213&lt;&gt;""), COLUMN(Y213:BT213) - COLUMN(Y213) + 1),
    _xlpm.header_val, INDEX($Y$3:$BT$3, 1, _xlpm.last_col_idx),
    _xlpm.header_date, IF(ISNUMBER(_xlpm.header_val), _xlpm.header_val, DATEVALUE(_xlpm.header_val)),
    IF(_xlpm.header_date &gt; TODAY(), TODAY(), _xlpm.header_date)
)</f>
        <v>46212</v>
      </c>
      <c r="BW213" s="209" cm="1">
        <f t="array" ref="BW213">(LOOKUP(2,1/(BH213:BT213&lt;&gt;""),BH213:BT213))/(INDEX(BH213:BT213,MATCH(TRUE,INDEX((BH213:BT213&lt;&gt;0),0),0)))-1</f>
        <v>8.3003952569169925E-2</v>
      </c>
      <c r="BX213" s="210">
        <f t="shared" si="42"/>
        <v>2.74</v>
      </c>
      <c r="BY213" s="210">
        <f t="shared" si="43"/>
        <v>16.166000000000004</v>
      </c>
      <c r="BZ213" s="210">
        <f ca="1">IF(L213="BR",'Impostos e Frete'!$F$6,IF(L213="EU",'Impostos e Frete'!$I$3,IF(L213="CN",'Impostos e Frete'!$I$4,IF(L213="JP",'Impostos e Frete'!$I$5,IF(L213="RU",'Impostos e Frete'!$I$7,"ERRO")))))</f>
        <v>0.1410816</v>
      </c>
      <c r="CA213" s="210">
        <f>VLOOKUP(L213,'Impostos e Frete'!$A$3:$B$7,2,0)*'Preços e Condições'!BY213</f>
        <v>2.1015800000000007</v>
      </c>
      <c r="CB213" s="147">
        <f t="shared" si="44"/>
        <v>0</v>
      </c>
      <c r="CC213" s="147">
        <f>IF(X213="BRL",'Impostos e Frete'!$B$11,'Impostos e Frete'!$B$12)</f>
        <v>9.1999999999999998E-2</v>
      </c>
      <c r="CD213" s="211">
        <f t="shared" ca="1" si="45"/>
        <v>18.500661600000004</v>
      </c>
      <c r="CE213" s="212">
        <f t="shared" ca="1" si="46"/>
        <v>1.2580449888000003</v>
      </c>
      <c r="CF213" s="213">
        <f>VLOOKUP(L213,'Impostos e Frete'!$A$3:$C$7,3,0)</f>
        <v>105</v>
      </c>
      <c r="CG213" s="213">
        <f t="shared" si="47"/>
        <v>120</v>
      </c>
      <c r="CH213" s="213">
        <f t="shared" si="48"/>
        <v>15</v>
      </c>
      <c r="CI213" s="214">
        <f t="shared" ca="1" si="49"/>
        <v>-0.13721322840403616</v>
      </c>
      <c r="CJ213" s="215">
        <f t="shared" ca="1" si="50"/>
        <v>18.363448371595968</v>
      </c>
      <c r="CK213" s="216">
        <f t="shared" ca="1" si="51"/>
        <v>1.2487144892685258</v>
      </c>
    </row>
    <row r="214" spans="1:89">
      <c r="A214" s="176">
        <v>17057</v>
      </c>
      <c r="B214" s="177">
        <v>2638</v>
      </c>
      <c r="C214" s="178">
        <v>68</v>
      </c>
      <c r="D214" s="178">
        <v>1870</v>
      </c>
      <c r="E214" s="178"/>
      <c r="F214" s="179" t="s">
        <v>47</v>
      </c>
      <c r="G214" s="185" t="s">
        <v>216</v>
      </c>
      <c r="H214" s="178" t="s">
        <v>42</v>
      </c>
      <c r="I214" s="178">
        <v>2638</v>
      </c>
      <c r="J214" s="178"/>
      <c r="K214" s="178"/>
      <c r="L214" s="178" t="s">
        <v>59</v>
      </c>
      <c r="M214" s="178">
        <v>120</v>
      </c>
      <c r="N214" s="178">
        <v>300</v>
      </c>
      <c r="O214" s="178"/>
      <c r="P214" s="178"/>
      <c r="Q214" s="178"/>
      <c r="R214" s="178" t="s">
        <v>19</v>
      </c>
      <c r="S214" s="181"/>
      <c r="T214" s="181"/>
      <c r="U214" s="182"/>
      <c r="V214" s="182" t="s">
        <v>35</v>
      </c>
      <c r="W214" s="183">
        <v>10</v>
      </c>
      <c r="X214" s="182" t="s">
        <v>51</v>
      </c>
      <c r="Y214" s="184"/>
      <c r="Z214" s="184"/>
      <c r="AA214" s="184"/>
      <c r="AB214" s="184"/>
      <c r="AC214" s="184"/>
      <c r="AD214" s="184"/>
      <c r="AE214" s="184"/>
      <c r="AF214" s="184"/>
      <c r="AG214" s="184"/>
      <c r="AH214" s="184"/>
      <c r="AI214" s="184"/>
      <c r="AJ214" s="184"/>
      <c r="AK214" s="184">
        <v>2210</v>
      </c>
      <c r="AL214" s="184">
        <v>2210</v>
      </c>
      <c r="AM214" s="184">
        <v>2210</v>
      </c>
      <c r="AN214" s="184">
        <v>2520</v>
      </c>
      <c r="AO214" s="184">
        <v>2520</v>
      </c>
      <c r="AP214" s="184">
        <v>2520</v>
      </c>
      <c r="AQ214" s="184">
        <v>2670</v>
      </c>
      <c r="AR214" s="184">
        <v>2670</v>
      </c>
      <c r="AS214" s="184">
        <v>2670</v>
      </c>
      <c r="AT214" s="184">
        <v>2670</v>
      </c>
      <c r="AU214" s="184">
        <v>2670</v>
      </c>
      <c r="AV214" s="184">
        <v>2670</v>
      </c>
      <c r="AW214" s="184">
        <v>2590</v>
      </c>
      <c r="AX214" s="184">
        <v>2590</v>
      </c>
      <c r="AY214" s="184">
        <v>2590</v>
      </c>
      <c r="AZ214" s="184">
        <v>2390</v>
      </c>
      <c r="BA214" s="184">
        <v>2390</v>
      </c>
      <c r="BB214" s="184">
        <v>2690</v>
      </c>
      <c r="BC214" s="184">
        <v>2690</v>
      </c>
      <c r="BD214" s="184">
        <v>2690</v>
      </c>
      <c r="BE214" s="184">
        <v>2690</v>
      </c>
      <c r="BF214" s="184">
        <v>2610</v>
      </c>
      <c r="BG214" s="184">
        <v>2610</v>
      </c>
      <c r="BH214" s="184">
        <v>2610</v>
      </c>
      <c r="BI214" s="184">
        <v>2640</v>
      </c>
      <c r="BJ214" s="184">
        <v>2640</v>
      </c>
      <c r="BK214" s="184">
        <v>2640</v>
      </c>
      <c r="BL214" s="184">
        <v>2740</v>
      </c>
      <c r="BM214" s="184">
        <v>2740</v>
      </c>
      <c r="BN214" s="184">
        <v>2740</v>
      </c>
      <c r="BO214" s="184">
        <v>2820</v>
      </c>
      <c r="BP214" s="184">
        <v>2820</v>
      </c>
      <c r="BQ214" s="184">
        <v>2820</v>
      </c>
      <c r="BR214" s="184"/>
      <c r="BS214" s="184"/>
      <c r="BT214" s="184"/>
      <c r="BU214" s="146" cm="1">
        <f t="array" ref="BU214">LOOKUP(2,1/(Y214:BT214&lt;&gt;""),Y214:BH214)</f>
        <v>2820</v>
      </c>
      <c r="BV214" s="145" cm="1">
        <f t="array" aca="1" ref="BV214" ca="1">_xlfn.LET(
    _xlpm.last_col_idx, LOOKUP(2, 1/(Y214:BT214&lt;&gt;""), COLUMN(Y214:BT214) - COLUMN(Y214) + 1),
    _xlpm.header_val, INDEX($Y$3:$BT$3, 1, _xlpm.last_col_idx),
    _xlpm.header_date, IF(ISNUMBER(_xlpm.header_val), _xlpm.header_val, DATEVALUE(_xlpm.header_val)),
    IF(_xlpm.header_date &gt; TODAY(), TODAY(), _xlpm.header_date)
)</f>
        <v>46212</v>
      </c>
      <c r="BW214" s="209" cm="1">
        <f t="array" ref="BW214">(LOOKUP(2,1/(BH214:BT214&lt;&gt;""),BH214:BT214))/(INDEX(BH214:BT214,MATCH(TRUE,INDEX((BH214:BT214&lt;&gt;0),0),0)))-1</f>
        <v>8.0459770114942541E-2</v>
      </c>
      <c r="BX214" s="210">
        <f t="shared" si="42"/>
        <v>2.82</v>
      </c>
      <c r="BY214" s="210">
        <f t="shared" si="43"/>
        <v>16.638000000000002</v>
      </c>
      <c r="BZ214" s="210">
        <f ca="1">IF(L214="BR",'Impostos e Frete'!$F$6,IF(L214="EU",'Impostos e Frete'!$I$3,IF(L214="CN",'Impostos e Frete'!$I$4,IF(L214="JP",'Impostos e Frete'!$I$5,IF(L214="RU",'Impostos e Frete'!$I$7,"ERRO")))))</f>
        <v>0.1410816</v>
      </c>
      <c r="CA214" s="210">
        <f>VLOOKUP(L214,'Impostos e Frete'!$A$3:$B$7,2,0)*'Preços e Condições'!BY214</f>
        <v>2.1629400000000003</v>
      </c>
      <c r="CB214" s="147">
        <f t="shared" si="44"/>
        <v>0</v>
      </c>
      <c r="CC214" s="147">
        <f>IF(X214="BRL",'Impostos e Frete'!$B$11,'Impostos e Frete'!$B$12)</f>
        <v>9.1999999999999998E-2</v>
      </c>
      <c r="CD214" s="211">
        <f t="shared" ca="1" si="45"/>
        <v>19.034021599999999</v>
      </c>
      <c r="CE214" s="212">
        <f t="shared" ca="1" si="46"/>
        <v>1.2943134688</v>
      </c>
      <c r="CF214" s="213">
        <f>VLOOKUP(L214,'Impostos e Frete'!$A$3:$C$7,3,0)</f>
        <v>105</v>
      </c>
      <c r="CG214" s="213">
        <f t="shared" si="47"/>
        <v>120</v>
      </c>
      <c r="CH214" s="213">
        <f t="shared" si="48"/>
        <v>15</v>
      </c>
      <c r="CI214" s="214">
        <f t="shared" ca="1" si="49"/>
        <v>-0.14116898139729983</v>
      </c>
      <c r="CJ214" s="215">
        <f t="shared" ca="1" si="50"/>
        <v>18.892852618602699</v>
      </c>
      <c r="CK214" s="216">
        <f t="shared" ca="1" si="51"/>
        <v>1.2847139780649834</v>
      </c>
    </row>
    <row r="215" spans="1:89">
      <c r="A215" s="176">
        <v>17058</v>
      </c>
      <c r="B215" s="177">
        <v>2795</v>
      </c>
      <c r="C215" s="178">
        <v>70</v>
      </c>
      <c r="D215" s="178">
        <v>1870</v>
      </c>
      <c r="E215" s="178"/>
      <c r="F215" s="179" t="s">
        <v>47</v>
      </c>
      <c r="G215" s="185" t="s">
        <v>155</v>
      </c>
      <c r="H215" s="178" t="s">
        <v>61</v>
      </c>
      <c r="I215" s="178">
        <v>6287</v>
      </c>
      <c r="J215" s="178"/>
      <c r="K215" s="178"/>
      <c r="L215" s="178" t="s">
        <v>59</v>
      </c>
      <c r="M215" s="178">
        <v>120</v>
      </c>
      <c r="N215" s="178">
        <v>300</v>
      </c>
      <c r="O215" s="178"/>
      <c r="P215" s="178"/>
      <c r="Q215" s="178"/>
      <c r="R215" s="178" t="s">
        <v>19</v>
      </c>
      <c r="S215" s="181"/>
      <c r="T215" s="181"/>
      <c r="U215" s="182"/>
      <c r="V215" s="182" t="s">
        <v>35</v>
      </c>
      <c r="W215" s="183">
        <v>50</v>
      </c>
      <c r="X215" s="182" t="s">
        <v>51</v>
      </c>
      <c r="Y215" s="184"/>
      <c r="Z215" s="184"/>
      <c r="AA215" s="184"/>
      <c r="AB215" s="184">
        <v>2380</v>
      </c>
      <c r="AC215" s="184">
        <v>2380</v>
      </c>
      <c r="AD215" s="184">
        <v>2380</v>
      </c>
      <c r="AE215" s="184">
        <v>2200</v>
      </c>
      <c r="AF215" s="184">
        <v>2200</v>
      </c>
      <c r="AG215" s="184">
        <v>2200</v>
      </c>
      <c r="AH215" s="184">
        <v>2050</v>
      </c>
      <c r="AI215" s="184">
        <v>2050</v>
      </c>
      <c r="AJ215" s="184">
        <v>2050</v>
      </c>
      <c r="AK215" s="184">
        <v>2140</v>
      </c>
      <c r="AL215" s="184">
        <v>2140</v>
      </c>
      <c r="AM215" s="184">
        <v>2140</v>
      </c>
      <c r="AN215" s="184">
        <v>2290</v>
      </c>
      <c r="AO215" s="184">
        <v>2290</v>
      </c>
      <c r="AP215" s="184">
        <v>2290</v>
      </c>
      <c r="AQ215" s="184">
        <v>2440</v>
      </c>
      <c r="AR215" s="184">
        <v>2440</v>
      </c>
      <c r="AS215" s="184">
        <v>2440</v>
      </c>
      <c r="AT215" s="184">
        <v>2440</v>
      </c>
      <c r="AU215" s="184">
        <v>2440</v>
      </c>
      <c r="AV215" s="184">
        <v>2440</v>
      </c>
      <c r="AW215" s="184">
        <v>2360</v>
      </c>
      <c r="AX215" s="184">
        <v>2360</v>
      </c>
      <c r="AY215" s="184">
        <v>2360</v>
      </c>
      <c r="AZ215" s="184">
        <v>2160</v>
      </c>
      <c r="BA215" s="184">
        <v>2160</v>
      </c>
      <c r="BB215" s="184">
        <v>2460</v>
      </c>
      <c r="BC215" s="184">
        <v>2460</v>
      </c>
      <c r="BD215" s="184">
        <v>2460</v>
      </c>
      <c r="BE215" s="184">
        <v>2460</v>
      </c>
      <c r="BF215" s="184">
        <v>2380</v>
      </c>
      <c r="BG215" s="184">
        <v>2380</v>
      </c>
      <c r="BH215" s="184">
        <v>2380</v>
      </c>
      <c r="BI215" s="184">
        <v>2430</v>
      </c>
      <c r="BJ215" s="184">
        <v>2430</v>
      </c>
      <c r="BK215" s="184">
        <v>2430</v>
      </c>
      <c r="BL215" s="184">
        <v>2530</v>
      </c>
      <c r="BM215" s="184">
        <v>2530</v>
      </c>
      <c r="BN215" s="184">
        <v>2530</v>
      </c>
      <c r="BO215" s="184">
        <v>2610</v>
      </c>
      <c r="BP215" s="184">
        <v>2610</v>
      </c>
      <c r="BQ215" s="184">
        <v>2610</v>
      </c>
      <c r="BR215" s="184"/>
      <c r="BS215" s="184"/>
      <c r="BT215" s="184"/>
      <c r="BU215" s="146" cm="1">
        <f t="array" ref="BU215">LOOKUP(2,1/(Y215:BT215&lt;&gt;""),Y215:BH215)</f>
        <v>2610</v>
      </c>
      <c r="BV215" s="145" cm="1">
        <f t="array" aca="1" ref="BV215" ca="1">_xlfn.LET(
    _xlpm.last_col_idx, LOOKUP(2, 1/(Y215:BT215&lt;&gt;""), COLUMN(Y215:BT215) - COLUMN(Y215) + 1),
    _xlpm.header_val, INDEX($Y$3:$BT$3, 1, _xlpm.last_col_idx),
    _xlpm.header_date, IF(ISNUMBER(_xlpm.header_val), _xlpm.header_val, DATEVALUE(_xlpm.header_val)),
    IF(_xlpm.header_date &gt; TODAY(), TODAY(), _xlpm.header_date)
)</f>
        <v>46212</v>
      </c>
      <c r="BW215" s="209" cm="1">
        <f t="array" ref="BW215">(LOOKUP(2,1/(BH215:BT215&lt;&gt;""),BH215:BT215))/(INDEX(BH215:BT215,MATCH(TRUE,INDEX((BH215:BT215&lt;&gt;0),0),0)))-1</f>
        <v>9.6638655462184975E-2</v>
      </c>
      <c r="BX215" s="210">
        <f t="shared" si="42"/>
        <v>2.61</v>
      </c>
      <c r="BY215" s="210">
        <f t="shared" si="43"/>
        <v>15.399000000000001</v>
      </c>
      <c r="BZ215" s="210">
        <f ca="1">IF(L215="BR",'Impostos e Frete'!$F$6,IF(L215="EU",'Impostos e Frete'!$I$3,IF(L215="CN",'Impostos e Frete'!$I$4,IF(L215="JP",'Impostos e Frete'!$I$5,IF(L215="RU",'Impostos e Frete'!$I$7,"ERRO")))))</f>
        <v>0.1410816</v>
      </c>
      <c r="CA215" s="210">
        <f>VLOOKUP(L215,'Impostos e Frete'!$A$3:$B$7,2,0)*'Preços e Condições'!BY215</f>
        <v>2.0018700000000003</v>
      </c>
      <c r="CB215" s="147">
        <f t="shared" si="44"/>
        <v>0</v>
      </c>
      <c r="CC215" s="147">
        <f>IF(X215="BRL",'Impostos e Frete'!$B$11,'Impostos e Frete'!$B$12)</f>
        <v>9.1999999999999998E-2</v>
      </c>
      <c r="CD215" s="211">
        <f t="shared" ca="1" si="45"/>
        <v>17.6339516</v>
      </c>
      <c r="CE215" s="212">
        <f t="shared" ca="1" si="46"/>
        <v>1.2343766119999999</v>
      </c>
      <c r="CF215" s="213">
        <f>VLOOKUP(L215,'Impostos e Frete'!$A$3:$C$7,3,0)</f>
        <v>105</v>
      </c>
      <c r="CG215" s="213">
        <f t="shared" si="47"/>
        <v>120</v>
      </c>
      <c r="CH215" s="213">
        <f t="shared" si="48"/>
        <v>15</v>
      </c>
      <c r="CI215" s="214">
        <f t="shared" ca="1" si="49"/>
        <v>-0.13078512978998091</v>
      </c>
      <c r="CJ215" s="215">
        <f t="shared" ca="1" si="50"/>
        <v>17.503166470210019</v>
      </c>
      <c r="CK215" s="216">
        <f t="shared" ca="1" si="51"/>
        <v>1.2252216529147013</v>
      </c>
    </row>
    <row r="216" spans="1:89">
      <c r="A216" s="176">
        <v>17058</v>
      </c>
      <c r="B216" s="177">
        <v>2795</v>
      </c>
      <c r="C216" s="178">
        <v>70</v>
      </c>
      <c r="D216" s="178">
        <v>1870</v>
      </c>
      <c r="E216" s="178"/>
      <c r="F216" s="179" t="s">
        <v>47</v>
      </c>
      <c r="G216" s="185" t="s">
        <v>155</v>
      </c>
      <c r="H216" s="178" t="s">
        <v>61</v>
      </c>
      <c r="I216" s="178">
        <v>6287</v>
      </c>
      <c r="J216" s="178"/>
      <c r="K216" s="178"/>
      <c r="L216" s="178" t="s">
        <v>59</v>
      </c>
      <c r="M216" s="178">
        <v>120</v>
      </c>
      <c r="N216" s="178">
        <v>300</v>
      </c>
      <c r="O216" s="178"/>
      <c r="P216" s="178"/>
      <c r="Q216" s="178"/>
      <c r="R216" s="178" t="s">
        <v>19</v>
      </c>
      <c r="S216" s="181"/>
      <c r="T216" s="181"/>
      <c r="U216" s="182"/>
      <c r="V216" s="182" t="s">
        <v>35</v>
      </c>
      <c r="W216" s="183">
        <v>30</v>
      </c>
      <c r="X216" s="182" t="s">
        <v>51</v>
      </c>
      <c r="Y216" s="184"/>
      <c r="Z216" s="184"/>
      <c r="AA216" s="184"/>
      <c r="AB216" s="184">
        <v>2430</v>
      </c>
      <c r="AC216" s="184">
        <v>2430</v>
      </c>
      <c r="AD216" s="184">
        <v>2430</v>
      </c>
      <c r="AE216" s="184">
        <v>2250</v>
      </c>
      <c r="AF216" s="184">
        <v>2250</v>
      </c>
      <c r="AG216" s="184">
        <v>2250</v>
      </c>
      <c r="AH216" s="184">
        <v>2100</v>
      </c>
      <c r="AI216" s="184">
        <v>2100</v>
      </c>
      <c r="AJ216" s="184">
        <v>2100</v>
      </c>
      <c r="AK216" s="146">
        <f>AK215+50</f>
        <v>2190</v>
      </c>
      <c r="AL216" s="146">
        <f>AL215+50</f>
        <v>2190</v>
      </c>
      <c r="AM216" s="146">
        <f>AM215+50</f>
        <v>2190</v>
      </c>
      <c r="AN216" s="184">
        <v>2340</v>
      </c>
      <c r="AO216" s="184">
        <v>2340</v>
      </c>
      <c r="AP216" s="184">
        <v>2340</v>
      </c>
      <c r="AQ216" s="184">
        <v>2490</v>
      </c>
      <c r="AR216" s="184">
        <v>2490</v>
      </c>
      <c r="AS216" s="184">
        <v>2490</v>
      </c>
      <c r="AT216" s="184">
        <v>2490</v>
      </c>
      <c r="AU216" s="184">
        <v>2490</v>
      </c>
      <c r="AV216" s="184">
        <v>2490</v>
      </c>
      <c r="AW216" s="184">
        <v>2410</v>
      </c>
      <c r="AX216" s="184">
        <v>2410</v>
      </c>
      <c r="AY216" s="184">
        <v>2410</v>
      </c>
      <c r="AZ216" s="184">
        <v>2210</v>
      </c>
      <c r="BA216" s="184">
        <v>2210</v>
      </c>
      <c r="BB216" s="184">
        <v>2510</v>
      </c>
      <c r="BC216" s="184">
        <v>2510</v>
      </c>
      <c r="BD216" s="184">
        <v>2510</v>
      </c>
      <c r="BE216" s="184">
        <v>2510</v>
      </c>
      <c r="BF216" s="184">
        <v>2430</v>
      </c>
      <c r="BG216" s="184">
        <v>2430</v>
      </c>
      <c r="BH216" s="184">
        <v>2430</v>
      </c>
      <c r="BI216" s="184">
        <v>2480</v>
      </c>
      <c r="BJ216" s="184">
        <v>2480</v>
      </c>
      <c r="BK216" s="184">
        <v>2480</v>
      </c>
      <c r="BL216" s="184">
        <v>2580</v>
      </c>
      <c r="BM216" s="184">
        <v>2580</v>
      </c>
      <c r="BN216" s="184">
        <v>2580</v>
      </c>
      <c r="BO216" s="184">
        <v>2660</v>
      </c>
      <c r="BP216" s="184">
        <v>2660</v>
      </c>
      <c r="BQ216" s="184">
        <v>2660</v>
      </c>
      <c r="BR216" s="184"/>
      <c r="BS216" s="184"/>
      <c r="BT216" s="184"/>
      <c r="BU216" s="146" cm="1">
        <f t="array" ref="BU216">LOOKUP(2,1/(Y216:BT216&lt;&gt;""),Y216:BH216)</f>
        <v>2660</v>
      </c>
      <c r="BV216" s="145" cm="1">
        <f t="array" aca="1" ref="BV216" ca="1">_xlfn.LET(
    _xlpm.last_col_idx, LOOKUP(2, 1/(Y216:BT216&lt;&gt;""), COLUMN(Y216:BT216) - COLUMN(Y216) + 1),
    _xlpm.header_val, INDEX($Y$3:$BT$3, 1, _xlpm.last_col_idx),
    _xlpm.header_date, IF(ISNUMBER(_xlpm.header_val), _xlpm.header_val, DATEVALUE(_xlpm.header_val)),
    IF(_xlpm.header_date &gt; TODAY(), TODAY(), _xlpm.header_date)
)</f>
        <v>46212</v>
      </c>
      <c r="BW216" s="209" cm="1">
        <f t="array" ref="BW216">(LOOKUP(2,1/(BH216:BT216&lt;&gt;""),BH216:BT216))/(INDEX(BH216:BT216,MATCH(TRUE,INDEX((BH216:BT216&lt;&gt;0),0),0)))-1</f>
        <v>9.4650205761316775E-2</v>
      </c>
      <c r="BX216" s="210">
        <f t="shared" si="42"/>
        <v>2.66</v>
      </c>
      <c r="BY216" s="210">
        <f t="shared" si="43"/>
        <v>15.694000000000003</v>
      </c>
      <c r="BZ216" s="210">
        <f ca="1">IF(L216="BR",'Impostos e Frete'!$F$6,IF(L216="EU",'Impostos e Frete'!$I$3,IF(L216="CN",'Impostos e Frete'!$I$4,IF(L216="JP",'Impostos e Frete'!$I$5,IF(L216="RU",'Impostos e Frete'!$I$7,"ERRO")))))</f>
        <v>0.1410816</v>
      </c>
      <c r="CA216" s="210">
        <f>VLOOKUP(L216,'Impostos e Frete'!$A$3:$B$7,2,0)*'Preços e Condições'!BY216</f>
        <v>2.0402200000000006</v>
      </c>
      <c r="CB216" s="147">
        <f t="shared" si="44"/>
        <v>0</v>
      </c>
      <c r="CC216" s="147">
        <f>IF(X216="BRL",'Impostos e Frete'!$B$11,'Impostos e Frete'!$B$12)</f>
        <v>9.1999999999999998E-2</v>
      </c>
      <c r="CD216" s="211">
        <f t="shared" ca="1" si="45"/>
        <v>17.967301600000003</v>
      </c>
      <c r="CE216" s="212">
        <f t="shared" ca="1" si="46"/>
        <v>1.2577111120000002</v>
      </c>
      <c r="CF216" s="213">
        <f>VLOOKUP(L216,'Impostos e Frete'!$A$3:$C$7,3,0)</f>
        <v>105</v>
      </c>
      <c r="CG216" s="213">
        <f t="shared" si="47"/>
        <v>120</v>
      </c>
      <c r="CH216" s="213">
        <f t="shared" si="48"/>
        <v>15</v>
      </c>
      <c r="CI216" s="214">
        <f t="shared" ca="1" si="49"/>
        <v>-0.13325747541077249</v>
      </c>
      <c r="CJ216" s="215">
        <f t="shared" ca="1" si="50"/>
        <v>17.83404412458923</v>
      </c>
      <c r="CK216" s="216">
        <f t="shared" ca="1" si="51"/>
        <v>1.2483830887212461</v>
      </c>
    </row>
    <row r="217" spans="1:89">
      <c r="A217" s="176">
        <v>17058</v>
      </c>
      <c r="B217" s="177">
        <v>2795</v>
      </c>
      <c r="C217" s="178">
        <v>70</v>
      </c>
      <c r="D217" s="178">
        <v>1870</v>
      </c>
      <c r="E217" s="178"/>
      <c r="F217" s="179" t="s">
        <v>47</v>
      </c>
      <c r="G217" s="185" t="s">
        <v>155</v>
      </c>
      <c r="H217" s="178" t="s">
        <v>61</v>
      </c>
      <c r="I217" s="178">
        <v>6287</v>
      </c>
      <c r="J217" s="178"/>
      <c r="K217" s="178"/>
      <c r="L217" s="178" t="s">
        <v>59</v>
      </c>
      <c r="M217" s="178">
        <v>120</v>
      </c>
      <c r="N217" s="178">
        <v>300</v>
      </c>
      <c r="O217" s="178"/>
      <c r="P217" s="178"/>
      <c r="Q217" s="178"/>
      <c r="R217" s="178" t="s">
        <v>19</v>
      </c>
      <c r="S217" s="181"/>
      <c r="T217" s="181"/>
      <c r="U217" s="182"/>
      <c r="V217" s="182" t="s">
        <v>35</v>
      </c>
      <c r="W217" s="183">
        <v>20</v>
      </c>
      <c r="X217" s="182" t="s">
        <v>51</v>
      </c>
      <c r="Y217" s="184"/>
      <c r="Z217" s="184"/>
      <c r="AA217" s="184"/>
      <c r="AB217" s="184">
        <v>2480</v>
      </c>
      <c r="AC217" s="184">
        <v>2480</v>
      </c>
      <c r="AD217" s="184">
        <v>2480</v>
      </c>
      <c r="AE217" s="184">
        <v>2300</v>
      </c>
      <c r="AF217" s="184">
        <v>2300</v>
      </c>
      <c r="AG217" s="184">
        <v>2300</v>
      </c>
      <c r="AH217" s="184">
        <v>2150</v>
      </c>
      <c r="AI217" s="184">
        <v>2150</v>
      </c>
      <c r="AJ217" s="184">
        <v>2150</v>
      </c>
      <c r="AK217" s="146">
        <f>AK215+100</f>
        <v>2240</v>
      </c>
      <c r="AL217" s="146">
        <f>AL215+100</f>
        <v>2240</v>
      </c>
      <c r="AM217" s="146">
        <f>AM215+100</f>
        <v>2240</v>
      </c>
      <c r="AN217" s="184">
        <v>2390</v>
      </c>
      <c r="AO217" s="184">
        <v>2390</v>
      </c>
      <c r="AP217" s="184">
        <v>2390</v>
      </c>
      <c r="AQ217" s="184">
        <v>2540</v>
      </c>
      <c r="AR217" s="184">
        <v>2540</v>
      </c>
      <c r="AS217" s="184">
        <v>2540</v>
      </c>
      <c r="AT217" s="184">
        <v>2540</v>
      </c>
      <c r="AU217" s="184">
        <v>2540</v>
      </c>
      <c r="AV217" s="184">
        <v>2540</v>
      </c>
      <c r="AW217" s="184">
        <v>2460</v>
      </c>
      <c r="AX217" s="184">
        <v>2460</v>
      </c>
      <c r="AY217" s="184">
        <v>2460</v>
      </c>
      <c r="AZ217" s="184">
        <v>2260</v>
      </c>
      <c r="BA217" s="184">
        <v>2260</v>
      </c>
      <c r="BB217" s="184">
        <v>2560</v>
      </c>
      <c r="BC217" s="184">
        <v>2560</v>
      </c>
      <c r="BD217" s="184">
        <v>2560</v>
      </c>
      <c r="BE217" s="184">
        <v>2560</v>
      </c>
      <c r="BF217" s="184">
        <v>2480</v>
      </c>
      <c r="BG217" s="184">
        <v>2480</v>
      </c>
      <c r="BH217" s="184">
        <v>2480</v>
      </c>
      <c r="BI217" s="184">
        <v>2530</v>
      </c>
      <c r="BJ217" s="184">
        <v>2530</v>
      </c>
      <c r="BK217" s="184">
        <v>2530</v>
      </c>
      <c r="BL217" s="184">
        <v>2630</v>
      </c>
      <c r="BM217" s="184">
        <v>2630</v>
      </c>
      <c r="BN217" s="184">
        <v>2630</v>
      </c>
      <c r="BO217" s="184">
        <v>2710</v>
      </c>
      <c r="BP217" s="184">
        <v>2710</v>
      </c>
      <c r="BQ217" s="184">
        <v>2710</v>
      </c>
      <c r="BR217" s="184"/>
      <c r="BS217" s="184"/>
      <c r="BT217" s="184"/>
      <c r="BU217" s="146" cm="1">
        <f t="array" ref="BU217">LOOKUP(2,1/(Y217:BT217&lt;&gt;""),Y217:BH217)</f>
        <v>2710</v>
      </c>
      <c r="BV217" s="145" cm="1">
        <f t="array" aca="1" ref="BV217" ca="1">_xlfn.LET(
    _xlpm.last_col_idx, LOOKUP(2, 1/(Y217:BT217&lt;&gt;""), COLUMN(Y217:BT217) - COLUMN(Y217) + 1),
    _xlpm.header_val, INDEX($Y$3:$BT$3, 1, _xlpm.last_col_idx),
    _xlpm.header_date, IF(ISNUMBER(_xlpm.header_val), _xlpm.header_val, DATEVALUE(_xlpm.header_val)),
    IF(_xlpm.header_date &gt; TODAY(), TODAY(), _xlpm.header_date)
)</f>
        <v>46212</v>
      </c>
      <c r="BW217" s="209" cm="1">
        <f t="array" ref="BW217">(LOOKUP(2,1/(BH217:BT217&lt;&gt;""),BH217:BT217))/(INDEX(BH217:BT217,MATCH(TRUE,INDEX((BH217:BT217&lt;&gt;0),0),0)))-1</f>
        <v>9.2741935483870996E-2</v>
      </c>
      <c r="BX217" s="210">
        <f t="shared" si="42"/>
        <v>2.71</v>
      </c>
      <c r="BY217" s="210">
        <f t="shared" si="43"/>
        <v>15.989000000000001</v>
      </c>
      <c r="BZ217" s="210">
        <f ca="1">IF(L217="BR",'Impostos e Frete'!$F$6,IF(L217="EU",'Impostos e Frete'!$I$3,IF(L217="CN",'Impostos e Frete'!$I$4,IF(L217="JP",'Impostos e Frete'!$I$5,IF(L217="RU",'Impostos e Frete'!$I$7,"ERRO")))))</f>
        <v>0.1410816</v>
      </c>
      <c r="CA217" s="210">
        <f>VLOOKUP(L217,'Impostos e Frete'!$A$3:$B$7,2,0)*'Preços e Condições'!BY217</f>
        <v>2.07857</v>
      </c>
      <c r="CB217" s="147">
        <f t="shared" si="44"/>
        <v>0</v>
      </c>
      <c r="CC217" s="147">
        <f>IF(X217="BRL",'Impostos e Frete'!$B$11,'Impostos e Frete'!$B$12)</f>
        <v>9.1999999999999998E-2</v>
      </c>
      <c r="CD217" s="211">
        <f t="shared" ca="1" si="45"/>
        <v>18.300651599999998</v>
      </c>
      <c r="CE217" s="212">
        <f t="shared" ca="1" si="46"/>
        <v>1.281045612</v>
      </c>
      <c r="CF217" s="213">
        <f>VLOOKUP(L217,'Impostos e Frete'!$A$3:$C$7,3,0)</f>
        <v>105</v>
      </c>
      <c r="CG217" s="213">
        <f t="shared" si="47"/>
        <v>120</v>
      </c>
      <c r="CH217" s="213">
        <f t="shared" si="48"/>
        <v>15</v>
      </c>
      <c r="CI217" s="214">
        <f t="shared" ca="1" si="49"/>
        <v>-0.1357298210315605</v>
      </c>
      <c r="CJ217" s="215">
        <f t="shared" ca="1" si="50"/>
        <v>18.164921778968438</v>
      </c>
      <c r="CK217" s="216">
        <f t="shared" ca="1" si="51"/>
        <v>1.2715445245277908</v>
      </c>
    </row>
    <row r="218" spans="1:89">
      <c r="A218" s="176">
        <v>17058</v>
      </c>
      <c r="B218" s="177">
        <v>2795</v>
      </c>
      <c r="C218" s="178">
        <v>70</v>
      </c>
      <c r="D218" s="178">
        <v>1870</v>
      </c>
      <c r="E218" s="178"/>
      <c r="F218" s="179" t="s">
        <v>47</v>
      </c>
      <c r="G218" s="185" t="s">
        <v>155</v>
      </c>
      <c r="H218" s="178" t="s">
        <v>61</v>
      </c>
      <c r="I218" s="178">
        <v>6287</v>
      </c>
      <c r="J218" s="178"/>
      <c r="K218" s="178"/>
      <c r="L218" s="178" t="s">
        <v>59</v>
      </c>
      <c r="M218" s="178">
        <v>120</v>
      </c>
      <c r="N218" s="178">
        <v>300</v>
      </c>
      <c r="O218" s="178"/>
      <c r="P218" s="178"/>
      <c r="Q218" s="178"/>
      <c r="R218" s="178" t="s">
        <v>19</v>
      </c>
      <c r="S218" s="181"/>
      <c r="T218" s="181"/>
      <c r="U218" s="182"/>
      <c r="V218" s="182" t="s">
        <v>35</v>
      </c>
      <c r="W218" s="183">
        <v>10</v>
      </c>
      <c r="X218" s="182" t="s">
        <v>51</v>
      </c>
      <c r="Y218" s="184"/>
      <c r="Z218" s="184"/>
      <c r="AA218" s="184"/>
      <c r="AB218" s="184">
        <v>2560</v>
      </c>
      <c r="AC218" s="184">
        <v>2560</v>
      </c>
      <c r="AD218" s="184">
        <v>2560</v>
      </c>
      <c r="AE218" s="184">
        <v>2380</v>
      </c>
      <c r="AF218" s="184">
        <v>2380</v>
      </c>
      <c r="AG218" s="184">
        <v>2380</v>
      </c>
      <c r="AH218" s="184">
        <v>2230</v>
      </c>
      <c r="AI218" s="184">
        <v>2230</v>
      </c>
      <c r="AJ218" s="184">
        <v>2230</v>
      </c>
      <c r="AK218" s="146">
        <f>AK215+180</f>
        <v>2320</v>
      </c>
      <c r="AL218" s="146">
        <f>AL215+180</f>
        <v>2320</v>
      </c>
      <c r="AM218" s="146">
        <f>AM215+180</f>
        <v>2320</v>
      </c>
      <c r="AN218" s="184">
        <v>2470</v>
      </c>
      <c r="AO218" s="184">
        <v>2470</v>
      </c>
      <c r="AP218" s="184">
        <v>2470</v>
      </c>
      <c r="AQ218" s="184">
        <v>2620</v>
      </c>
      <c r="AR218" s="184">
        <v>2620</v>
      </c>
      <c r="AS218" s="184">
        <v>2620</v>
      </c>
      <c r="AT218" s="184">
        <v>2620</v>
      </c>
      <c r="AU218" s="184">
        <v>2620</v>
      </c>
      <c r="AV218" s="184">
        <v>2620</v>
      </c>
      <c r="AW218" s="184">
        <v>2540</v>
      </c>
      <c r="AX218" s="184">
        <v>2540</v>
      </c>
      <c r="AY218" s="184">
        <v>2540</v>
      </c>
      <c r="AZ218" s="184">
        <v>2340</v>
      </c>
      <c r="BA218" s="184">
        <v>2340</v>
      </c>
      <c r="BB218" s="184">
        <v>2640</v>
      </c>
      <c r="BC218" s="184">
        <v>2640</v>
      </c>
      <c r="BD218" s="184">
        <v>2640</v>
      </c>
      <c r="BE218" s="184">
        <v>2640</v>
      </c>
      <c r="BF218" s="184">
        <v>2560</v>
      </c>
      <c r="BG218" s="184">
        <v>2560</v>
      </c>
      <c r="BH218" s="184">
        <v>2560</v>
      </c>
      <c r="BI218" s="184">
        <v>2610</v>
      </c>
      <c r="BJ218" s="184">
        <v>2610</v>
      </c>
      <c r="BK218" s="184">
        <v>2610</v>
      </c>
      <c r="BL218" s="184">
        <v>2710</v>
      </c>
      <c r="BM218" s="184">
        <v>2710</v>
      </c>
      <c r="BN218" s="184">
        <v>2710</v>
      </c>
      <c r="BO218" s="184">
        <v>2790</v>
      </c>
      <c r="BP218" s="184">
        <v>2790</v>
      </c>
      <c r="BQ218" s="184">
        <v>2790</v>
      </c>
      <c r="BR218" s="184"/>
      <c r="BS218" s="184"/>
      <c r="BT218" s="184"/>
      <c r="BU218" s="146" cm="1">
        <f t="array" ref="BU218">LOOKUP(2,1/(Y218:BT218&lt;&gt;""),Y218:BH218)</f>
        <v>2790</v>
      </c>
      <c r="BV218" s="145" cm="1">
        <f t="array" aca="1" ref="BV218" ca="1">_xlfn.LET(
    _xlpm.last_col_idx, LOOKUP(2, 1/(Y218:BT218&lt;&gt;""), COLUMN(Y218:BT218) - COLUMN(Y218) + 1),
    _xlpm.header_val, INDEX($Y$3:$BT$3, 1, _xlpm.last_col_idx),
    _xlpm.header_date, IF(ISNUMBER(_xlpm.header_val), _xlpm.header_val, DATEVALUE(_xlpm.header_val)),
    IF(_xlpm.header_date &gt; TODAY(), TODAY(), _xlpm.header_date)
)</f>
        <v>46212</v>
      </c>
      <c r="BW218" s="209" cm="1">
        <f t="array" ref="BW218">(LOOKUP(2,1/(BH218:BT218&lt;&gt;""),BH218:BT218))/(INDEX(BH218:BT218,MATCH(TRUE,INDEX((BH218:BT218&lt;&gt;0),0),0)))-1</f>
        <v>8.984375E-2</v>
      </c>
      <c r="BX218" s="210">
        <f t="shared" si="42"/>
        <v>2.79</v>
      </c>
      <c r="BY218" s="210">
        <f t="shared" si="43"/>
        <v>16.461000000000002</v>
      </c>
      <c r="BZ218" s="210">
        <f ca="1">IF(L218="BR",'Impostos e Frete'!$F$6,IF(L218="EU",'Impostos e Frete'!$I$3,IF(L218="CN",'Impostos e Frete'!$I$4,IF(L218="JP",'Impostos e Frete'!$I$5,IF(L218="RU",'Impostos e Frete'!$I$7,"ERRO")))))</f>
        <v>0.1410816</v>
      </c>
      <c r="CA218" s="210">
        <f>VLOOKUP(L218,'Impostos e Frete'!$A$3:$B$7,2,0)*'Preços e Condições'!BY218</f>
        <v>2.1399300000000006</v>
      </c>
      <c r="CB218" s="147">
        <f t="shared" si="44"/>
        <v>0</v>
      </c>
      <c r="CC218" s="147">
        <f>IF(X218="BRL",'Impostos e Frete'!$B$11,'Impostos e Frete'!$B$12)</f>
        <v>9.1999999999999998E-2</v>
      </c>
      <c r="CD218" s="211">
        <f t="shared" ca="1" si="45"/>
        <v>18.8340116</v>
      </c>
      <c r="CE218" s="212">
        <f t="shared" ca="1" si="46"/>
        <v>1.318380812</v>
      </c>
      <c r="CF218" s="213">
        <f>VLOOKUP(L218,'Impostos e Frete'!$A$3:$C$7,3,0)</f>
        <v>105</v>
      </c>
      <c r="CG218" s="213">
        <f t="shared" si="47"/>
        <v>120</v>
      </c>
      <c r="CH218" s="213">
        <f t="shared" si="48"/>
        <v>15</v>
      </c>
      <c r="CI218" s="214">
        <f t="shared" ca="1" si="49"/>
        <v>-0.13968557402482418</v>
      </c>
      <c r="CJ218" s="215">
        <f t="shared" ca="1" si="50"/>
        <v>18.694326025975176</v>
      </c>
      <c r="CK218" s="216">
        <f t="shared" ca="1" si="51"/>
        <v>1.3086028218182624</v>
      </c>
    </row>
    <row r="219" spans="1:89">
      <c r="A219" s="176">
        <v>17059</v>
      </c>
      <c r="B219" s="177">
        <v>2795</v>
      </c>
      <c r="C219" s="178">
        <v>65</v>
      </c>
      <c r="D219" s="178">
        <v>1870</v>
      </c>
      <c r="E219" s="178"/>
      <c r="F219" s="179" t="s">
        <v>47</v>
      </c>
      <c r="G219" s="185" t="s">
        <v>155</v>
      </c>
      <c r="H219" s="178" t="s">
        <v>61</v>
      </c>
      <c r="I219" s="178">
        <v>6287</v>
      </c>
      <c r="J219" s="178"/>
      <c r="K219" s="178"/>
      <c r="L219" s="178" t="s">
        <v>59</v>
      </c>
      <c r="M219" s="178">
        <v>120</v>
      </c>
      <c r="N219" s="178">
        <v>300</v>
      </c>
      <c r="O219" s="178"/>
      <c r="P219" s="178"/>
      <c r="Q219" s="178"/>
      <c r="R219" s="178" t="s">
        <v>19</v>
      </c>
      <c r="S219" s="181"/>
      <c r="T219" s="181"/>
      <c r="U219" s="182"/>
      <c r="V219" s="182" t="s">
        <v>35</v>
      </c>
      <c r="W219" s="183">
        <v>50</v>
      </c>
      <c r="X219" s="182" t="s">
        <v>51</v>
      </c>
      <c r="Y219" s="184"/>
      <c r="Z219" s="184"/>
      <c r="AA219" s="184"/>
      <c r="AB219" s="184"/>
      <c r="AC219" s="184"/>
      <c r="AD219" s="184"/>
      <c r="AE219" s="184"/>
      <c r="AF219" s="184"/>
      <c r="AG219" s="184"/>
      <c r="AH219" s="184"/>
      <c r="AI219" s="184"/>
      <c r="AJ219" s="184"/>
      <c r="AK219" s="184"/>
      <c r="AL219" s="184"/>
      <c r="AM219" s="184"/>
      <c r="AN219" s="184">
        <v>2340</v>
      </c>
      <c r="AO219" s="184">
        <v>2340</v>
      </c>
      <c r="AP219" s="184">
        <v>2340</v>
      </c>
      <c r="AQ219" s="184">
        <v>2490</v>
      </c>
      <c r="AR219" s="184">
        <v>2490</v>
      </c>
      <c r="AS219" s="184">
        <v>2490</v>
      </c>
      <c r="AT219" s="184">
        <v>2490</v>
      </c>
      <c r="AU219" s="184">
        <v>2490</v>
      </c>
      <c r="AV219" s="184">
        <v>2490</v>
      </c>
      <c r="AW219" s="184">
        <v>2410</v>
      </c>
      <c r="AX219" s="184">
        <v>2410</v>
      </c>
      <c r="AY219" s="184">
        <v>2410</v>
      </c>
      <c r="AZ219" s="184">
        <v>2210</v>
      </c>
      <c r="BA219" s="184">
        <v>2210</v>
      </c>
      <c r="BB219" s="184">
        <v>2510</v>
      </c>
      <c r="BC219" s="184">
        <v>2510</v>
      </c>
      <c r="BD219" s="184">
        <v>2510</v>
      </c>
      <c r="BE219" s="184">
        <v>2510</v>
      </c>
      <c r="BF219" s="184">
        <v>2430</v>
      </c>
      <c r="BG219" s="184">
        <v>2430</v>
      </c>
      <c r="BH219" s="184">
        <v>2430</v>
      </c>
      <c r="BI219" s="184">
        <v>2480</v>
      </c>
      <c r="BJ219" s="184">
        <v>2480</v>
      </c>
      <c r="BK219" s="184">
        <v>2480</v>
      </c>
      <c r="BL219" s="184">
        <v>2580</v>
      </c>
      <c r="BM219" s="184">
        <v>2580</v>
      </c>
      <c r="BN219" s="184">
        <v>2580</v>
      </c>
      <c r="BO219" s="184">
        <v>2660</v>
      </c>
      <c r="BP219" s="184">
        <v>2660</v>
      </c>
      <c r="BQ219" s="184">
        <v>2660</v>
      </c>
      <c r="BR219" s="184"/>
      <c r="BS219" s="184"/>
      <c r="BT219" s="184"/>
      <c r="BU219" s="146" cm="1">
        <f t="array" ref="BU219">LOOKUP(2,1/(Y219:BT219&lt;&gt;""),Y219:BH219)</f>
        <v>2660</v>
      </c>
      <c r="BV219" s="145" cm="1">
        <f t="array" aca="1" ref="BV219" ca="1">_xlfn.LET(
    _xlpm.last_col_idx, LOOKUP(2, 1/(Y219:BT219&lt;&gt;""), COLUMN(Y219:BT219) - COLUMN(Y219) + 1),
    _xlpm.header_val, INDEX($Y$3:$BT$3, 1, _xlpm.last_col_idx),
    _xlpm.header_date, IF(ISNUMBER(_xlpm.header_val), _xlpm.header_val, DATEVALUE(_xlpm.header_val)),
    IF(_xlpm.header_date &gt; TODAY(), TODAY(), _xlpm.header_date)
)</f>
        <v>46212</v>
      </c>
      <c r="BW219" s="209" cm="1">
        <f t="array" ref="BW219">(LOOKUP(2,1/(BH219:BT219&lt;&gt;""),BH219:BT219))/(INDEX(BH219:BT219,MATCH(TRUE,INDEX((BH219:BT219&lt;&gt;0),0),0)))-1</f>
        <v>9.4650205761316775E-2</v>
      </c>
      <c r="BX219" s="210">
        <f t="shared" si="42"/>
        <v>2.66</v>
      </c>
      <c r="BY219" s="210">
        <f t="shared" si="43"/>
        <v>15.694000000000003</v>
      </c>
      <c r="BZ219" s="210">
        <f ca="1">IF(L219="BR",'Impostos e Frete'!$F$6,IF(L219="EU",'Impostos e Frete'!$I$3,IF(L219="CN",'Impostos e Frete'!$I$4,IF(L219="JP",'Impostos e Frete'!$I$5,IF(L219="RU",'Impostos e Frete'!$I$7,"ERRO")))))</f>
        <v>0.1410816</v>
      </c>
      <c r="CA219" s="210">
        <f>VLOOKUP(L219,'Impostos e Frete'!$A$3:$B$7,2,0)*'Preços e Condições'!BY219</f>
        <v>2.0402200000000006</v>
      </c>
      <c r="CB219" s="147">
        <f t="shared" si="44"/>
        <v>0</v>
      </c>
      <c r="CC219" s="147">
        <f>IF(X219="BRL",'Impostos e Frete'!$B$11,'Impostos e Frete'!$B$12)</f>
        <v>9.1999999999999998E-2</v>
      </c>
      <c r="CD219" s="211">
        <f t="shared" ca="1" si="45"/>
        <v>17.967301600000003</v>
      </c>
      <c r="CE219" s="212">
        <f t="shared" ca="1" si="46"/>
        <v>1.1678746040000001</v>
      </c>
      <c r="CF219" s="213">
        <f>VLOOKUP(L219,'Impostos e Frete'!$A$3:$C$7,3,0)</f>
        <v>105</v>
      </c>
      <c r="CG219" s="213">
        <f t="shared" si="47"/>
        <v>120</v>
      </c>
      <c r="CH219" s="213">
        <f t="shared" si="48"/>
        <v>15</v>
      </c>
      <c r="CI219" s="214">
        <f t="shared" ca="1" si="49"/>
        <v>-0.13325747541077249</v>
      </c>
      <c r="CJ219" s="215">
        <f t="shared" ca="1" si="50"/>
        <v>17.83404412458923</v>
      </c>
      <c r="CK219" s="216">
        <f t="shared" ca="1" si="51"/>
        <v>1.1592128680983</v>
      </c>
    </row>
    <row r="220" spans="1:89">
      <c r="A220" s="176">
        <v>17059</v>
      </c>
      <c r="B220" s="177">
        <v>2795</v>
      </c>
      <c r="C220" s="178">
        <v>65</v>
      </c>
      <c r="D220" s="178">
        <v>1870</v>
      </c>
      <c r="E220" s="178"/>
      <c r="F220" s="179" t="s">
        <v>47</v>
      </c>
      <c r="G220" s="185" t="s">
        <v>155</v>
      </c>
      <c r="H220" s="178" t="s">
        <v>61</v>
      </c>
      <c r="I220" s="178">
        <v>6287</v>
      </c>
      <c r="J220" s="178"/>
      <c r="K220" s="178"/>
      <c r="L220" s="178" t="s">
        <v>59</v>
      </c>
      <c r="M220" s="178">
        <v>120</v>
      </c>
      <c r="N220" s="178">
        <v>300</v>
      </c>
      <c r="O220" s="178"/>
      <c r="P220" s="178"/>
      <c r="Q220" s="178"/>
      <c r="R220" s="178" t="s">
        <v>19</v>
      </c>
      <c r="S220" s="181"/>
      <c r="T220" s="181"/>
      <c r="U220" s="182"/>
      <c r="V220" s="182" t="s">
        <v>35</v>
      </c>
      <c r="W220" s="183">
        <v>30</v>
      </c>
      <c r="X220" s="182" t="s">
        <v>51</v>
      </c>
      <c r="Y220" s="184"/>
      <c r="Z220" s="184"/>
      <c r="AA220" s="184"/>
      <c r="AB220" s="184"/>
      <c r="AC220" s="184"/>
      <c r="AD220" s="184"/>
      <c r="AE220" s="184"/>
      <c r="AF220" s="184"/>
      <c r="AG220" s="184"/>
      <c r="AH220" s="184"/>
      <c r="AI220" s="184"/>
      <c r="AJ220" s="184"/>
      <c r="AK220" s="184"/>
      <c r="AL220" s="184"/>
      <c r="AM220" s="184"/>
      <c r="AN220" s="184">
        <v>2390</v>
      </c>
      <c r="AO220" s="184">
        <v>2390</v>
      </c>
      <c r="AP220" s="184">
        <v>2390</v>
      </c>
      <c r="AQ220" s="184">
        <v>2540</v>
      </c>
      <c r="AR220" s="184">
        <v>2540</v>
      </c>
      <c r="AS220" s="184">
        <v>2540</v>
      </c>
      <c r="AT220" s="184">
        <v>2540</v>
      </c>
      <c r="AU220" s="184">
        <v>2540</v>
      </c>
      <c r="AV220" s="184">
        <v>2540</v>
      </c>
      <c r="AW220" s="184">
        <v>2460</v>
      </c>
      <c r="AX220" s="184">
        <v>2460</v>
      </c>
      <c r="AY220" s="184">
        <v>2460</v>
      </c>
      <c r="AZ220" s="184">
        <v>2260</v>
      </c>
      <c r="BA220" s="184">
        <v>2260</v>
      </c>
      <c r="BB220" s="184">
        <v>2560</v>
      </c>
      <c r="BC220" s="184">
        <v>2560</v>
      </c>
      <c r="BD220" s="184">
        <v>2560</v>
      </c>
      <c r="BE220" s="184">
        <v>2560</v>
      </c>
      <c r="BF220" s="184">
        <v>2480</v>
      </c>
      <c r="BG220" s="184">
        <v>2480</v>
      </c>
      <c r="BH220" s="184">
        <v>2480</v>
      </c>
      <c r="BI220" s="184">
        <v>2530</v>
      </c>
      <c r="BJ220" s="184">
        <v>2530</v>
      </c>
      <c r="BK220" s="184">
        <v>2530</v>
      </c>
      <c r="BL220" s="184">
        <v>2630</v>
      </c>
      <c r="BM220" s="184">
        <v>2630</v>
      </c>
      <c r="BN220" s="184">
        <v>2630</v>
      </c>
      <c r="BO220" s="184">
        <v>2710</v>
      </c>
      <c r="BP220" s="184">
        <v>2710</v>
      </c>
      <c r="BQ220" s="184">
        <v>2710</v>
      </c>
      <c r="BR220" s="184"/>
      <c r="BS220" s="184"/>
      <c r="BT220" s="184"/>
      <c r="BU220" s="146" cm="1">
        <f t="array" ref="BU220">LOOKUP(2,1/(Y220:BT220&lt;&gt;""),Y220:BH220)</f>
        <v>2710</v>
      </c>
      <c r="BV220" s="145" cm="1">
        <f t="array" aca="1" ref="BV220" ca="1">_xlfn.LET(
    _xlpm.last_col_idx, LOOKUP(2, 1/(Y220:BT220&lt;&gt;""), COLUMN(Y220:BT220) - COLUMN(Y220) + 1),
    _xlpm.header_val, INDEX($Y$3:$BT$3, 1, _xlpm.last_col_idx),
    _xlpm.header_date, IF(ISNUMBER(_xlpm.header_val), _xlpm.header_val, DATEVALUE(_xlpm.header_val)),
    IF(_xlpm.header_date &gt; TODAY(), TODAY(), _xlpm.header_date)
)</f>
        <v>46212</v>
      </c>
      <c r="BW220" s="209" cm="1">
        <f t="array" ref="BW220">(LOOKUP(2,1/(BH220:BT220&lt;&gt;""),BH220:BT220))/(INDEX(BH220:BT220,MATCH(TRUE,INDEX((BH220:BT220&lt;&gt;0),0),0)))-1</f>
        <v>9.2741935483870996E-2</v>
      </c>
      <c r="BX220" s="210">
        <f t="shared" si="42"/>
        <v>2.71</v>
      </c>
      <c r="BY220" s="210">
        <f t="shared" si="43"/>
        <v>15.989000000000001</v>
      </c>
      <c r="BZ220" s="210">
        <f ca="1">IF(L220="BR",'Impostos e Frete'!$F$6,IF(L220="EU",'Impostos e Frete'!$I$3,IF(L220="CN",'Impostos e Frete'!$I$4,IF(L220="JP",'Impostos e Frete'!$I$5,IF(L220="RU",'Impostos e Frete'!$I$7,"ERRO")))))</f>
        <v>0.1410816</v>
      </c>
      <c r="CA220" s="210">
        <f>VLOOKUP(L220,'Impostos e Frete'!$A$3:$B$7,2,0)*'Preços e Condições'!BY220</f>
        <v>2.07857</v>
      </c>
      <c r="CB220" s="147">
        <f t="shared" si="44"/>
        <v>0</v>
      </c>
      <c r="CC220" s="147">
        <f>IF(X220="BRL",'Impostos e Frete'!$B$11,'Impostos e Frete'!$B$12)</f>
        <v>9.1999999999999998E-2</v>
      </c>
      <c r="CD220" s="211">
        <f t="shared" ca="1" si="45"/>
        <v>18.300651599999998</v>
      </c>
      <c r="CE220" s="212">
        <f t="shared" ca="1" si="46"/>
        <v>1.1895423539999999</v>
      </c>
      <c r="CF220" s="213">
        <f>VLOOKUP(L220,'Impostos e Frete'!$A$3:$C$7,3,0)</f>
        <v>105</v>
      </c>
      <c r="CG220" s="213">
        <f t="shared" si="47"/>
        <v>120</v>
      </c>
      <c r="CH220" s="213">
        <f t="shared" si="48"/>
        <v>15</v>
      </c>
      <c r="CI220" s="214">
        <f t="shared" ca="1" si="49"/>
        <v>-0.1357298210315605</v>
      </c>
      <c r="CJ220" s="215">
        <f t="shared" ca="1" si="50"/>
        <v>18.164921778968438</v>
      </c>
      <c r="CK220" s="216">
        <f t="shared" ca="1" si="51"/>
        <v>1.1807199156329484</v>
      </c>
    </row>
    <row r="221" spans="1:89">
      <c r="A221" s="176">
        <v>17059</v>
      </c>
      <c r="B221" s="177">
        <v>2795</v>
      </c>
      <c r="C221" s="178">
        <v>65</v>
      </c>
      <c r="D221" s="178">
        <v>1870</v>
      </c>
      <c r="E221" s="178"/>
      <c r="F221" s="179" t="s">
        <v>47</v>
      </c>
      <c r="G221" s="185" t="s">
        <v>155</v>
      </c>
      <c r="H221" s="178" t="s">
        <v>61</v>
      </c>
      <c r="I221" s="178">
        <v>6287</v>
      </c>
      <c r="J221" s="178"/>
      <c r="K221" s="178"/>
      <c r="L221" s="178" t="s">
        <v>59</v>
      </c>
      <c r="M221" s="178">
        <v>120</v>
      </c>
      <c r="N221" s="178">
        <v>300</v>
      </c>
      <c r="O221" s="178"/>
      <c r="P221" s="178"/>
      <c r="Q221" s="178"/>
      <c r="R221" s="178" t="s">
        <v>19</v>
      </c>
      <c r="S221" s="181"/>
      <c r="T221" s="181"/>
      <c r="U221" s="182"/>
      <c r="V221" s="182" t="s">
        <v>35</v>
      </c>
      <c r="W221" s="183">
        <v>20</v>
      </c>
      <c r="X221" s="182" t="s">
        <v>51</v>
      </c>
      <c r="Y221" s="184"/>
      <c r="Z221" s="184"/>
      <c r="AA221" s="184"/>
      <c r="AB221" s="184"/>
      <c r="AC221" s="184"/>
      <c r="AD221" s="184"/>
      <c r="AE221" s="184"/>
      <c r="AF221" s="184"/>
      <c r="AG221" s="184"/>
      <c r="AH221" s="184"/>
      <c r="AI221" s="184"/>
      <c r="AJ221" s="184"/>
      <c r="AK221" s="184"/>
      <c r="AL221" s="184"/>
      <c r="AM221" s="184"/>
      <c r="AN221" s="184">
        <v>2440</v>
      </c>
      <c r="AO221" s="184">
        <v>2440</v>
      </c>
      <c r="AP221" s="184">
        <v>2440</v>
      </c>
      <c r="AQ221" s="184">
        <v>2590</v>
      </c>
      <c r="AR221" s="184">
        <v>2590</v>
      </c>
      <c r="AS221" s="184">
        <v>2590</v>
      </c>
      <c r="AT221" s="184">
        <v>2590</v>
      </c>
      <c r="AU221" s="184">
        <v>2590</v>
      </c>
      <c r="AV221" s="184">
        <v>2590</v>
      </c>
      <c r="AW221" s="184">
        <v>2510</v>
      </c>
      <c r="AX221" s="184">
        <v>2510</v>
      </c>
      <c r="AY221" s="184">
        <v>2510</v>
      </c>
      <c r="AZ221" s="184">
        <v>2310</v>
      </c>
      <c r="BA221" s="184">
        <v>2310</v>
      </c>
      <c r="BB221" s="184">
        <v>2610</v>
      </c>
      <c r="BC221" s="184">
        <v>2610</v>
      </c>
      <c r="BD221" s="184">
        <v>2610</v>
      </c>
      <c r="BE221" s="184">
        <v>2610</v>
      </c>
      <c r="BF221" s="184">
        <v>2530</v>
      </c>
      <c r="BG221" s="184">
        <v>2530</v>
      </c>
      <c r="BH221" s="184">
        <v>2530</v>
      </c>
      <c r="BI221" s="184">
        <v>2580</v>
      </c>
      <c r="BJ221" s="184">
        <v>2580</v>
      </c>
      <c r="BK221" s="184">
        <v>2580</v>
      </c>
      <c r="BL221" s="184">
        <v>2680</v>
      </c>
      <c r="BM221" s="184">
        <v>2680</v>
      </c>
      <c r="BN221" s="184">
        <v>2680</v>
      </c>
      <c r="BO221" s="184">
        <v>2760</v>
      </c>
      <c r="BP221" s="184">
        <v>2760</v>
      </c>
      <c r="BQ221" s="184">
        <v>2760</v>
      </c>
      <c r="BR221" s="184"/>
      <c r="BS221" s="184"/>
      <c r="BT221" s="184"/>
      <c r="BU221" s="146" cm="1">
        <f t="array" ref="BU221">LOOKUP(2,1/(Y221:BT221&lt;&gt;""),Y221:BH221)</f>
        <v>2760</v>
      </c>
      <c r="BV221" s="145" cm="1">
        <f t="array" aca="1" ref="BV221" ca="1">_xlfn.LET(
    _xlpm.last_col_idx, LOOKUP(2, 1/(Y221:BT221&lt;&gt;""), COLUMN(Y221:BT221) - COLUMN(Y221) + 1),
    _xlpm.header_val, INDEX($Y$3:$BT$3, 1, _xlpm.last_col_idx),
    _xlpm.header_date, IF(ISNUMBER(_xlpm.header_val), _xlpm.header_val, DATEVALUE(_xlpm.header_val)),
    IF(_xlpm.header_date &gt; TODAY(), TODAY(), _xlpm.header_date)
)</f>
        <v>46212</v>
      </c>
      <c r="BW221" s="209" cm="1">
        <f t="array" ref="BW221">(LOOKUP(2,1/(BH221:BT221&lt;&gt;""),BH221:BT221))/(INDEX(BH221:BT221,MATCH(TRUE,INDEX((BH221:BT221&lt;&gt;0),0),0)))-1</f>
        <v>9.0909090909090828E-2</v>
      </c>
      <c r="BX221" s="210">
        <f t="shared" si="42"/>
        <v>2.76</v>
      </c>
      <c r="BY221" s="210">
        <f t="shared" si="43"/>
        <v>16.283999999999999</v>
      </c>
      <c r="BZ221" s="210">
        <f ca="1">IF(L221="BR",'Impostos e Frete'!$F$6,IF(L221="EU",'Impostos e Frete'!$I$3,IF(L221="CN",'Impostos e Frete'!$I$4,IF(L221="JP",'Impostos e Frete'!$I$5,IF(L221="RU",'Impostos e Frete'!$I$7,"ERRO")))))</f>
        <v>0.1410816</v>
      </c>
      <c r="CA221" s="210">
        <f>VLOOKUP(L221,'Impostos e Frete'!$A$3:$B$7,2,0)*'Preços e Condições'!BY221</f>
        <v>2.1169199999999999</v>
      </c>
      <c r="CB221" s="147">
        <f t="shared" si="44"/>
        <v>0</v>
      </c>
      <c r="CC221" s="147">
        <f>IF(X221="BRL",'Impostos e Frete'!$B$11,'Impostos e Frete'!$B$12)</f>
        <v>9.1999999999999998E-2</v>
      </c>
      <c r="CD221" s="211">
        <f t="shared" ca="1" si="45"/>
        <v>18.634001599999998</v>
      </c>
      <c r="CE221" s="212">
        <f t="shared" ca="1" si="46"/>
        <v>1.2112101039999998</v>
      </c>
      <c r="CF221" s="213">
        <f>VLOOKUP(L221,'Impostos e Frete'!$A$3:$C$7,3,0)</f>
        <v>105</v>
      </c>
      <c r="CG221" s="213">
        <f t="shared" si="47"/>
        <v>120</v>
      </c>
      <c r="CH221" s="213">
        <f t="shared" si="48"/>
        <v>15</v>
      </c>
      <c r="CI221" s="214">
        <f t="shared" ca="1" si="49"/>
        <v>-0.13820216665235208</v>
      </c>
      <c r="CJ221" s="215">
        <f t="shared" ca="1" si="50"/>
        <v>18.495799433347646</v>
      </c>
      <c r="CK221" s="216">
        <f t="shared" ca="1" si="51"/>
        <v>1.202226963167597</v>
      </c>
    </row>
    <row r="222" spans="1:89">
      <c r="A222" s="176">
        <v>17059</v>
      </c>
      <c r="B222" s="177">
        <v>2795</v>
      </c>
      <c r="C222" s="178">
        <v>65</v>
      </c>
      <c r="D222" s="178">
        <v>1870</v>
      </c>
      <c r="E222" s="178"/>
      <c r="F222" s="179" t="s">
        <v>47</v>
      </c>
      <c r="G222" s="185" t="s">
        <v>155</v>
      </c>
      <c r="H222" s="178" t="s">
        <v>61</v>
      </c>
      <c r="I222" s="178">
        <v>6287</v>
      </c>
      <c r="J222" s="178"/>
      <c r="K222" s="178"/>
      <c r="L222" s="178" t="s">
        <v>59</v>
      </c>
      <c r="M222" s="178">
        <v>120</v>
      </c>
      <c r="N222" s="178">
        <v>300</v>
      </c>
      <c r="O222" s="178"/>
      <c r="P222" s="178"/>
      <c r="Q222" s="178"/>
      <c r="R222" s="178" t="s">
        <v>19</v>
      </c>
      <c r="S222" s="181"/>
      <c r="T222" s="181"/>
      <c r="U222" s="182"/>
      <c r="V222" s="182" t="s">
        <v>35</v>
      </c>
      <c r="W222" s="183">
        <v>10</v>
      </c>
      <c r="X222" s="182" t="s">
        <v>51</v>
      </c>
      <c r="Y222" s="184"/>
      <c r="Z222" s="184"/>
      <c r="AA222" s="184"/>
      <c r="AB222" s="184"/>
      <c r="AC222" s="184"/>
      <c r="AD222" s="184"/>
      <c r="AE222" s="184"/>
      <c r="AF222" s="184"/>
      <c r="AG222" s="184"/>
      <c r="AH222" s="184"/>
      <c r="AI222" s="184"/>
      <c r="AJ222" s="184"/>
      <c r="AK222" s="184"/>
      <c r="AL222" s="184"/>
      <c r="AM222" s="184"/>
      <c r="AN222" s="184">
        <v>2520</v>
      </c>
      <c r="AO222" s="184">
        <v>2520</v>
      </c>
      <c r="AP222" s="184">
        <v>2520</v>
      </c>
      <c r="AQ222" s="184">
        <v>2670</v>
      </c>
      <c r="AR222" s="184">
        <v>2670</v>
      </c>
      <c r="AS222" s="184">
        <v>2670</v>
      </c>
      <c r="AT222" s="184">
        <v>2670</v>
      </c>
      <c r="AU222" s="184">
        <v>2670</v>
      </c>
      <c r="AV222" s="184">
        <v>2670</v>
      </c>
      <c r="AW222" s="184">
        <v>2590</v>
      </c>
      <c r="AX222" s="184">
        <v>2590</v>
      </c>
      <c r="AY222" s="184">
        <v>2590</v>
      </c>
      <c r="AZ222" s="184">
        <v>2390</v>
      </c>
      <c r="BA222" s="184">
        <v>2390</v>
      </c>
      <c r="BB222" s="184">
        <v>2690</v>
      </c>
      <c r="BC222" s="184">
        <v>2690</v>
      </c>
      <c r="BD222" s="184">
        <v>2690</v>
      </c>
      <c r="BE222" s="184">
        <v>2690</v>
      </c>
      <c r="BF222" s="184">
        <v>2610</v>
      </c>
      <c r="BG222" s="184">
        <v>2610</v>
      </c>
      <c r="BH222" s="184">
        <v>2610</v>
      </c>
      <c r="BI222" s="184">
        <v>2660</v>
      </c>
      <c r="BJ222" s="184">
        <v>2660</v>
      </c>
      <c r="BK222" s="184">
        <v>2660</v>
      </c>
      <c r="BL222" s="184">
        <v>2760</v>
      </c>
      <c r="BM222" s="184">
        <v>2760</v>
      </c>
      <c r="BN222" s="184">
        <v>2760</v>
      </c>
      <c r="BO222" s="184">
        <v>2840</v>
      </c>
      <c r="BP222" s="184">
        <v>2840</v>
      </c>
      <c r="BQ222" s="184">
        <v>2840</v>
      </c>
      <c r="BR222" s="184"/>
      <c r="BS222" s="184"/>
      <c r="BT222" s="184"/>
      <c r="BU222" s="146" cm="1">
        <f t="array" ref="BU222">LOOKUP(2,1/(Y222:BT222&lt;&gt;""),Y222:BH222)</f>
        <v>2840</v>
      </c>
      <c r="BV222" s="145" cm="1">
        <f t="array" aca="1" ref="BV222" ca="1">_xlfn.LET(
    _xlpm.last_col_idx, LOOKUP(2, 1/(Y222:BT222&lt;&gt;""), COLUMN(Y222:BT222) - COLUMN(Y222) + 1),
    _xlpm.header_val, INDEX($Y$3:$BT$3, 1, _xlpm.last_col_idx),
    _xlpm.header_date, IF(ISNUMBER(_xlpm.header_val), _xlpm.header_val, DATEVALUE(_xlpm.header_val)),
    IF(_xlpm.header_date &gt; TODAY(), TODAY(), _xlpm.header_date)
)</f>
        <v>46212</v>
      </c>
      <c r="BW222" s="209" cm="1">
        <f t="array" ref="BW222">(LOOKUP(2,1/(BH222:BT222&lt;&gt;""),BH222:BT222))/(INDEX(BH222:BT222,MATCH(TRUE,INDEX((BH222:BT222&lt;&gt;0),0),0)))-1</f>
        <v>8.8122605363984752E-2</v>
      </c>
      <c r="BX222" s="210">
        <f t="shared" si="42"/>
        <v>2.84</v>
      </c>
      <c r="BY222" s="210">
        <f t="shared" si="43"/>
        <v>16.756</v>
      </c>
      <c r="BZ222" s="210">
        <f ca="1">IF(L222="BR",'Impostos e Frete'!$F$6,IF(L222="EU",'Impostos e Frete'!$I$3,IF(L222="CN",'Impostos e Frete'!$I$4,IF(L222="JP",'Impostos e Frete'!$I$5,IF(L222="RU",'Impostos e Frete'!$I$7,"ERRO")))))</f>
        <v>0.1410816</v>
      </c>
      <c r="CA222" s="210">
        <f>VLOOKUP(L222,'Impostos e Frete'!$A$3:$B$7,2,0)*'Preços e Condições'!BY222</f>
        <v>2.17828</v>
      </c>
      <c r="CB222" s="147">
        <f t="shared" si="44"/>
        <v>0</v>
      </c>
      <c r="CC222" s="147">
        <f>IF(X222="BRL",'Impostos e Frete'!$B$11,'Impostos e Frete'!$B$12)</f>
        <v>9.1999999999999998E-2</v>
      </c>
      <c r="CD222" s="211">
        <f t="shared" ca="1" si="45"/>
        <v>19.1673616</v>
      </c>
      <c r="CE222" s="212">
        <f t="shared" ca="1" si="46"/>
        <v>1.245878504</v>
      </c>
      <c r="CF222" s="213">
        <f>VLOOKUP(L222,'Impostos e Frete'!$A$3:$C$7,3,0)</f>
        <v>105</v>
      </c>
      <c r="CG222" s="213">
        <f t="shared" si="47"/>
        <v>120</v>
      </c>
      <c r="CH222" s="213">
        <f t="shared" si="48"/>
        <v>15</v>
      </c>
      <c r="CI222" s="214">
        <f t="shared" ca="1" si="49"/>
        <v>-0.14215791964561575</v>
      </c>
      <c r="CJ222" s="215">
        <f t="shared" ca="1" si="50"/>
        <v>19.025203680354384</v>
      </c>
      <c r="CK222" s="216">
        <f t="shared" ca="1" si="51"/>
        <v>1.2366382392230351</v>
      </c>
    </row>
    <row r="223" spans="1:89">
      <c r="A223" s="176">
        <v>17062</v>
      </c>
      <c r="B223" s="177">
        <v>8130</v>
      </c>
      <c r="C223" s="178">
        <v>70</v>
      </c>
      <c r="D223" s="178">
        <v>1870</v>
      </c>
      <c r="E223" s="178"/>
      <c r="F223" s="179" t="s">
        <v>47</v>
      </c>
      <c r="G223" s="185" t="s">
        <v>335</v>
      </c>
      <c r="H223" s="178" t="s">
        <v>42</v>
      </c>
      <c r="I223" s="178">
        <v>7936</v>
      </c>
      <c r="J223" s="178"/>
      <c r="K223" s="178"/>
      <c r="L223" s="178" t="s">
        <v>59</v>
      </c>
      <c r="M223" s="178">
        <v>120</v>
      </c>
      <c r="N223" s="178">
        <v>300</v>
      </c>
      <c r="O223" s="178"/>
      <c r="P223" s="178"/>
      <c r="Q223" s="178"/>
      <c r="R223" s="178" t="s">
        <v>19</v>
      </c>
      <c r="S223" s="181"/>
      <c r="T223" s="181"/>
      <c r="U223" s="182"/>
      <c r="V223" s="182" t="s">
        <v>35</v>
      </c>
      <c r="W223" s="183">
        <v>50</v>
      </c>
      <c r="X223" s="182" t="s">
        <v>51</v>
      </c>
      <c r="Y223" s="184"/>
      <c r="Z223" s="184"/>
      <c r="AA223" s="184"/>
      <c r="AB223" s="184"/>
      <c r="AC223" s="184"/>
      <c r="AD223" s="184"/>
      <c r="AE223" s="184"/>
      <c r="AF223" s="184"/>
      <c r="AG223" s="184"/>
      <c r="AH223" s="184"/>
      <c r="AI223" s="184"/>
      <c r="AJ223" s="184"/>
      <c r="AK223" s="184"/>
      <c r="AL223" s="184"/>
      <c r="AM223" s="184"/>
      <c r="AN223" s="184"/>
      <c r="AO223" s="184"/>
      <c r="AP223" s="184"/>
      <c r="AQ223" s="184"/>
      <c r="AR223" s="184"/>
      <c r="AS223" s="184"/>
      <c r="AT223" s="184"/>
      <c r="AU223" s="184"/>
      <c r="AV223" s="184"/>
      <c r="AW223" s="184"/>
      <c r="AX223" s="184"/>
      <c r="AY223" s="184"/>
      <c r="AZ223" s="184"/>
      <c r="BA223" s="184"/>
      <c r="BB223" s="184">
        <v>2680</v>
      </c>
      <c r="BC223" s="184">
        <v>2680</v>
      </c>
      <c r="BD223" s="184">
        <v>2680</v>
      </c>
      <c r="BE223" s="184">
        <v>2680</v>
      </c>
      <c r="BF223" s="184"/>
      <c r="BG223" s="184"/>
      <c r="BH223" s="184"/>
      <c r="BI223" s="184"/>
      <c r="BJ223" s="184"/>
      <c r="BK223" s="184"/>
      <c r="BL223" s="184"/>
      <c r="BM223" s="184"/>
      <c r="BN223" s="184"/>
      <c r="BO223" s="184"/>
      <c r="BP223" s="184"/>
      <c r="BQ223" s="184"/>
      <c r="BR223" s="184"/>
      <c r="BS223" s="184"/>
      <c r="BT223" s="184"/>
      <c r="BU223" s="146" cm="1">
        <f t="array" ref="BU223">LOOKUP(2,1/(Y223:BT223&lt;&gt;""),Y223:BH223)</f>
        <v>2680</v>
      </c>
      <c r="BV223" s="145" cm="1">
        <f t="array" aca="1" ref="BV223" ca="1">_xlfn.LET(
    _xlpm.last_col_idx, LOOKUP(2, 1/(Y223:BT223&lt;&gt;""), COLUMN(Y223:BT223) - COLUMN(Y223) + 1),
    _xlpm.header_val, INDEX($Y$3:$BT$3, 1, _xlpm.last_col_idx),
    _xlpm.header_date, IF(ISNUMBER(_xlpm.header_val), _xlpm.header_val, DATEVALUE(_xlpm.header_val)),
    IF(_xlpm.header_date &gt; TODAY(), TODAY(), _xlpm.header_date)
)</f>
        <v>45901</v>
      </c>
      <c r="BW223" s="209" t="e" cm="1">
        <f t="array" ref="BW223">(LOOKUP(2,1/(BH223:BT223&lt;&gt;""),BH223:BT223))/(INDEX(BH223:BT223,MATCH(TRUE,INDEX((BH223:BT223&lt;&gt;0),0),0)))-1</f>
        <v>#N/A</v>
      </c>
      <c r="BX223" s="210">
        <f t="shared" si="42"/>
        <v>2.68</v>
      </c>
      <c r="BY223" s="210">
        <f t="shared" si="43"/>
        <v>15.812000000000001</v>
      </c>
      <c r="BZ223" s="210">
        <f ca="1">IF(L223="BR",'Impostos e Frete'!$F$6,IF(L223="EU",'Impostos e Frete'!$I$3,IF(L223="CN",'Impostos e Frete'!$I$4,IF(L223="JP",'Impostos e Frete'!$I$5,IF(L223="RU",'Impostos e Frete'!$I$7,"ERRO")))))</f>
        <v>0.1410816</v>
      </c>
      <c r="CA223" s="210">
        <f>VLOOKUP(L223,'Impostos e Frete'!$A$3:$B$7,2,0)*'Preços e Condições'!BY223</f>
        <v>2.0555600000000003</v>
      </c>
      <c r="CB223" s="147">
        <f t="shared" si="44"/>
        <v>0</v>
      </c>
      <c r="CC223" s="147">
        <f>IF(X223="BRL",'Impostos e Frete'!$B$11,'Impostos e Frete'!$B$12)</f>
        <v>9.1999999999999998E-2</v>
      </c>
      <c r="CD223" s="211">
        <f t="shared" ca="1" si="45"/>
        <v>18.100641599999999</v>
      </c>
      <c r="CE223" s="212">
        <f t="shared" ca="1" si="46"/>
        <v>1.2670449119999998</v>
      </c>
      <c r="CF223" s="213">
        <f>VLOOKUP(L223,'Impostos e Frete'!$A$3:$C$7,3,0)</f>
        <v>105</v>
      </c>
      <c r="CG223" s="213">
        <f t="shared" si="47"/>
        <v>120</v>
      </c>
      <c r="CH223" s="213">
        <f t="shared" si="48"/>
        <v>15</v>
      </c>
      <c r="CI223" s="214">
        <f t="shared" ca="1" si="49"/>
        <v>-0.1342464136590884</v>
      </c>
      <c r="CJ223" s="215">
        <f t="shared" ca="1" si="50"/>
        <v>17.966395186340911</v>
      </c>
      <c r="CK223" s="216">
        <f t="shared" ca="1" si="51"/>
        <v>1.2576476630438638</v>
      </c>
    </row>
    <row r="224" spans="1:89">
      <c r="A224" s="176">
        <v>17063</v>
      </c>
      <c r="B224" s="177">
        <v>5740</v>
      </c>
      <c r="C224" s="178">
        <v>70</v>
      </c>
      <c r="D224" s="178">
        <v>1870</v>
      </c>
      <c r="E224" s="178"/>
      <c r="F224" s="179" t="s">
        <v>47</v>
      </c>
      <c r="G224" s="185" t="s">
        <v>336</v>
      </c>
      <c r="H224" s="178" t="s">
        <v>63</v>
      </c>
      <c r="I224" s="178">
        <v>8522</v>
      </c>
      <c r="J224" s="178"/>
      <c r="K224" s="178"/>
      <c r="L224" s="178" t="s">
        <v>59</v>
      </c>
      <c r="M224" s="178">
        <v>120</v>
      </c>
      <c r="N224" s="178">
        <v>300</v>
      </c>
      <c r="O224" s="178"/>
      <c r="P224" s="178"/>
      <c r="Q224" s="178"/>
      <c r="R224" s="178" t="s">
        <v>19</v>
      </c>
      <c r="S224" s="181"/>
      <c r="T224" s="181"/>
      <c r="U224" s="182"/>
      <c r="V224" s="182" t="s">
        <v>35</v>
      </c>
      <c r="W224" s="183">
        <v>50</v>
      </c>
      <c r="X224" s="182" t="s">
        <v>51</v>
      </c>
      <c r="Y224" s="184"/>
      <c r="Z224" s="184"/>
      <c r="AA224" s="184"/>
      <c r="AB224" s="184"/>
      <c r="AC224" s="184"/>
      <c r="AD224" s="184"/>
      <c r="AE224" s="184"/>
      <c r="AF224" s="184"/>
      <c r="AG224" s="184"/>
      <c r="AH224" s="184"/>
      <c r="AI224" s="184"/>
      <c r="AJ224" s="184"/>
      <c r="AK224" s="184"/>
      <c r="AL224" s="184"/>
      <c r="AM224" s="184"/>
      <c r="AN224" s="184"/>
      <c r="AO224" s="184"/>
      <c r="AP224" s="184"/>
      <c r="AQ224" s="184"/>
      <c r="AR224" s="184"/>
      <c r="AS224" s="184"/>
      <c r="AT224" s="184"/>
      <c r="AU224" s="184"/>
      <c r="AV224" s="184"/>
      <c r="AW224" s="184"/>
      <c r="AX224" s="184"/>
      <c r="AY224" s="184"/>
      <c r="AZ224" s="184"/>
      <c r="BA224" s="184"/>
      <c r="BB224" s="184">
        <v>2680</v>
      </c>
      <c r="BC224" s="184">
        <v>2680</v>
      </c>
      <c r="BD224" s="184">
        <v>2680</v>
      </c>
      <c r="BE224" s="184">
        <v>2680</v>
      </c>
      <c r="BF224" s="184"/>
      <c r="BG224" s="184"/>
      <c r="BH224" s="184"/>
      <c r="BI224" s="184"/>
      <c r="BJ224" s="184"/>
      <c r="BK224" s="184"/>
      <c r="BL224" s="184"/>
      <c r="BM224" s="184"/>
      <c r="BN224" s="184"/>
      <c r="BO224" s="184"/>
      <c r="BP224" s="184"/>
      <c r="BQ224" s="184"/>
      <c r="BR224" s="184"/>
      <c r="BS224" s="184"/>
      <c r="BT224" s="184"/>
      <c r="BU224" s="146" cm="1">
        <f t="array" ref="BU224">LOOKUP(2,1/(Y224:BT224&lt;&gt;""),Y224:BH224)</f>
        <v>2680</v>
      </c>
      <c r="BV224" s="145" cm="1">
        <f t="array" aca="1" ref="BV224" ca="1">_xlfn.LET(
    _xlpm.last_col_idx, LOOKUP(2, 1/(Y224:BT224&lt;&gt;""), COLUMN(Y224:BT224) - COLUMN(Y224) + 1),
    _xlpm.header_val, INDEX($Y$3:$BT$3, 1, _xlpm.last_col_idx),
    _xlpm.header_date, IF(ISNUMBER(_xlpm.header_val), _xlpm.header_val, DATEVALUE(_xlpm.header_val)),
    IF(_xlpm.header_date &gt; TODAY(), TODAY(), _xlpm.header_date)
)</f>
        <v>45901</v>
      </c>
      <c r="BW224" s="209" t="e" cm="1">
        <f t="array" ref="BW224">(LOOKUP(2,1/(BH224:BT224&lt;&gt;""),BH224:BT224))/(INDEX(BH224:BT224,MATCH(TRUE,INDEX((BH224:BT224&lt;&gt;0),0),0)))-1</f>
        <v>#N/A</v>
      </c>
      <c r="BX224" s="210">
        <f t="shared" si="42"/>
        <v>2.68</v>
      </c>
      <c r="BY224" s="210">
        <f t="shared" si="43"/>
        <v>15.812000000000001</v>
      </c>
      <c r="BZ224" s="210">
        <f ca="1">IF(L224="BR",'Impostos e Frete'!$F$6,IF(L224="EU",'Impostos e Frete'!$I$3,IF(L224="CN",'Impostos e Frete'!$I$4,IF(L224="JP",'Impostos e Frete'!$I$5,IF(L224="RU",'Impostos e Frete'!$I$7,"ERRO")))))</f>
        <v>0.1410816</v>
      </c>
      <c r="CA224" s="210">
        <f>VLOOKUP(L224,'Impostos e Frete'!$A$3:$B$7,2,0)*'Preços e Condições'!BY224</f>
        <v>2.0555600000000003</v>
      </c>
      <c r="CB224" s="147">
        <f t="shared" si="44"/>
        <v>0</v>
      </c>
      <c r="CC224" s="147">
        <f>IF(X224="BRL",'Impostos e Frete'!$B$11,'Impostos e Frete'!$B$12)</f>
        <v>9.1999999999999998E-2</v>
      </c>
      <c r="CD224" s="211">
        <f t="shared" ca="1" si="45"/>
        <v>18.100641599999999</v>
      </c>
      <c r="CE224" s="212">
        <f t="shared" ca="1" si="46"/>
        <v>1.2670449119999998</v>
      </c>
      <c r="CF224" s="213">
        <f>VLOOKUP(L224,'Impostos e Frete'!$A$3:$C$7,3,0)</f>
        <v>105</v>
      </c>
      <c r="CG224" s="213">
        <f t="shared" si="47"/>
        <v>120</v>
      </c>
      <c r="CH224" s="213">
        <f t="shared" si="48"/>
        <v>15</v>
      </c>
      <c r="CI224" s="214">
        <f t="shared" ca="1" si="49"/>
        <v>-0.1342464136590884</v>
      </c>
      <c r="CJ224" s="215">
        <f t="shared" ca="1" si="50"/>
        <v>17.966395186340911</v>
      </c>
      <c r="CK224" s="216">
        <f t="shared" ca="1" si="51"/>
        <v>1.2576476630438638</v>
      </c>
    </row>
    <row r="225" spans="1:92">
      <c r="A225" s="176">
        <v>17064</v>
      </c>
      <c r="B225" s="177">
        <v>9370</v>
      </c>
      <c r="C225" s="178">
        <v>70</v>
      </c>
      <c r="D225" s="178">
        <v>1900</v>
      </c>
      <c r="E225" s="178" t="s">
        <v>209</v>
      </c>
      <c r="F225" s="179" t="s">
        <v>47</v>
      </c>
      <c r="G225" s="180" t="s">
        <v>235</v>
      </c>
      <c r="H225" s="178" t="s">
        <v>43</v>
      </c>
      <c r="I225" s="178" t="s">
        <v>213</v>
      </c>
      <c r="J225" s="178"/>
      <c r="K225" s="178"/>
      <c r="L225" s="178" t="s">
        <v>59</v>
      </c>
      <c r="M225" s="178">
        <v>120</v>
      </c>
      <c r="N225" s="178">
        <v>300</v>
      </c>
      <c r="O225" s="178"/>
      <c r="P225" s="178"/>
      <c r="Q225" s="178"/>
      <c r="R225" s="178" t="s">
        <v>19</v>
      </c>
      <c r="S225" s="181"/>
      <c r="T225" s="181"/>
      <c r="U225" s="182"/>
      <c r="V225" s="182" t="s">
        <v>35</v>
      </c>
      <c r="W225" s="183">
        <v>20</v>
      </c>
      <c r="X225" s="182" t="s">
        <v>51</v>
      </c>
      <c r="Y225" s="184"/>
      <c r="Z225" s="184"/>
      <c r="AA225" s="184"/>
      <c r="AB225" s="184"/>
      <c r="AC225" s="184"/>
      <c r="AD225" s="184"/>
      <c r="AE225" s="184"/>
      <c r="AF225" s="184"/>
      <c r="AG225" s="184"/>
      <c r="AH225" s="184"/>
      <c r="AI225" s="184"/>
      <c r="AJ225" s="184"/>
      <c r="AK225" s="184"/>
      <c r="AL225" s="184"/>
      <c r="AM225" s="184"/>
      <c r="AN225" s="184"/>
      <c r="AO225" s="184"/>
      <c r="AP225" s="184"/>
      <c r="AQ225" s="184"/>
      <c r="AR225" s="184"/>
      <c r="AS225" s="184"/>
      <c r="AT225" s="184"/>
      <c r="AU225" s="184"/>
      <c r="AV225" s="184"/>
      <c r="AW225" s="184"/>
      <c r="AX225" s="184"/>
      <c r="AY225" s="184"/>
      <c r="AZ225" s="184">
        <v>2800</v>
      </c>
      <c r="BA225" s="184">
        <v>2800</v>
      </c>
      <c r="BB225" s="184">
        <v>2800</v>
      </c>
      <c r="BC225" s="184">
        <v>2800</v>
      </c>
      <c r="BD225" s="184">
        <v>2800</v>
      </c>
      <c r="BE225" s="184">
        <v>2800</v>
      </c>
      <c r="BF225" s="184"/>
      <c r="BG225" s="184"/>
      <c r="BH225" s="184"/>
      <c r="BI225" s="184"/>
      <c r="BJ225" s="184"/>
      <c r="BK225" s="184"/>
      <c r="BL225" s="184"/>
      <c r="BM225" s="184"/>
      <c r="BN225" s="184"/>
      <c r="BO225" s="184"/>
      <c r="BP225" s="184"/>
      <c r="BQ225" s="184"/>
      <c r="BR225" s="184"/>
      <c r="BS225" s="184"/>
      <c r="BT225" s="184"/>
      <c r="BU225" s="146" cm="1">
        <f t="array" ref="BU225">LOOKUP(2,1/(Y225:BT225&lt;&gt;""),Y225:BH225)</f>
        <v>2800</v>
      </c>
      <c r="BV225" s="145" cm="1">
        <f t="array" aca="1" ref="BV225" ca="1">_xlfn.LET(
    _xlpm.last_col_idx, LOOKUP(2, 1/(Y225:BT225&lt;&gt;""), COLUMN(Y225:BT225) - COLUMN(Y225) + 1),
    _xlpm.header_val, INDEX($Y$3:$BT$3, 1, _xlpm.last_col_idx),
    _xlpm.header_date, IF(ISNUMBER(_xlpm.header_val), _xlpm.header_val, DATEVALUE(_xlpm.header_val)),
    IF(_xlpm.header_date &gt; TODAY(), TODAY(), _xlpm.header_date)
)</f>
        <v>45901</v>
      </c>
      <c r="BW225" s="209" t="e" cm="1">
        <f t="array" ref="BW225">(LOOKUP(2,1/(BH225:BT225&lt;&gt;""),BH225:BT225))/(INDEX(BH225:BT225,MATCH(TRUE,INDEX((BH225:BT225&lt;&gt;0),0),0)))-1</f>
        <v>#N/A</v>
      </c>
      <c r="BX225" s="210">
        <f t="shared" si="42"/>
        <v>2.8</v>
      </c>
      <c r="BY225" s="210">
        <f t="shared" si="43"/>
        <v>16.52</v>
      </c>
      <c r="BZ225" s="210">
        <f ca="1">IF(L225="BR",'Impostos e Frete'!$F$6,IF(L225="EU",'Impostos e Frete'!$I$3,IF(L225="CN",'Impostos e Frete'!$I$4,IF(L225="JP",'Impostos e Frete'!$I$5,IF(L225="RU",'Impostos e Frete'!$I$7,"ERRO")))))</f>
        <v>0.1410816</v>
      </c>
      <c r="CA225" s="210">
        <f>VLOOKUP(L225,'Impostos e Frete'!$A$3:$B$7,2,0)*'Preços e Condições'!BY225</f>
        <v>2.1476000000000002</v>
      </c>
      <c r="CB225" s="147">
        <f t="shared" si="44"/>
        <v>0</v>
      </c>
      <c r="CC225" s="147">
        <f>IF(X225="BRL",'Impostos e Frete'!$B$11,'Impostos e Frete'!$B$12)</f>
        <v>9.1999999999999998E-2</v>
      </c>
      <c r="CD225" s="211">
        <f t="shared" ca="1" si="45"/>
        <v>18.900681599999999</v>
      </c>
      <c r="CE225" s="212">
        <f t="shared" ca="1" si="46"/>
        <v>1.3230477119999999</v>
      </c>
      <c r="CF225" s="213">
        <f>VLOOKUP(L225,'Impostos e Frete'!$A$3:$C$7,3,0)</f>
        <v>105</v>
      </c>
      <c r="CG225" s="213">
        <f t="shared" si="47"/>
        <v>120</v>
      </c>
      <c r="CH225" s="213">
        <f t="shared" si="48"/>
        <v>15</v>
      </c>
      <c r="CI225" s="214">
        <f t="shared" ca="1" si="49"/>
        <v>-0.14018004314898391</v>
      </c>
      <c r="CJ225" s="215">
        <f t="shared" ca="1" si="50"/>
        <v>18.760501556851015</v>
      </c>
      <c r="CK225" s="216">
        <f t="shared" ca="1" si="51"/>
        <v>1.3132351089795711</v>
      </c>
    </row>
    <row r="226" spans="1:92">
      <c r="A226" s="176">
        <v>17418</v>
      </c>
      <c r="B226" s="177">
        <v>1430</v>
      </c>
      <c r="C226" s="178">
        <v>68</v>
      </c>
      <c r="D226" s="178">
        <v>1870</v>
      </c>
      <c r="E226" s="178" t="s">
        <v>50</v>
      </c>
      <c r="F226" s="179" t="s">
        <v>466</v>
      </c>
      <c r="G226" s="180" t="s">
        <v>81</v>
      </c>
      <c r="H226" s="178" t="s">
        <v>61</v>
      </c>
      <c r="I226" s="178">
        <v>1430</v>
      </c>
      <c r="J226" s="178"/>
      <c r="K226" s="178"/>
      <c r="L226" s="178" t="s">
        <v>59</v>
      </c>
      <c r="M226" s="178">
        <v>60</v>
      </c>
      <c r="N226" s="178"/>
      <c r="O226" s="178"/>
      <c r="P226" s="178"/>
      <c r="Q226" s="178"/>
      <c r="R226" s="178" t="s">
        <v>19</v>
      </c>
      <c r="S226" s="181"/>
      <c r="T226" s="181"/>
      <c r="U226" s="182"/>
      <c r="V226" s="182" t="s">
        <v>35</v>
      </c>
      <c r="W226" s="183">
        <v>100</v>
      </c>
      <c r="X226" s="182" t="s">
        <v>51</v>
      </c>
      <c r="Y226" s="184">
        <v>2370</v>
      </c>
      <c r="Z226" s="184">
        <v>2370</v>
      </c>
      <c r="AA226" s="184">
        <v>2370</v>
      </c>
      <c r="AB226" s="184">
        <v>2170</v>
      </c>
      <c r="AC226" s="184">
        <v>2170</v>
      </c>
      <c r="AD226" s="184">
        <v>2170</v>
      </c>
      <c r="AE226" s="184">
        <v>1920</v>
      </c>
      <c r="AF226" s="184">
        <v>1920</v>
      </c>
      <c r="AG226" s="184">
        <v>1920</v>
      </c>
      <c r="AH226" s="184">
        <v>1720</v>
      </c>
      <c r="AI226" s="184">
        <v>1720</v>
      </c>
      <c r="AJ226" s="184">
        <v>1720</v>
      </c>
      <c r="AK226" s="184">
        <v>1720</v>
      </c>
      <c r="AL226" s="184">
        <v>1720</v>
      </c>
      <c r="AM226" s="184">
        <v>1720</v>
      </c>
      <c r="AN226" s="184">
        <v>1860</v>
      </c>
      <c r="AO226" s="184">
        <v>1860</v>
      </c>
      <c r="AP226" s="184">
        <v>1860</v>
      </c>
      <c r="AQ226" s="184">
        <v>2010</v>
      </c>
      <c r="AR226" s="184">
        <v>2010</v>
      </c>
      <c r="AS226" s="184">
        <v>2010</v>
      </c>
      <c r="AT226" s="184">
        <v>2010</v>
      </c>
      <c r="AU226" s="184">
        <v>2010</v>
      </c>
      <c r="AV226" s="184">
        <v>2010</v>
      </c>
      <c r="AW226" s="184">
        <v>1860</v>
      </c>
      <c r="AX226" s="184">
        <v>1860</v>
      </c>
      <c r="AY226" s="184">
        <v>1860</v>
      </c>
      <c r="AZ226" s="184">
        <v>1940</v>
      </c>
      <c r="BA226" s="184">
        <v>1940</v>
      </c>
      <c r="BB226" s="184">
        <v>1940</v>
      </c>
      <c r="BC226" s="184">
        <v>1940</v>
      </c>
      <c r="BD226" s="184">
        <v>1940</v>
      </c>
      <c r="BE226" s="184">
        <v>1940</v>
      </c>
      <c r="BF226" s="184">
        <v>1790</v>
      </c>
      <c r="BG226" s="184">
        <v>1790</v>
      </c>
      <c r="BH226" s="184">
        <v>1790</v>
      </c>
      <c r="BI226" s="184"/>
      <c r="BJ226" s="184"/>
      <c r="BK226" s="184"/>
      <c r="BL226" s="184">
        <v>1870</v>
      </c>
      <c r="BM226" s="184">
        <v>1950</v>
      </c>
      <c r="BN226" s="184">
        <v>1950</v>
      </c>
      <c r="BO226" s="184">
        <v>2070</v>
      </c>
      <c r="BP226" s="184">
        <v>2020</v>
      </c>
      <c r="BQ226" s="184">
        <v>2020</v>
      </c>
      <c r="BR226" s="184"/>
      <c r="BS226" s="184"/>
      <c r="BT226" s="184"/>
      <c r="BU226" s="146" cm="1">
        <f t="array" ref="BU226">LOOKUP(2,1/(Y226:BT226&lt;&gt;""),Y226:BH226)</f>
        <v>2020</v>
      </c>
      <c r="BV226" s="145" cm="1">
        <f t="array" aca="1" ref="BV226" ca="1">_xlfn.LET(
    _xlpm.last_col_idx, LOOKUP(2, 1/(Y226:BT226&lt;&gt;""), COLUMN(Y226:BT226) - COLUMN(Y226) + 1),
    _xlpm.header_val, INDEX($Y$3:$BT$3, 1, _xlpm.last_col_idx),
    _xlpm.header_date, IF(ISNUMBER(_xlpm.header_val), _xlpm.header_val, DATEVALUE(_xlpm.header_val)),
    IF(_xlpm.header_date &gt; TODAY(), TODAY(), _xlpm.header_date)
)</f>
        <v>46212</v>
      </c>
      <c r="BW226" s="209" cm="1">
        <f t="array" ref="BW226">(LOOKUP(2,1/(BH226:BT226&lt;&gt;""),BH226:BT226))/(INDEX(BH226:BT226,MATCH(TRUE,INDEX((BH226:BT226&lt;&gt;0),0),0)))-1</f>
        <v>0.12849162011173187</v>
      </c>
      <c r="BX226" s="210">
        <f t="shared" si="42"/>
        <v>2.02</v>
      </c>
      <c r="BY226" s="210">
        <f t="shared" si="43"/>
        <v>11.918000000000001</v>
      </c>
      <c r="BZ226" s="210">
        <f ca="1">IF(L226="BR",'Impostos e Frete'!$F$6,IF(L226="EU",'Impostos e Frete'!$I$3,IF(L226="CN",'Impostos e Frete'!$I$4,IF(L226="JP",'Impostos e Frete'!$I$5,IF(L226="RU",'Impostos e Frete'!$I$7,"ERRO")))))</f>
        <v>0.1410816</v>
      </c>
      <c r="CA226" s="210">
        <f>VLOOKUP(L226,'Impostos e Frete'!$A$3:$B$7,2,0)*'Preços e Condições'!BY226</f>
        <v>1.5493400000000002</v>
      </c>
      <c r="CB226" s="147">
        <f t="shared" si="44"/>
        <v>0</v>
      </c>
      <c r="CC226" s="147">
        <f>IF(X226="BRL",'Impostos e Frete'!$B$11,'Impostos e Frete'!$B$12)</f>
        <v>9.1999999999999998E-2</v>
      </c>
      <c r="CD226" s="211">
        <f t="shared" ca="1" si="45"/>
        <v>13.700421600000002</v>
      </c>
      <c r="CE226" s="212">
        <f t="shared" ca="1" si="46"/>
        <v>0.93162866880000017</v>
      </c>
      <c r="CF226" s="213">
        <f>VLOOKUP(L226,'Impostos e Frete'!$A$3:$C$7,3,0)</f>
        <v>105</v>
      </c>
      <c r="CG226" s="213">
        <f t="shared" si="47"/>
        <v>60</v>
      </c>
      <c r="CH226" s="213">
        <f t="shared" si="48"/>
        <v>-45</v>
      </c>
      <c r="CI226" s="214">
        <f t="shared" ca="1" si="49"/>
        <v>0.30941258527482596</v>
      </c>
      <c r="CJ226" s="215">
        <f t="shared" ca="1" si="50"/>
        <v>14.009834185274828</v>
      </c>
      <c r="CK226" s="216">
        <f t="shared" ca="1" si="51"/>
        <v>0.95266872459868823</v>
      </c>
    </row>
    <row r="227" spans="1:92">
      <c r="A227" s="176">
        <v>17418</v>
      </c>
      <c r="B227" s="177">
        <v>1430</v>
      </c>
      <c r="C227" s="178">
        <v>68</v>
      </c>
      <c r="D227" s="178">
        <v>1870</v>
      </c>
      <c r="E227" s="178" t="s">
        <v>50</v>
      </c>
      <c r="F227" s="179" t="s">
        <v>466</v>
      </c>
      <c r="G227" s="180" t="s">
        <v>81</v>
      </c>
      <c r="H227" s="178" t="s">
        <v>61</v>
      </c>
      <c r="I227" s="178">
        <v>1430</v>
      </c>
      <c r="J227" s="178"/>
      <c r="K227" s="178"/>
      <c r="L227" s="178" t="s">
        <v>59</v>
      </c>
      <c r="M227" s="178">
        <v>60</v>
      </c>
      <c r="N227" s="178"/>
      <c r="O227" s="178"/>
      <c r="P227" s="178"/>
      <c r="Q227" s="178"/>
      <c r="R227" s="178" t="s">
        <v>19</v>
      </c>
      <c r="S227" s="181"/>
      <c r="T227" s="181"/>
      <c r="U227" s="182"/>
      <c r="V227" s="182" t="s">
        <v>35</v>
      </c>
      <c r="W227" s="183">
        <v>50</v>
      </c>
      <c r="X227" s="182" t="s">
        <v>51</v>
      </c>
      <c r="Y227" s="184">
        <v>2420</v>
      </c>
      <c r="Z227" s="184">
        <v>2420</v>
      </c>
      <c r="AA227" s="184">
        <v>2420</v>
      </c>
      <c r="AB227" s="184">
        <v>2220</v>
      </c>
      <c r="AC227" s="184">
        <v>2220</v>
      </c>
      <c r="AD227" s="184">
        <v>2220</v>
      </c>
      <c r="AE227" s="184">
        <v>1970</v>
      </c>
      <c r="AF227" s="184">
        <v>1970</v>
      </c>
      <c r="AG227" s="184">
        <v>1970</v>
      </c>
      <c r="AH227" s="184">
        <v>1770</v>
      </c>
      <c r="AI227" s="184">
        <v>1770</v>
      </c>
      <c r="AJ227" s="184">
        <v>1770</v>
      </c>
      <c r="AK227" s="184">
        <v>1770</v>
      </c>
      <c r="AL227" s="184">
        <v>1770</v>
      </c>
      <c r="AM227" s="184">
        <v>1770</v>
      </c>
      <c r="AN227" s="184">
        <v>1910</v>
      </c>
      <c r="AO227" s="184">
        <v>1910</v>
      </c>
      <c r="AP227" s="184">
        <v>1910</v>
      </c>
      <c r="AQ227" s="184">
        <v>2060</v>
      </c>
      <c r="AR227" s="184">
        <v>2060</v>
      </c>
      <c r="AS227" s="184">
        <v>2060</v>
      </c>
      <c r="AT227" s="184">
        <v>2060</v>
      </c>
      <c r="AU227" s="184">
        <v>2060</v>
      </c>
      <c r="AV227" s="184">
        <v>2060</v>
      </c>
      <c r="AW227" s="184">
        <v>1910</v>
      </c>
      <c r="AX227" s="184">
        <v>1910</v>
      </c>
      <c r="AY227" s="184">
        <v>1910</v>
      </c>
      <c r="AZ227" s="184">
        <v>1990</v>
      </c>
      <c r="BA227" s="184">
        <v>1990</v>
      </c>
      <c r="BB227" s="184">
        <v>1990</v>
      </c>
      <c r="BC227" s="184">
        <v>1990</v>
      </c>
      <c r="BD227" s="184">
        <v>1990</v>
      </c>
      <c r="BE227" s="184">
        <v>1990</v>
      </c>
      <c r="BF227" s="184">
        <v>1840</v>
      </c>
      <c r="BG227" s="184">
        <v>1840</v>
      </c>
      <c r="BH227" s="184">
        <v>1840</v>
      </c>
      <c r="BI227" s="184"/>
      <c r="BJ227" s="184"/>
      <c r="BK227" s="184"/>
      <c r="BL227" s="184">
        <v>1920</v>
      </c>
      <c r="BM227" s="184">
        <v>2000</v>
      </c>
      <c r="BN227" s="184">
        <v>2000</v>
      </c>
      <c r="BO227" s="184">
        <v>2120</v>
      </c>
      <c r="BP227" s="184">
        <v>2070</v>
      </c>
      <c r="BQ227" s="184">
        <v>2070</v>
      </c>
      <c r="BR227" s="184"/>
      <c r="BS227" s="184"/>
      <c r="BT227" s="184"/>
      <c r="BU227" s="146" cm="1">
        <f t="array" ref="BU227">LOOKUP(2,1/(Y227:BT227&lt;&gt;""),Y227:BH227)</f>
        <v>2070</v>
      </c>
      <c r="BV227" s="145" cm="1">
        <f t="array" aca="1" ref="BV227" ca="1">_xlfn.LET(
    _xlpm.last_col_idx, LOOKUP(2, 1/(Y227:BT227&lt;&gt;""), COLUMN(Y227:BT227) - COLUMN(Y227) + 1),
    _xlpm.header_val, INDEX($Y$3:$BT$3, 1, _xlpm.last_col_idx),
    _xlpm.header_date, IF(ISNUMBER(_xlpm.header_val), _xlpm.header_val, DATEVALUE(_xlpm.header_val)),
    IF(_xlpm.header_date &gt; TODAY(), TODAY(), _xlpm.header_date)
)</f>
        <v>46212</v>
      </c>
      <c r="BW227" s="209" cm="1">
        <f t="array" ref="BW227">(LOOKUP(2,1/(BH227:BT227&lt;&gt;""),BH227:BT227))/(INDEX(BH227:BT227,MATCH(TRUE,INDEX((BH227:BT227&lt;&gt;0),0),0)))-1</f>
        <v>0.125</v>
      </c>
      <c r="BX227" s="210">
        <f t="shared" si="42"/>
        <v>2.0699999999999998</v>
      </c>
      <c r="BY227" s="210">
        <f t="shared" si="43"/>
        <v>12.212999999999999</v>
      </c>
      <c r="BZ227" s="210">
        <f ca="1">IF(L227="BR",'Impostos e Frete'!$F$6,IF(L227="EU",'Impostos e Frete'!$I$3,IF(L227="CN",'Impostos e Frete'!$I$4,IF(L227="JP",'Impostos e Frete'!$I$5,IF(L227="RU",'Impostos e Frete'!$I$7,"ERRO")))))</f>
        <v>0.1410816</v>
      </c>
      <c r="CA227" s="210">
        <f>VLOOKUP(L227,'Impostos e Frete'!$A$3:$B$7,2,0)*'Preços e Condições'!BY227</f>
        <v>1.58769</v>
      </c>
      <c r="CB227" s="147">
        <f t="shared" si="44"/>
        <v>0</v>
      </c>
      <c r="CC227" s="147">
        <f>IF(X227="BRL",'Impostos e Frete'!$B$11,'Impostos e Frete'!$B$12)</f>
        <v>9.1999999999999998E-2</v>
      </c>
      <c r="CD227" s="211">
        <f t="shared" ca="1" si="45"/>
        <v>14.0337716</v>
      </c>
      <c r="CE227" s="212">
        <f t="shared" ca="1" si="46"/>
        <v>0.95429646879999996</v>
      </c>
      <c r="CF227" s="213">
        <f>VLOOKUP(L227,'Impostos e Frete'!$A$3:$C$7,3,0)</f>
        <v>105</v>
      </c>
      <c r="CG227" s="213">
        <f t="shared" si="47"/>
        <v>60</v>
      </c>
      <c r="CH227" s="213">
        <f t="shared" si="48"/>
        <v>-45</v>
      </c>
      <c r="CI227" s="214">
        <f t="shared" ca="1" si="49"/>
        <v>0.31694101675764585</v>
      </c>
      <c r="CJ227" s="215">
        <f t="shared" ca="1" si="50"/>
        <v>14.350712616757646</v>
      </c>
      <c r="CK227" s="216">
        <f t="shared" ca="1" si="51"/>
        <v>0.9758484579395198</v>
      </c>
    </row>
    <row r="228" spans="1:92">
      <c r="A228" s="176">
        <v>17418</v>
      </c>
      <c r="B228" s="177">
        <v>1430</v>
      </c>
      <c r="C228" s="178">
        <v>68</v>
      </c>
      <c r="D228" s="178">
        <v>1870</v>
      </c>
      <c r="E228" s="178" t="s">
        <v>50</v>
      </c>
      <c r="F228" s="179" t="s">
        <v>466</v>
      </c>
      <c r="G228" s="180" t="s">
        <v>81</v>
      </c>
      <c r="H228" s="178" t="s">
        <v>61</v>
      </c>
      <c r="I228" s="178">
        <v>1430</v>
      </c>
      <c r="J228" s="178"/>
      <c r="K228" s="178"/>
      <c r="L228" s="178" t="s">
        <v>59</v>
      </c>
      <c r="M228" s="178">
        <v>60</v>
      </c>
      <c r="N228" s="178"/>
      <c r="O228" s="178"/>
      <c r="P228" s="178"/>
      <c r="Q228" s="178"/>
      <c r="R228" s="178" t="s">
        <v>19</v>
      </c>
      <c r="S228" s="181"/>
      <c r="T228" s="181"/>
      <c r="U228" s="182"/>
      <c r="V228" s="182" t="s">
        <v>35</v>
      </c>
      <c r="W228" s="183">
        <v>20</v>
      </c>
      <c r="X228" s="182" t="s">
        <v>51</v>
      </c>
      <c r="Y228" s="184">
        <v>2570</v>
      </c>
      <c r="Z228" s="184">
        <v>2570</v>
      </c>
      <c r="AA228" s="184">
        <v>2570</v>
      </c>
      <c r="AB228" s="184">
        <v>2370</v>
      </c>
      <c r="AC228" s="184">
        <v>2370</v>
      </c>
      <c r="AD228" s="184">
        <v>2370</v>
      </c>
      <c r="AE228" s="184">
        <v>2120</v>
      </c>
      <c r="AF228" s="184">
        <v>2120</v>
      </c>
      <c r="AG228" s="184">
        <v>2120</v>
      </c>
      <c r="AH228" s="184">
        <v>1920</v>
      </c>
      <c r="AI228" s="184">
        <v>1920</v>
      </c>
      <c r="AJ228" s="184">
        <v>1920</v>
      </c>
      <c r="AK228" s="184">
        <v>1920</v>
      </c>
      <c r="AL228" s="184">
        <v>1920</v>
      </c>
      <c r="AM228" s="184">
        <v>1920</v>
      </c>
      <c r="AN228" s="184">
        <v>2060</v>
      </c>
      <c r="AO228" s="184">
        <v>2060</v>
      </c>
      <c r="AP228" s="184">
        <v>2060</v>
      </c>
      <c r="AQ228" s="184">
        <v>2210</v>
      </c>
      <c r="AR228" s="184">
        <v>2210</v>
      </c>
      <c r="AS228" s="184">
        <v>2210</v>
      </c>
      <c r="AT228" s="184">
        <v>2210</v>
      </c>
      <c r="AU228" s="184">
        <v>2210</v>
      </c>
      <c r="AV228" s="184">
        <v>2210</v>
      </c>
      <c r="AW228" s="184">
        <v>2060</v>
      </c>
      <c r="AX228" s="184">
        <v>2060</v>
      </c>
      <c r="AY228" s="184">
        <v>2060</v>
      </c>
      <c r="AZ228" s="184">
        <v>2140</v>
      </c>
      <c r="BA228" s="184">
        <v>2140</v>
      </c>
      <c r="BB228" s="184">
        <v>2140</v>
      </c>
      <c r="BC228" s="184">
        <v>2140</v>
      </c>
      <c r="BD228" s="184">
        <v>2140</v>
      </c>
      <c r="BE228" s="184">
        <v>2140</v>
      </c>
      <c r="BF228" s="184">
        <v>1990</v>
      </c>
      <c r="BG228" s="184">
        <v>1990</v>
      </c>
      <c r="BH228" s="184">
        <v>1990</v>
      </c>
      <c r="BI228" s="184"/>
      <c r="BJ228" s="184"/>
      <c r="BK228" s="184"/>
      <c r="BL228" s="184">
        <v>2070</v>
      </c>
      <c r="BM228" s="184">
        <v>2150</v>
      </c>
      <c r="BN228" s="184">
        <v>2150</v>
      </c>
      <c r="BO228" s="184">
        <v>2270</v>
      </c>
      <c r="BP228" s="184">
        <v>2220</v>
      </c>
      <c r="BQ228" s="184">
        <v>2220</v>
      </c>
      <c r="BR228" s="184"/>
      <c r="BS228" s="184"/>
      <c r="BT228" s="184"/>
      <c r="BU228" s="146" cm="1">
        <f t="array" ref="BU228">LOOKUP(2,1/(Y228:BT228&lt;&gt;""),Y228:BH228)</f>
        <v>2220</v>
      </c>
      <c r="BV228" s="145" cm="1">
        <f t="array" aca="1" ref="BV228" ca="1">_xlfn.LET(
    _xlpm.last_col_idx, LOOKUP(2, 1/(Y228:BT228&lt;&gt;""), COLUMN(Y228:BT228) - COLUMN(Y228) + 1),
    _xlpm.header_val, INDEX($Y$3:$BT$3, 1, _xlpm.last_col_idx),
    _xlpm.header_date, IF(ISNUMBER(_xlpm.header_val), _xlpm.header_val, DATEVALUE(_xlpm.header_val)),
    IF(_xlpm.header_date &gt; TODAY(), TODAY(), _xlpm.header_date)
)</f>
        <v>46212</v>
      </c>
      <c r="BW228" s="209" cm="1">
        <f t="array" ref="BW228">(LOOKUP(2,1/(BH228:BT228&lt;&gt;""),BH228:BT228))/(INDEX(BH228:BT228,MATCH(TRUE,INDEX((BH228:BT228&lt;&gt;0),0),0)))-1</f>
        <v>0.11557788944723613</v>
      </c>
      <c r="BX228" s="210">
        <f t="shared" si="42"/>
        <v>2.2200000000000002</v>
      </c>
      <c r="BY228" s="210">
        <f t="shared" si="43"/>
        <v>13.098000000000003</v>
      </c>
      <c r="BZ228" s="210">
        <f ca="1">IF(L228="BR",'Impostos e Frete'!$F$6,IF(L228="EU",'Impostos e Frete'!$I$3,IF(L228="CN",'Impostos e Frete'!$I$4,IF(L228="JP",'Impostos e Frete'!$I$5,IF(L228="RU",'Impostos e Frete'!$I$7,"ERRO")))))</f>
        <v>0.1410816</v>
      </c>
      <c r="CA228" s="210">
        <f>VLOOKUP(L228,'Impostos e Frete'!$A$3:$B$7,2,0)*'Preços e Condições'!BY228</f>
        <v>1.7027400000000004</v>
      </c>
      <c r="CB228" s="147">
        <f t="shared" si="44"/>
        <v>0</v>
      </c>
      <c r="CC228" s="147">
        <f>IF(X228="BRL",'Impostos e Frete'!$B$11,'Impostos e Frete'!$B$12)</f>
        <v>9.1999999999999998E-2</v>
      </c>
      <c r="CD228" s="211">
        <f t="shared" ca="1" si="45"/>
        <v>15.033821600000003</v>
      </c>
      <c r="CE228" s="212">
        <f t="shared" ca="1" si="46"/>
        <v>1.0222998688000002</v>
      </c>
      <c r="CF228" s="213">
        <f>VLOOKUP(L228,'Impostos e Frete'!$A$3:$C$7,3,0)</f>
        <v>105</v>
      </c>
      <c r="CG228" s="213">
        <f t="shared" si="47"/>
        <v>60</v>
      </c>
      <c r="CH228" s="213">
        <f t="shared" si="48"/>
        <v>-45</v>
      </c>
      <c r="CI228" s="214">
        <f t="shared" ca="1" si="49"/>
        <v>0.3395263112061091</v>
      </c>
      <c r="CJ228" s="215">
        <f t="shared" ca="1" si="50"/>
        <v>15.373347911206112</v>
      </c>
      <c r="CK228" s="216">
        <f t="shared" ca="1" si="51"/>
        <v>1.0453876579620156</v>
      </c>
    </row>
    <row r="229" spans="1:92">
      <c r="A229" s="176">
        <v>17418</v>
      </c>
      <c r="B229" s="177">
        <v>1430</v>
      </c>
      <c r="C229" s="178">
        <v>68</v>
      </c>
      <c r="D229" s="178">
        <v>1870</v>
      </c>
      <c r="E229" s="178" t="s">
        <v>50</v>
      </c>
      <c r="F229" s="179" t="s">
        <v>466</v>
      </c>
      <c r="G229" s="180" t="s">
        <v>81</v>
      </c>
      <c r="H229" s="178" t="s">
        <v>61</v>
      </c>
      <c r="I229" s="178">
        <v>1430</v>
      </c>
      <c r="J229" s="178"/>
      <c r="K229" s="178"/>
      <c r="L229" s="178" t="s">
        <v>59</v>
      </c>
      <c r="M229" s="178">
        <v>60</v>
      </c>
      <c r="N229" s="178"/>
      <c r="O229" s="178"/>
      <c r="P229" s="178"/>
      <c r="Q229" s="178"/>
      <c r="R229" s="178" t="s">
        <v>19</v>
      </c>
      <c r="S229" s="181"/>
      <c r="T229" s="181"/>
      <c r="U229" s="182"/>
      <c r="V229" s="182" t="s">
        <v>35</v>
      </c>
      <c r="W229" s="183">
        <v>10</v>
      </c>
      <c r="X229" s="182" t="s">
        <v>51</v>
      </c>
      <c r="Y229" s="184">
        <v>2990</v>
      </c>
      <c r="Z229" s="184">
        <v>2990</v>
      </c>
      <c r="AA229" s="184">
        <v>2990</v>
      </c>
      <c r="AB229" s="184">
        <v>2790</v>
      </c>
      <c r="AC229" s="184">
        <v>2790</v>
      </c>
      <c r="AD229" s="184">
        <v>2790</v>
      </c>
      <c r="AE229" s="184">
        <v>2540</v>
      </c>
      <c r="AF229" s="184">
        <v>2540</v>
      </c>
      <c r="AG229" s="184">
        <v>2540</v>
      </c>
      <c r="AH229" s="184">
        <v>2340</v>
      </c>
      <c r="AI229" s="184">
        <v>2340</v>
      </c>
      <c r="AJ229" s="184">
        <v>2340</v>
      </c>
      <c r="AK229" s="184">
        <v>2340</v>
      </c>
      <c r="AL229" s="184">
        <v>2340</v>
      </c>
      <c r="AM229" s="184">
        <v>2340</v>
      </c>
      <c r="AN229" s="184">
        <v>2480</v>
      </c>
      <c r="AO229" s="184">
        <v>2480</v>
      </c>
      <c r="AP229" s="184">
        <v>2480</v>
      </c>
      <c r="AQ229" s="184">
        <v>2630</v>
      </c>
      <c r="AR229" s="184">
        <v>2630</v>
      </c>
      <c r="AS229" s="184">
        <v>2630</v>
      </c>
      <c r="AT229" s="184">
        <v>2630</v>
      </c>
      <c r="AU229" s="184">
        <v>2630</v>
      </c>
      <c r="AV229" s="184">
        <v>2630</v>
      </c>
      <c r="AW229" s="184">
        <v>2480</v>
      </c>
      <c r="AX229" s="184">
        <v>2480</v>
      </c>
      <c r="AY229" s="184">
        <v>2480</v>
      </c>
      <c r="AZ229" s="184">
        <v>2560</v>
      </c>
      <c r="BA229" s="184">
        <v>2560</v>
      </c>
      <c r="BB229" s="184">
        <v>2560</v>
      </c>
      <c r="BC229" s="184">
        <v>2560</v>
      </c>
      <c r="BD229" s="184">
        <v>2560</v>
      </c>
      <c r="BE229" s="184">
        <v>2560</v>
      </c>
      <c r="BF229" s="184">
        <v>2410</v>
      </c>
      <c r="BG229" s="184">
        <v>2410</v>
      </c>
      <c r="BH229" s="184">
        <v>2410</v>
      </c>
      <c r="BI229" s="184"/>
      <c r="BJ229" s="184"/>
      <c r="BK229" s="184"/>
      <c r="BL229" s="184">
        <v>2490</v>
      </c>
      <c r="BM229" s="184">
        <v>2570</v>
      </c>
      <c r="BN229" s="184">
        <v>2570</v>
      </c>
      <c r="BO229" s="184">
        <v>2690</v>
      </c>
      <c r="BP229" s="184">
        <v>2640</v>
      </c>
      <c r="BQ229" s="184">
        <v>2640</v>
      </c>
      <c r="BR229" s="184"/>
      <c r="BS229" s="184"/>
      <c r="BT229" s="184"/>
      <c r="BU229" s="146" cm="1">
        <f t="array" ref="BU229">LOOKUP(2,1/(Y229:BT229&lt;&gt;""),Y229:BH229)</f>
        <v>2640</v>
      </c>
      <c r="BV229" s="145" cm="1">
        <f t="array" aca="1" ref="BV229" ca="1">_xlfn.LET(
    _xlpm.last_col_idx, LOOKUP(2, 1/(Y229:BT229&lt;&gt;""), COLUMN(Y229:BT229) - COLUMN(Y229) + 1),
    _xlpm.header_val, INDEX($Y$3:$BT$3, 1, _xlpm.last_col_idx),
    _xlpm.header_date, IF(ISNUMBER(_xlpm.header_val), _xlpm.header_val, DATEVALUE(_xlpm.header_val)),
    IF(_xlpm.header_date &gt; TODAY(), TODAY(), _xlpm.header_date)
)</f>
        <v>46212</v>
      </c>
      <c r="BW229" s="209" cm="1">
        <f t="array" ref="BW229">(LOOKUP(2,1/(BH229:BT229&lt;&gt;""),BH229:BT229))/(INDEX(BH229:BT229,MATCH(TRUE,INDEX((BH229:BT229&lt;&gt;0),0),0)))-1</f>
        <v>9.543568464730301E-2</v>
      </c>
      <c r="BX229" s="210">
        <f t="shared" si="42"/>
        <v>2.64</v>
      </c>
      <c r="BY229" s="210">
        <f t="shared" si="43"/>
        <v>15.576000000000002</v>
      </c>
      <c r="BZ229" s="210">
        <f ca="1">IF(L229="BR",'Impostos e Frete'!$F$6,IF(L229="EU",'Impostos e Frete'!$I$3,IF(L229="CN",'Impostos e Frete'!$I$4,IF(L229="JP",'Impostos e Frete'!$I$5,IF(L229="RU",'Impostos e Frete'!$I$7,"ERRO")))))</f>
        <v>0.1410816</v>
      </c>
      <c r="CA229" s="210">
        <f>VLOOKUP(L229,'Impostos e Frete'!$A$3:$B$7,2,0)*'Preços e Condições'!BY229</f>
        <v>2.0248800000000005</v>
      </c>
      <c r="CB229" s="147">
        <f t="shared" si="44"/>
        <v>0</v>
      </c>
      <c r="CC229" s="147">
        <f>IF(X229="BRL",'Impostos e Frete'!$B$11,'Impostos e Frete'!$B$12)</f>
        <v>9.1999999999999998E-2</v>
      </c>
      <c r="CD229" s="211">
        <f t="shared" ca="1" si="45"/>
        <v>17.833961600000002</v>
      </c>
      <c r="CE229" s="212">
        <f t="shared" ca="1" si="46"/>
        <v>1.2127093888000002</v>
      </c>
      <c r="CF229" s="213">
        <f>VLOOKUP(L229,'Impostos e Frete'!$A$3:$C$7,3,0)</f>
        <v>105</v>
      </c>
      <c r="CG229" s="213">
        <f t="shared" si="47"/>
        <v>60</v>
      </c>
      <c r="CH229" s="213">
        <f t="shared" si="48"/>
        <v>-45</v>
      </c>
      <c r="CI229" s="214">
        <f t="shared" ca="1" si="49"/>
        <v>0.40276513566180938</v>
      </c>
      <c r="CJ229" s="215">
        <f t="shared" ca="1" si="50"/>
        <v>18.236726735661811</v>
      </c>
      <c r="CK229" s="216">
        <f t="shared" ca="1" si="51"/>
        <v>1.2400974180250031</v>
      </c>
    </row>
    <row r="230" spans="1:92">
      <c r="A230" s="176">
        <v>17418</v>
      </c>
      <c r="B230" s="177">
        <v>1430</v>
      </c>
      <c r="C230" s="178">
        <v>68</v>
      </c>
      <c r="D230" s="178">
        <v>1870</v>
      </c>
      <c r="E230" s="178" t="s">
        <v>50</v>
      </c>
      <c r="F230" s="179" t="s">
        <v>466</v>
      </c>
      <c r="G230" s="180" t="s">
        <v>81</v>
      </c>
      <c r="H230" s="178" t="s">
        <v>61</v>
      </c>
      <c r="I230" s="178">
        <v>1430</v>
      </c>
      <c r="J230" s="178"/>
      <c r="K230" s="178"/>
      <c r="L230" s="178" t="s">
        <v>59</v>
      </c>
      <c r="M230" s="178">
        <v>60</v>
      </c>
      <c r="N230" s="178"/>
      <c r="O230" s="178"/>
      <c r="P230" s="178"/>
      <c r="Q230" s="178"/>
      <c r="R230" s="178" t="s">
        <v>19</v>
      </c>
      <c r="S230" s="181"/>
      <c r="T230" s="181"/>
      <c r="U230" s="182"/>
      <c r="V230" s="182" t="s">
        <v>35</v>
      </c>
      <c r="W230" s="183">
        <v>5</v>
      </c>
      <c r="X230" s="182" t="s">
        <v>51</v>
      </c>
      <c r="Y230" s="184">
        <v>3850</v>
      </c>
      <c r="Z230" s="184">
        <v>3850</v>
      </c>
      <c r="AA230" s="184">
        <v>3850</v>
      </c>
      <c r="AB230" s="184">
        <v>3650</v>
      </c>
      <c r="AC230" s="184">
        <v>3650</v>
      </c>
      <c r="AD230" s="184">
        <v>3650</v>
      </c>
      <c r="AE230" s="184">
        <v>3400</v>
      </c>
      <c r="AF230" s="184">
        <v>3400</v>
      </c>
      <c r="AG230" s="184">
        <v>3400</v>
      </c>
      <c r="AH230" s="184">
        <v>3200</v>
      </c>
      <c r="AI230" s="184">
        <v>3200</v>
      </c>
      <c r="AJ230" s="184">
        <v>3200</v>
      </c>
      <c r="AK230" s="184">
        <v>3200</v>
      </c>
      <c r="AL230" s="184">
        <v>3200</v>
      </c>
      <c r="AM230" s="184">
        <v>3200</v>
      </c>
      <c r="AN230" s="184">
        <v>3340</v>
      </c>
      <c r="AO230" s="184">
        <v>3340</v>
      </c>
      <c r="AP230" s="184">
        <v>3340</v>
      </c>
      <c r="AQ230" s="184">
        <v>3490</v>
      </c>
      <c r="AR230" s="184">
        <v>3490</v>
      </c>
      <c r="AS230" s="184">
        <v>3490</v>
      </c>
      <c r="AT230" s="184">
        <v>3490</v>
      </c>
      <c r="AU230" s="184">
        <v>3490</v>
      </c>
      <c r="AV230" s="184">
        <v>3490</v>
      </c>
      <c r="AW230" s="184">
        <v>3340</v>
      </c>
      <c r="AX230" s="184">
        <v>3340</v>
      </c>
      <c r="AY230" s="184">
        <v>3340</v>
      </c>
      <c r="AZ230" s="184">
        <v>3420</v>
      </c>
      <c r="BA230" s="184">
        <v>3420</v>
      </c>
      <c r="BB230" s="184">
        <v>3420</v>
      </c>
      <c r="BC230" s="184">
        <v>3420</v>
      </c>
      <c r="BD230" s="184">
        <v>3420</v>
      </c>
      <c r="BE230" s="184">
        <v>3420</v>
      </c>
      <c r="BF230" s="184">
        <v>3270</v>
      </c>
      <c r="BG230" s="184">
        <v>3270</v>
      </c>
      <c r="BH230" s="184">
        <v>3270</v>
      </c>
      <c r="BI230" s="184"/>
      <c r="BJ230" s="184"/>
      <c r="BK230" s="184"/>
      <c r="BL230" s="184">
        <v>3350</v>
      </c>
      <c r="BM230" s="184">
        <v>3430</v>
      </c>
      <c r="BN230" s="184">
        <v>3430</v>
      </c>
      <c r="BO230" s="184">
        <v>3650</v>
      </c>
      <c r="BP230" s="184">
        <v>3600</v>
      </c>
      <c r="BQ230" s="184">
        <v>3600</v>
      </c>
      <c r="BR230" s="184"/>
      <c r="BS230" s="184"/>
      <c r="BT230" s="184"/>
      <c r="BU230" s="146" cm="1">
        <f t="array" ref="BU230">LOOKUP(2,1/(Y230:BT230&lt;&gt;""),Y230:BH230)</f>
        <v>3600</v>
      </c>
      <c r="BV230" s="145" cm="1">
        <f t="array" aca="1" ref="BV230" ca="1">_xlfn.LET(
    _xlpm.last_col_idx, LOOKUP(2, 1/(Y230:BT230&lt;&gt;""), COLUMN(Y230:BT230) - COLUMN(Y230) + 1),
    _xlpm.header_val, INDEX($Y$3:$BT$3, 1, _xlpm.last_col_idx),
    _xlpm.header_date, IF(ISNUMBER(_xlpm.header_val), _xlpm.header_val, DATEVALUE(_xlpm.header_val)),
    IF(_xlpm.header_date &gt; TODAY(), TODAY(), _xlpm.header_date)
)</f>
        <v>46212</v>
      </c>
      <c r="BW230" s="209" cm="1">
        <f t="array" ref="BW230">(LOOKUP(2,1/(BH230:BT230&lt;&gt;""),BH230:BT230))/(INDEX(BH230:BT230,MATCH(TRUE,INDEX((BH230:BT230&lt;&gt;0),0),0)))-1</f>
        <v>0.10091743119266061</v>
      </c>
      <c r="BX230" s="210">
        <f t="shared" si="42"/>
        <v>3.6</v>
      </c>
      <c r="BY230" s="210">
        <f t="shared" si="43"/>
        <v>21.240000000000002</v>
      </c>
      <c r="BZ230" s="210">
        <f ca="1">IF(L230="BR",'Impostos e Frete'!$F$6,IF(L230="EU",'Impostos e Frete'!$I$3,IF(L230="CN",'Impostos e Frete'!$I$4,IF(L230="JP",'Impostos e Frete'!$I$5,IF(L230="RU",'Impostos e Frete'!$I$7,"ERRO")))))</f>
        <v>0.1410816</v>
      </c>
      <c r="CA230" s="210">
        <f>VLOOKUP(L230,'Impostos e Frete'!$A$3:$B$7,2,0)*'Preços e Condições'!BY230</f>
        <v>2.7612000000000005</v>
      </c>
      <c r="CB230" s="147">
        <f t="shared" si="44"/>
        <v>0</v>
      </c>
      <c r="CC230" s="147">
        <f>IF(X230="BRL",'Impostos e Frete'!$B$11,'Impostos e Frete'!$B$12)</f>
        <v>9.1999999999999998E-2</v>
      </c>
      <c r="CD230" s="211">
        <f t="shared" ca="1" si="45"/>
        <v>24.234281600000003</v>
      </c>
      <c r="CE230" s="212">
        <f t="shared" ca="1" si="46"/>
        <v>1.6479311488000004</v>
      </c>
      <c r="CF230" s="213">
        <f>VLOOKUP(L230,'Impostos e Frete'!$A$3:$C$7,3,0)</f>
        <v>105</v>
      </c>
      <c r="CG230" s="213">
        <f t="shared" si="47"/>
        <v>60</v>
      </c>
      <c r="CH230" s="213">
        <f t="shared" si="48"/>
        <v>-45</v>
      </c>
      <c r="CI230" s="214">
        <f t="shared" ca="1" si="49"/>
        <v>0.54731102013197486</v>
      </c>
      <c r="CJ230" s="215">
        <f t="shared" ca="1" si="50"/>
        <v>24.781592620131978</v>
      </c>
      <c r="CK230" s="216">
        <f t="shared" ca="1" si="51"/>
        <v>1.6851482981689745</v>
      </c>
    </row>
    <row r="231" spans="1:92">
      <c r="A231" s="176">
        <v>17425</v>
      </c>
      <c r="B231" s="177">
        <v>1410</v>
      </c>
      <c r="C231" s="178">
        <v>68</v>
      </c>
      <c r="D231" s="178">
        <v>1860</v>
      </c>
      <c r="E231" s="178" t="s">
        <v>50</v>
      </c>
      <c r="F231" s="179" t="s">
        <v>466</v>
      </c>
      <c r="G231" s="180" t="s">
        <v>80</v>
      </c>
      <c r="H231" s="178" t="s">
        <v>61</v>
      </c>
      <c r="I231" s="178">
        <v>1410</v>
      </c>
      <c r="J231" s="178"/>
      <c r="K231" s="178"/>
      <c r="L231" s="178" t="s">
        <v>59</v>
      </c>
      <c r="M231" s="178">
        <v>60</v>
      </c>
      <c r="N231" s="178"/>
      <c r="O231" s="178"/>
      <c r="P231" s="178"/>
      <c r="Q231" s="178"/>
      <c r="R231" s="178" t="s">
        <v>19</v>
      </c>
      <c r="S231" s="181"/>
      <c r="T231" s="181"/>
      <c r="U231" s="182"/>
      <c r="V231" s="182" t="s">
        <v>35</v>
      </c>
      <c r="W231" s="183">
        <v>100</v>
      </c>
      <c r="X231" s="182" t="s">
        <v>51</v>
      </c>
      <c r="Y231" s="184">
        <v>2370</v>
      </c>
      <c r="Z231" s="184">
        <v>2370</v>
      </c>
      <c r="AA231" s="184">
        <v>2370</v>
      </c>
      <c r="AB231" s="184">
        <v>2170</v>
      </c>
      <c r="AC231" s="184">
        <v>2170</v>
      </c>
      <c r="AD231" s="184">
        <v>2170</v>
      </c>
      <c r="AE231" s="184">
        <v>2120</v>
      </c>
      <c r="AF231" s="184">
        <v>2120</v>
      </c>
      <c r="AG231" s="184">
        <v>2120</v>
      </c>
      <c r="AH231" s="184">
        <v>1720</v>
      </c>
      <c r="AI231" s="184">
        <v>1720</v>
      </c>
      <c r="AJ231" s="184">
        <v>1720</v>
      </c>
      <c r="AK231" s="184">
        <v>1720</v>
      </c>
      <c r="AL231" s="184">
        <v>1720</v>
      </c>
      <c r="AM231" s="184">
        <v>1720</v>
      </c>
      <c r="AN231" s="184">
        <v>1860</v>
      </c>
      <c r="AO231" s="184">
        <v>1860</v>
      </c>
      <c r="AP231" s="184">
        <v>1860</v>
      </c>
      <c r="AQ231" s="184">
        <v>2010</v>
      </c>
      <c r="AR231" s="184">
        <v>2010</v>
      </c>
      <c r="AS231" s="184">
        <v>2010</v>
      </c>
      <c r="AT231" s="184">
        <v>2010</v>
      </c>
      <c r="AU231" s="184">
        <v>2010</v>
      </c>
      <c r="AV231" s="184">
        <v>2010</v>
      </c>
      <c r="AW231" s="184">
        <v>1860</v>
      </c>
      <c r="AX231" s="184">
        <v>1860</v>
      </c>
      <c r="AY231" s="184">
        <v>1860</v>
      </c>
      <c r="AZ231" s="184">
        <v>2500</v>
      </c>
      <c r="BA231" s="184">
        <v>2500</v>
      </c>
      <c r="BB231" s="184">
        <v>2500</v>
      </c>
      <c r="BC231" s="184">
        <v>1940</v>
      </c>
      <c r="BD231" s="184">
        <v>1940</v>
      </c>
      <c r="BE231" s="184">
        <v>1940</v>
      </c>
      <c r="BF231" s="184">
        <v>1790</v>
      </c>
      <c r="BG231" s="184">
        <v>1790</v>
      </c>
      <c r="BH231" s="184">
        <v>1790</v>
      </c>
      <c r="BI231" s="184"/>
      <c r="BJ231" s="184"/>
      <c r="BK231" s="184"/>
      <c r="BL231" s="184">
        <v>1870</v>
      </c>
      <c r="BM231" s="184">
        <v>1950</v>
      </c>
      <c r="BN231" s="184">
        <v>1950</v>
      </c>
      <c r="BO231" s="184">
        <v>2070</v>
      </c>
      <c r="BP231" s="184">
        <v>2020</v>
      </c>
      <c r="BQ231" s="184">
        <v>2020</v>
      </c>
      <c r="BR231" s="184"/>
      <c r="BS231" s="184"/>
      <c r="BT231" s="184"/>
      <c r="BU231" s="146" cm="1">
        <f t="array" ref="BU231">LOOKUP(2,1/(Y231:BT231&lt;&gt;""),Y231:BH231)</f>
        <v>2020</v>
      </c>
      <c r="BV231" s="145" cm="1">
        <f t="array" aca="1" ref="BV231" ca="1">_xlfn.LET(
    _xlpm.last_col_idx, LOOKUP(2, 1/(Y231:BT231&lt;&gt;""), COLUMN(Y231:BT231) - COLUMN(Y231) + 1),
    _xlpm.header_val, INDEX($Y$3:$BT$3, 1, _xlpm.last_col_idx),
    _xlpm.header_date, IF(ISNUMBER(_xlpm.header_val), _xlpm.header_val, DATEVALUE(_xlpm.header_val)),
    IF(_xlpm.header_date &gt; TODAY(), TODAY(), _xlpm.header_date)
)</f>
        <v>46212</v>
      </c>
      <c r="BW231" s="209" cm="1">
        <f t="array" ref="BW231">(LOOKUP(2,1/(BH231:BT231&lt;&gt;""),BH231:BT231))/(INDEX(BH231:BT231,MATCH(TRUE,INDEX((BH231:BT231&lt;&gt;0),0),0)))-1</f>
        <v>0.12849162011173187</v>
      </c>
      <c r="BX231" s="210">
        <f t="shared" si="42"/>
        <v>2.02</v>
      </c>
      <c r="BY231" s="210">
        <f t="shared" si="43"/>
        <v>11.918000000000001</v>
      </c>
      <c r="BZ231" s="210">
        <f ca="1">IF(L231="BR",'Impostos e Frete'!$F$6,IF(L231="EU",'Impostos e Frete'!$I$3,IF(L231="CN",'Impostos e Frete'!$I$4,IF(L231="JP",'Impostos e Frete'!$I$5,IF(L231="RU",'Impostos e Frete'!$I$7,"ERRO")))))</f>
        <v>0.1410816</v>
      </c>
      <c r="CA231" s="210">
        <f>VLOOKUP(L231,'Impostos e Frete'!$A$3:$B$7,2,0)*'Preços e Condições'!BY231</f>
        <v>1.5493400000000002</v>
      </c>
      <c r="CB231" s="147">
        <f t="shared" si="44"/>
        <v>0</v>
      </c>
      <c r="CC231" s="147">
        <f>IF(X231="BRL",'Impostos e Frete'!$B$11,'Impostos e Frete'!$B$12)</f>
        <v>9.1999999999999998E-2</v>
      </c>
      <c r="CD231" s="211">
        <f t="shared" ca="1" si="45"/>
        <v>13.700421600000002</v>
      </c>
      <c r="CE231" s="212">
        <f t="shared" ca="1" si="46"/>
        <v>0.93162866880000017</v>
      </c>
      <c r="CF231" s="213">
        <f>VLOOKUP(L231,'Impostos e Frete'!$A$3:$C$7,3,0)</f>
        <v>105</v>
      </c>
      <c r="CG231" s="213">
        <f t="shared" si="47"/>
        <v>60</v>
      </c>
      <c r="CH231" s="213">
        <f t="shared" si="48"/>
        <v>-45</v>
      </c>
      <c r="CI231" s="214">
        <f t="shared" ca="1" si="49"/>
        <v>0.30941258527482596</v>
      </c>
      <c r="CJ231" s="215">
        <f t="shared" ca="1" si="50"/>
        <v>14.009834185274828</v>
      </c>
      <c r="CK231" s="216">
        <f t="shared" ca="1" si="51"/>
        <v>0.95266872459868823</v>
      </c>
    </row>
    <row r="232" spans="1:92">
      <c r="A232" s="176">
        <v>17425</v>
      </c>
      <c r="B232" s="177">
        <v>1410</v>
      </c>
      <c r="C232" s="178">
        <v>68</v>
      </c>
      <c r="D232" s="178">
        <v>1860</v>
      </c>
      <c r="E232" s="178" t="s">
        <v>50</v>
      </c>
      <c r="F232" s="179" t="s">
        <v>466</v>
      </c>
      <c r="G232" s="180" t="s">
        <v>80</v>
      </c>
      <c r="H232" s="178" t="s">
        <v>61</v>
      </c>
      <c r="I232" s="178">
        <v>1410</v>
      </c>
      <c r="J232" s="178"/>
      <c r="K232" s="178"/>
      <c r="L232" s="178" t="s">
        <v>59</v>
      </c>
      <c r="M232" s="178">
        <v>60</v>
      </c>
      <c r="N232" s="178"/>
      <c r="O232" s="178"/>
      <c r="P232" s="178"/>
      <c r="Q232" s="178"/>
      <c r="R232" s="178" t="s">
        <v>19</v>
      </c>
      <c r="S232" s="181"/>
      <c r="T232" s="181"/>
      <c r="U232" s="182"/>
      <c r="V232" s="182" t="s">
        <v>35</v>
      </c>
      <c r="W232" s="183">
        <v>50</v>
      </c>
      <c r="X232" s="182" t="s">
        <v>51</v>
      </c>
      <c r="Y232" s="184">
        <v>2420</v>
      </c>
      <c r="Z232" s="184">
        <v>2420</v>
      </c>
      <c r="AA232" s="184">
        <v>2420</v>
      </c>
      <c r="AB232" s="184">
        <v>2220</v>
      </c>
      <c r="AC232" s="184">
        <v>2220</v>
      </c>
      <c r="AD232" s="184">
        <v>2220</v>
      </c>
      <c r="AE232" s="184">
        <v>1970</v>
      </c>
      <c r="AF232" s="184">
        <v>1970</v>
      </c>
      <c r="AG232" s="184">
        <v>1970</v>
      </c>
      <c r="AH232" s="184">
        <v>1770</v>
      </c>
      <c r="AI232" s="184">
        <v>1770</v>
      </c>
      <c r="AJ232" s="184">
        <v>1770</v>
      </c>
      <c r="AK232" s="184">
        <v>1770</v>
      </c>
      <c r="AL232" s="184">
        <v>1770</v>
      </c>
      <c r="AM232" s="184">
        <v>1770</v>
      </c>
      <c r="AN232" s="184">
        <v>1910</v>
      </c>
      <c r="AO232" s="184">
        <v>1910</v>
      </c>
      <c r="AP232" s="184">
        <v>1910</v>
      </c>
      <c r="AQ232" s="184">
        <v>2060</v>
      </c>
      <c r="AR232" s="184">
        <v>2060</v>
      </c>
      <c r="AS232" s="184">
        <v>2060</v>
      </c>
      <c r="AT232" s="184">
        <v>2060</v>
      </c>
      <c r="AU232" s="184">
        <v>2060</v>
      </c>
      <c r="AV232" s="184">
        <v>2060</v>
      </c>
      <c r="AW232" s="184">
        <v>1910</v>
      </c>
      <c r="AX232" s="184">
        <v>1910</v>
      </c>
      <c r="AY232" s="184">
        <v>1910</v>
      </c>
      <c r="AZ232" s="184">
        <v>1990</v>
      </c>
      <c r="BA232" s="184">
        <v>1990</v>
      </c>
      <c r="BB232" s="184">
        <v>1990</v>
      </c>
      <c r="BC232" s="184">
        <v>1990</v>
      </c>
      <c r="BD232" s="184">
        <v>1990</v>
      </c>
      <c r="BE232" s="184">
        <v>1990</v>
      </c>
      <c r="BF232" s="184">
        <v>1840</v>
      </c>
      <c r="BG232" s="184">
        <v>1840</v>
      </c>
      <c r="BH232" s="184">
        <v>1840</v>
      </c>
      <c r="BI232" s="184"/>
      <c r="BJ232" s="184"/>
      <c r="BK232" s="184"/>
      <c r="BL232" s="184">
        <v>1920</v>
      </c>
      <c r="BM232" s="184">
        <v>2000</v>
      </c>
      <c r="BN232" s="184">
        <v>2000</v>
      </c>
      <c r="BO232" s="184">
        <v>2120</v>
      </c>
      <c r="BP232" s="184">
        <v>2070</v>
      </c>
      <c r="BQ232" s="184">
        <v>2070</v>
      </c>
      <c r="BR232" s="184"/>
      <c r="BS232" s="184"/>
      <c r="BT232" s="184"/>
      <c r="BU232" s="146" cm="1">
        <f t="array" ref="BU232">LOOKUP(2,1/(Y232:BT232&lt;&gt;""),Y232:BH232)</f>
        <v>2070</v>
      </c>
      <c r="BV232" s="145" cm="1">
        <f t="array" aca="1" ref="BV232" ca="1">_xlfn.LET(
    _xlpm.last_col_idx, LOOKUP(2, 1/(Y232:BT232&lt;&gt;""), COLUMN(Y232:BT232) - COLUMN(Y232) + 1),
    _xlpm.header_val, INDEX($Y$3:$BT$3, 1, _xlpm.last_col_idx),
    _xlpm.header_date, IF(ISNUMBER(_xlpm.header_val), _xlpm.header_val, DATEVALUE(_xlpm.header_val)),
    IF(_xlpm.header_date &gt; TODAY(), TODAY(), _xlpm.header_date)
)</f>
        <v>46212</v>
      </c>
      <c r="BW232" s="209" cm="1">
        <f t="array" ref="BW232">(LOOKUP(2,1/(BH232:BT232&lt;&gt;""),BH232:BT232))/(INDEX(BH232:BT232,MATCH(TRUE,INDEX((BH232:BT232&lt;&gt;0),0),0)))-1</f>
        <v>0.125</v>
      </c>
      <c r="BX232" s="210">
        <f t="shared" si="42"/>
        <v>2.0699999999999998</v>
      </c>
      <c r="BY232" s="210">
        <f t="shared" si="43"/>
        <v>12.212999999999999</v>
      </c>
      <c r="BZ232" s="210">
        <f ca="1">IF(L232="BR",'Impostos e Frete'!$F$6,IF(L232="EU",'Impostos e Frete'!$I$3,IF(L232="CN",'Impostos e Frete'!$I$4,IF(L232="JP",'Impostos e Frete'!$I$5,IF(L232="RU",'Impostos e Frete'!$I$7,"ERRO")))))</f>
        <v>0.1410816</v>
      </c>
      <c r="CA232" s="210">
        <f>VLOOKUP(L232,'Impostos e Frete'!$A$3:$B$7,2,0)*'Preços e Condições'!BY232</f>
        <v>1.58769</v>
      </c>
      <c r="CB232" s="147">
        <f t="shared" si="44"/>
        <v>0</v>
      </c>
      <c r="CC232" s="147">
        <f>IF(X232="BRL",'Impostos e Frete'!$B$11,'Impostos e Frete'!$B$12)</f>
        <v>9.1999999999999998E-2</v>
      </c>
      <c r="CD232" s="211">
        <f t="shared" ca="1" si="45"/>
        <v>14.0337716</v>
      </c>
      <c r="CE232" s="212">
        <f t="shared" ca="1" si="46"/>
        <v>0.95429646879999996</v>
      </c>
      <c r="CF232" s="213">
        <f>VLOOKUP(L232,'Impostos e Frete'!$A$3:$C$7,3,0)</f>
        <v>105</v>
      </c>
      <c r="CG232" s="213">
        <f t="shared" si="47"/>
        <v>60</v>
      </c>
      <c r="CH232" s="213">
        <f t="shared" si="48"/>
        <v>-45</v>
      </c>
      <c r="CI232" s="214">
        <f t="shared" ca="1" si="49"/>
        <v>0.31694101675764585</v>
      </c>
      <c r="CJ232" s="215">
        <f t="shared" ca="1" si="50"/>
        <v>14.350712616757646</v>
      </c>
      <c r="CK232" s="216">
        <f t="shared" ca="1" si="51"/>
        <v>0.9758484579395198</v>
      </c>
    </row>
    <row r="233" spans="1:92">
      <c r="A233" s="176">
        <v>17425</v>
      </c>
      <c r="B233" s="177">
        <v>1410</v>
      </c>
      <c r="C233" s="178">
        <v>68</v>
      </c>
      <c r="D233" s="178">
        <v>1860</v>
      </c>
      <c r="E233" s="178" t="s">
        <v>50</v>
      </c>
      <c r="F233" s="179" t="s">
        <v>466</v>
      </c>
      <c r="G233" s="180" t="s">
        <v>80</v>
      </c>
      <c r="H233" s="178" t="s">
        <v>61</v>
      </c>
      <c r="I233" s="178">
        <v>1410</v>
      </c>
      <c r="J233" s="178"/>
      <c r="K233" s="178"/>
      <c r="L233" s="178" t="s">
        <v>59</v>
      </c>
      <c r="M233" s="178">
        <v>60</v>
      </c>
      <c r="N233" s="178"/>
      <c r="O233" s="178"/>
      <c r="P233" s="178"/>
      <c r="Q233" s="178"/>
      <c r="R233" s="178" t="s">
        <v>19</v>
      </c>
      <c r="S233" s="181"/>
      <c r="T233" s="181"/>
      <c r="U233" s="182"/>
      <c r="V233" s="182" t="s">
        <v>35</v>
      </c>
      <c r="W233" s="183">
        <v>20</v>
      </c>
      <c r="X233" s="182" t="s">
        <v>51</v>
      </c>
      <c r="Y233" s="184">
        <v>2570</v>
      </c>
      <c r="Z233" s="184">
        <v>2570</v>
      </c>
      <c r="AA233" s="184">
        <v>2570</v>
      </c>
      <c r="AB233" s="184">
        <v>2370</v>
      </c>
      <c r="AC233" s="184">
        <v>2370</v>
      </c>
      <c r="AD233" s="184">
        <v>2370</v>
      </c>
      <c r="AE233" s="184">
        <v>2120</v>
      </c>
      <c r="AF233" s="184">
        <v>2120</v>
      </c>
      <c r="AG233" s="184">
        <v>2120</v>
      </c>
      <c r="AH233" s="184">
        <v>1920</v>
      </c>
      <c r="AI233" s="184">
        <v>1920</v>
      </c>
      <c r="AJ233" s="184">
        <v>1920</v>
      </c>
      <c r="AK233" s="184">
        <v>1920</v>
      </c>
      <c r="AL233" s="184">
        <v>1920</v>
      </c>
      <c r="AM233" s="184">
        <v>1920</v>
      </c>
      <c r="AN233" s="184">
        <v>2060</v>
      </c>
      <c r="AO233" s="184">
        <v>2060</v>
      </c>
      <c r="AP233" s="184">
        <v>2060</v>
      </c>
      <c r="AQ233" s="184">
        <v>2210</v>
      </c>
      <c r="AR233" s="184">
        <v>2210</v>
      </c>
      <c r="AS233" s="184">
        <v>2210</v>
      </c>
      <c r="AT233" s="184">
        <v>2210</v>
      </c>
      <c r="AU233" s="184">
        <v>2210</v>
      </c>
      <c r="AV233" s="184">
        <v>2210</v>
      </c>
      <c r="AW233" s="184">
        <v>2060</v>
      </c>
      <c r="AX233" s="184">
        <v>2060</v>
      </c>
      <c r="AY233" s="184">
        <v>2060</v>
      </c>
      <c r="AZ233" s="184">
        <v>2140</v>
      </c>
      <c r="BA233" s="184">
        <v>2140</v>
      </c>
      <c r="BB233" s="184">
        <v>2140</v>
      </c>
      <c r="BC233" s="184">
        <v>2140</v>
      </c>
      <c r="BD233" s="184">
        <v>2140</v>
      </c>
      <c r="BE233" s="184">
        <v>2140</v>
      </c>
      <c r="BF233" s="184">
        <v>1990</v>
      </c>
      <c r="BG233" s="184">
        <v>1990</v>
      </c>
      <c r="BH233" s="184">
        <v>1990</v>
      </c>
      <c r="BI233" s="184"/>
      <c r="BJ233" s="184"/>
      <c r="BK233" s="184"/>
      <c r="BL233" s="184">
        <v>2070</v>
      </c>
      <c r="BM233" s="184">
        <v>2150</v>
      </c>
      <c r="BN233" s="184">
        <v>2150</v>
      </c>
      <c r="BO233" s="184">
        <v>2270</v>
      </c>
      <c r="BP233" s="184">
        <v>2220</v>
      </c>
      <c r="BQ233" s="184">
        <v>2220</v>
      </c>
      <c r="BR233" s="184"/>
      <c r="BS233" s="184"/>
      <c r="BT233" s="184"/>
      <c r="BU233" s="146" cm="1">
        <f t="array" ref="BU233">LOOKUP(2,1/(Y233:BT233&lt;&gt;""),Y233:BH233)</f>
        <v>2220</v>
      </c>
      <c r="BV233" s="145" cm="1">
        <f t="array" aca="1" ref="BV233" ca="1">_xlfn.LET(
    _xlpm.last_col_idx, LOOKUP(2, 1/(Y233:BT233&lt;&gt;""), COLUMN(Y233:BT233) - COLUMN(Y233) + 1),
    _xlpm.header_val, INDEX($Y$3:$BT$3, 1, _xlpm.last_col_idx),
    _xlpm.header_date, IF(ISNUMBER(_xlpm.header_val), _xlpm.header_val, DATEVALUE(_xlpm.header_val)),
    IF(_xlpm.header_date &gt; TODAY(), TODAY(), _xlpm.header_date)
)</f>
        <v>46212</v>
      </c>
      <c r="BW233" s="209" cm="1">
        <f t="array" ref="BW233">(LOOKUP(2,1/(BH233:BT233&lt;&gt;""),BH233:BT233))/(INDEX(BH233:BT233,MATCH(TRUE,INDEX((BH233:BT233&lt;&gt;0),0),0)))-1</f>
        <v>0.11557788944723613</v>
      </c>
      <c r="BX233" s="210">
        <f t="shared" si="42"/>
        <v>2.2200000000000002</v>
      </c>
      <c r="BY233" s="210">
        <f t="shared" si="43"/>
        <v>13.098000000000003</v>
      </c>
      <c r="BZ233" s="210">
        <f ca="1">IF(L233="BR",'Impostos e Frete'!$F$6,IF(L233="EU",'Impostos e Frete'!$I$3,IF(L233="CN",'Impostos e Frete'!$I$4,IF(L233="JP",'Impostos e Frete'!$I$5,IF(L233="RU",'Impostos e Frete'!$I$7,"ERRO")))))</f>
        <v>0.1410816</v>
      </c>
      <c r="CA233" s="210">
        <f>VLOOKUP(L233,'Impostos e Frete'!$A$3:$B$7,2,0)*'Preços e Condições'!BY233</f>
        <v>1.7027400000000004</v>
      </c>
      <c r="CB233" s="147">
        <f t="shared" si="44"/>
        <v>0</v>
      </c>
      <c r="CC233" s="147">
        <f>IF(X233="BRL",'Impostos e Frete'!$B$11,'Impostos e Frete'!$B$12)</f>
        <v>9.1999999999999998E-2</v>
      </c>
      <c r="CD233" s="211">
        <f t="shared" ca="1" si="45"/>
        <v>15.033821600000003</v>
      </c>
      <c r="CE233" s="212">
        <f t="shared" ca="1" si="46"/>
        <v>1.0222998688000002</v>
      </c>
      <c r="CF233" s="213">
        <f>VLOOKUP(L233,'Impostos e Frete'!$A$3:$C$7,3,0)</f>
        <v>105</v>
      </c>
      <c r="CG233" s="213">
        <f t="shared" si="47"/>
        <v>60</v>
      </c>
      <c r="CH233" s="213">
        <f t="shared" si="48"/>
        <v>-45</v>
      </c>
      <c r="CI233" s="214">
        <f t="shared" ca="1" si="49"/>
        <v>0.3395263112061091</v>
      </c>
      <c r="CJ233" s="215">
        <f t="shared" ca="1" si="50"/>
        <v>15.373347911206112</v>
      </c>
      <c r="CK233" s="216">
        <f t="shared" ca="1" si="51"/>
        <v>1.0453876579620156</v>
      </c>
      <c r="CL233" s="187"/>
      <c r="CM233" s="187"/>
      <c r="CN233" s="187"/>
    </row>
    <row r="234" spans="1:92">
      <c r="A234" s="176">
        <v>17444</v>
      </c>
      <c r="B234" s="177">
        <v>80</v>
      </c>
      <c r="C234" s="178">
        <v>80</v>
      </c>
      <c r="D234" s="178">
        <v>1830</v>
      </c>
      <c r="E234" s="178" t="s">
        <v>49</v>
      </c>
      <c r="F234" s="179" t="s">
        <v>468</v>
      </c>
      <c r="G234" s="180" t="s">
        <v>306</v>
      </c>
      <c r="H234" s="178" t="s">
        <v>66</v>
      </c>
      <c r="I234" s="178"/>
      <c r="J234" s="178"/>
      <c r="K234" s="178"/>
      <c r="L234" s="178" t="s">
        <v>59</v>
      </c>
      <c r="M234" s="178">
        <v>60</v>
      </c>
      <c r="N234" s="178"/>
      <c r="O234" s="178"/>
      <c r="P234" s="178"/>
      <c r="Q234" s="178"/>
      <c r="R234" s="178" t="s">
        <v>19</v>
      </c>
      <c r="S234" s="181"/>
      <c r="T234" s="181"/>
      <c r="U234" s="182"/>
      <c r="V234" s="182" t="s">
        <v>35</v>
      </c>
      <c r="W234" s="183">
        <v>50</v>
      </c>
      <c r="X234" s="182" t="s">
        <v>51</v>
      </c>
      <c r="Y234" s="184">
        <v>3020</v>
      </c>
      <c r="Z234" s="184">
        <v>3020</v>
      </c>
      <c r="AA234" s="184">
        <v>3020</v>
      </c>
      <c r="AB234" s="184">
        <v>2820</v>
      </c>
      <c r="AC234" s="184">
        <v>2820</v>
      </c>
      <c r="AD234" s="184">
        <v>2820</v>
      </c>
      <c r="AE234" s="184">
        <v>2570</v>
      </c>
      <c r="AF234" s="184">
        <v>2570</v>
      </c>
      <c r="AG234" s="184">
        <v>2570</v>
      </c>
      <c r="AH234" s="184">
        <v>2370</v>
      </c>
      <c r="AI234" s="184">
        <v>2370</v>
      </c>
      <c r="AJ234" s="184">
        <v>2370</v>
      </c>
      <c r="AK234" s="184">
        <v>2670</v>
      </c>
      <c r="AL234" s="184">
        <v>2670</v>
      </c>
      <c r="AM234" s="184">
        <v>2670</v>
      </c>
      <c r="AN234" s="184">
        <v>2810</v>
      </c>
      <c r="AO234" s="184">
        <v>2810</v>
      </c>
      <c r="AP234" s="184">
        <v>2810</v>
      </c>
      <c r="AQ234" s="184">
        <v>2960</v>
      </c>
      <c r="AR234" s="184">
        <v>2960</v>
      </c>
      <c r="AS234" s="184">
        <v>2960</v>
      </c>
      <c r="AT234" s="184">
        <v>2960</v>
      </c>
      <c r="AU234" s="184">
        <v>2960</v>
      </c>
      <c r="AV234" s="184">
        <v>2960</v>
      </c>
      <c r="AW234" s="184">
        <v>2810</v>
      </c>
      <c r="AX234" s="184">
        <v>2810</v>
      </c>
      <c r="AY234" s="184">
        <v>2810</v>
      </c>
      <c r="AZ234" s="184">
        <v>2890</v>
      </c>
      <c r="BA234" s="184">
        <v>2890</v>
      </c>
      <c r="BB234" s="184">
        <v>2890</v>
      </c>
      <c r="BC234" s="184">
        <v>2890</v>
      </c>
      <c r="BD234" s="184">
        <v>2890</v>
      </c>
      <c r="BE234" s="184">
        <v>2890</v>
      </c>
      <c r="BF234" s="184">
        <v>2740</v>
      </c>
      <c r="BG234" s="184">
        <v>2740</v>
      </c>
      <c r="BH234" s="184">
        <v>2740</v>
      </c>
      <c r="BI234" s="184"/>
      <c r="BJ234" s="184"/>
      <c r="BK234" s="184"/>
      <c r="BL234" s="184">
        <v>2820</v>
      </c>
      <c r="BM234" s="184">
        <v>2900</v>
      </c>
      <c r="BN234" s="184">
        <v>2900</v>
      </c>
      <c r="BO234" s="184">
        <v>2900</v>
      </c>
      <c r="BP234" s="184">
        <v>2850</v>
      </c>
      <c r="BQ234" s="184">
        <v>2850</v>
      </c>
      <c r="BR234" s="184"/>
      <c r="BS234" s="184"/>
      <c r="BT234" s="184"/>
      <c r="BU234" s="146" cm="1">
        <f t="array" ref="BU234">LOOKUP(2,1/(Y234:BT234&lt;&gt;""),Y234:BH234)</f>
        <v>2850</v>
      </c>
      <c r="BV234" s="145" cm="1">
        <f t="array" aca="1" ref="BV234" ca="1">_xlfn.LET(
    _xlpm.last_col_idx, LOOKUP(2, 1/(Y234:BT234&lt;&gt;""), COLUMN(Y234:BT234) - COLUMN(Y234) + 1),
    _xlpm.header_val, INDEX($Y$3:$BT$3, 1, _xlpm.last_col_idx),
    _xlpm.header_date, IF(ISNUMBER(_xlpm.header_val), _xlpm.header_val, DATEVALUE(_xlpm.header_val)),
    IF(_xlpm.header_date &gt; TODAY(), TODAY(), _xlpm.header_date)
)</f>
        <v>46212</v>
      </c>
      <c r="BW234" s="209" cm="1">
        <f t="array" ref="BW234">(LOOKUP(2,1/(BH234:BT234&lt;&gt;""),BH234:BT234))/(INDEX(BH234:BT234,MATCH(TRUE,INDEX((BH234:BT234&lt;&gt;0),0),0)))-1</f>
        <v>4.014598540145986E-2</v>
      </c>
      <c r="BX234" s="210">
        <f t="shared" si="42"/>
        <v>2.85</v>
      </c>
      <c r="BY234" s="210">
        <f t="shared" si="43"/>
        <v>16.815000000000001</v>
      </c>
      <c r="BZ234" s="210">
        <f ca="1">IF(L234="BR",'Impostos e Frete'!$F$6,IF(L234="EU",'Impostos e Frete'!$I$3,IF(L234="CN",'Impostos e Frete'!$I$4,IF(L234="JP",'Impostos e Frete'!$I$5,IF(L234="RU",'Impostos e Frete'!$I$7,"ERRO")))))</f>
        <v>0.1410816</v>
      </c>
      <c r="CA234" s="210">
        <f>VLOOKUP(L234,'Impostos e Frete'!$A$3:$B$7,2,0)*'Preços e Condições'!BY234</f>
        <v>2.1859500000000001</v>
      </c>
      <c r="CB234" s="147">
        <f t="shared" si="44"/>
        <v>0</v>
      </c>
      <c r="CC234" s="147">
        <f>IF(X234="BRL",'Impostos e Frete'!$B$11,'Impostos e Frete'!$B$12)</f>
        <v>9.1999999999999998E-2</v>
      </c>
      <c r="CD234" s="211">
        <f t="shared" ca="1" si="45"/>
        <v>19.234031600000002</v>
      </c>
      <c r="CE234" s="212">
        <f t="shared" ca="1" si="46"/>
        <v>1.5387225280000003</v>
      </c>
      <c r="CF234" s="213">
        <f>VLOOKUP(L234,'Impostos e Frete'!$A$3:$C$7,3,0)</f>
        <v>105</v>
      </c>
      <c r="CG234" s="213">
        <f t="shared" si="47"/>
        <v>60</v>
      </c>
      <c r="CH234" s="213">
        <f t="shared" si="48"/>
        <v>-45</v>
      </c>
      <c r="CI234" s="214">
        <f t="shared" ca="1" si="49"/>
        <v>0.43438454788965686</v>
      </c>
      <c r="CJ234" s="215">
        <f t="shared" ca="1" si="50"/>
        <v>19.668416147889658</v>
      </c>
      <c r="CK234" s="216">
        <f t="shared" ca="1" si="51"/>
        <v>1.5734732918311729</v>
      </c>
      <c r="CL234" s="187"/>
      <c r="CM234" s="187"/>
      <c r="CN234" s="187"/>
    </row>
    <row r="235" spans="1:92">
      <c r="A235" s="176">
        <v>17445</v>
      </c>
      <c r="B235" s="177">
        <v>301</v>
      </c>
      <c r="C235" s="178">
        <v>65</v>
      </c>
      <c r="D235" s="178">
        <v>1870</v>
      </c>
      <c r="E235" s="178" t="s">
        <v>50</v>
      </c>
      <c r="F235" s="179" t="s">
        <v>467</v>
      </c>
      <c r="G235" s="180" t="s">
        <v>339</v>
      </c>
      <c r="H235" s="178" t="s">
        <v>345</v>
      </c>
      <c r="I235" s="178">
        <v>301</v>
      </c>
      <c r="J235" s="178"/>
      <c r="K235" s="178"/>
      <c r="L235" s="178" t="s">
        <v>59</v>
      </c>
      <c r="M235" s="178">
        <v>60</v>
      </c>
      <c r="N235" s="178"/>
      <c r="O235" s="178"/>
      <c r="P235" s="178"/>
      <c r="Q235" s="178"/>
      <c r="R235" s="178" t="s">
        <v>19</v>
      </c>
      <c r="S235" s="181"/>
      <c r="T235" s="181"/>
      <c r="U235" s="182"/>
      <c r="V235" s="182" t="s">
        <v>35</v>
      </c>
      <c r="W235" s="183">
        <v>50</v>
      </c>
      <c r="X235" s="182" t="s">
        <v>51</v>
      </c>
      <c r="Y235" s="184"/>
      <c r="Z235" s="184"/>
      <c r="AA235" s="184"/>
      <c r="AB235" s="184"/>
      <c r="AC235" s="184"/>
      <c r="AD235" s="184"/>
      <c r="AE235" s="184"/>
      <c r="AF235" s="184"/>
      <c r="AG235" s="184"/>
      <c r="AH235" s="184"/>
      <c r="AI235" s="184"/>
      <c r="AJ235" s="184"/>
      <c r="AK235" s="184"/>
      <c r="AL235" s="184"/>
      <c r="AM235" s="184"/>
      <c r="AN235" s="184"/>
      <c r="AO235" s="184"/>
      <c r="AP235" s="184"/>
      <c r="AQ235" s="184"/>
      <c r="AR235" s="184"/>
      <c r="AS235" s="184"/>
      <c r="AT235" s="184"/>
      <c r="AU235" s="184"/>
      <c r="AV235" s="184"/>
      <c r="AW235" s="184"/>
      <c r="AX235" s="184"/>
      <c r="AY235" s="184"/>
      <c r="AZ235" s="184"/>
      <c r="BA235" s="184"/>
      <c r="BB235" s="184">
        <v>2230</v>
      </c>
      <c r="BC235" s="184">
        <v>2230</v>
      </c>
      <c r="BD235" s="184">
        <v>2230</v>
      </c>
      <c r="BE235" s="184">
        <v>2230</v>
      </c>
      <c r="BF235" s="184">
        <v>2080</v>
      </c>
      <c r="BG235" s="184">
        <v>2080</v>
      </c>
      <c r="BH235" s="184">
        <v>2080</v>
      </c>
      <c r="BI235" s="184"/>
      <c r="BJ235" s="184"/>
      <c r="BK235" s="184"/>
      <c r="BL235" s="184">
        <v>2160</v>
      </c>
      <c r="BM235" s="184">
        <v>2240</v>
      </c>
      <c r="BN235" s="184">
        <v>2240</v>
      </c>
      <c r="BO235" s="184">
        <v>2360</v>
      </c>
      <c r="BP235" s="184">
        <v>2310</v>
      </c>
      <c r="BQ235" s="184">
        <v>2310</v>
      </c>
      <c r="BR235" s="184"/>
      <c r="BS235" s="184"/>
      <c r="BT235" s="184"/>
      <c r="BU235" s="146" cm="1">
        <f t="array" ref="BU235">LOOKUP(2,1/(Y235:BT235&lt;&gt;""),Y235:BH235)</f>
        <v>2310</v>
      </c>
      <c r="BV235" s="145" cm="1">
        <f t="array" aca="1" ref="BV235" ca="1">_xlfn.LET(
    _xlpm.last_col_idx, LOOKUP(2, 1/(Y235:BT235&lt;&gt;""), COLUMN(Y235:BT235) - COLUMN(Y235) + 1),
    _xlpm.header_val, INDEX($Y$3:$BT$3, 1, _xlpm.last_col_idx),
    _xlpm.header_date, IF(ISNUMBER(_xlpm.header_val), _xlpm.header_val, DATEVALUE(_xlpm.header_val)),
    IF(_xlpm.header_date &gt; TODAY(), TODAY(), _xlpm.header_date)
)</f>
        <v>46212</v>
      </c>
      <c r="BW235" s="209" cm="1">
        <f t="array" ref="BW235">(LOOKUP(2,1/(BH235:BT235&lt;&gt;""),BH235:BT235))/(INDEX(BH235:BT235,MATCH(TRUE,INDEX((BH235:BT235&lt;&gt;0),0),0)))-1</f>
        <v>0.11057692307692313</v>
      </c>
      <c r="BX235" s="210">
        <f t="shared" si="42"/>
        <v>2.31</v>
      </c>
      <c r="BY235" s="210">
        <f t="shared" si="43"/>
        <v>13.629000000000001</v>
      </c>
      <c r="BZ235" s="210">
        <f ca="1">IF(L235="BR",'Impostos e Frete'!$F$6,IF(L235="EU",'Impostos e Frete'!$I$3,IF(L235="CN",'Impostos e Frete'!$I$4,IF(L235="JP",'Impostos e Frete'!$I$5,IF(L235="RU",'Impostos e Frete'!$I$7,"ERRO")))))</f>
        <v>0.1410816</v>
      </c>
      <c r="CA235" s="210">
        <f>VLOOKUP(L235,'Impostos e Frete'!$A$3:$B$7,2,0)*'Preços e Condições'!BY235</f>
        <v>1.7717700000000003</v>
      </c>
      <c r="CB235" s="147">
        <f t="shared" si="44"/>
        <v>0</v>
      </c>
      <c r="CC235" s="147">
        <f>IF(X235="BRL",'Impostos e Frete'!$B$11,'Impostos e Frete'!$B$12)</f>
        <v>9.1999999999999998E-2</v>
      </c>
      <c r="CD235" s="211">
        <f t="shared" ca="1" si="45"/>
        <v>15.633851600000002</v>
      </c>
      <c r="CE235" s="212">
        <f t="shared" ca="1" si="46"/>
        <v>1.0162003540000002</v>
      </c>
      <c r="CF235" s="213">
        <f>VLOOKUP(L235,'Impostos e Frete'!$A$3:$C$7,3,0)</f>
        <v>105</v>
      </c>
      <c r="CG235" s="213">
        <f t="shared" si="47"/>
        <v>60</v>
      </c>
      <c r="CH235" s="213">
        <f t="shared" si="48"/>
        <v>-45</v>
      </c>
      <c r="CI235" s="214">
        <f t="shared" ca="1" si="49"/>
        <v>0.35307748787518811</v>
      </c>
      <c r="CJ235" s="215">
        <f t="shared" ca="1" si="50"/>
        <v>15.98692908787519</v>
      </c>
      <c r="CK235" s="216">
        <f t="shared" ca="1" si="51"/>
        <v>1.0391503907118873</v>
      </c>
    </row>
    <row r="236" spans="1:92">
      <c r="A236" s="176">
        <v>17445</v>
      </c>
      <c r="B236" s="177">
        <v>301</v>
      </c>
      <c r="C236" s="178">
        <v>65</v>
      </c>
      <c r="D236" s="178">
        <v>1870</v>
      </c>
      <c r="E236" s="178" t="s">
        <v>50</v>
      </c>
      <c r="F236" s="179" t="s">
        <v>467</v>
      </c>
      <c r="G236" s="180" t="s">
        <v>339</v>
      </c>
      <c r="H236" s="178" t="s">
        <v>345</v>
      </c>
      <c r="I236" s="178">
        <v>301</v>
      </c>
      <c r="J236" s="178"/>
      <c r="K236" s="178"/>
      <c r="L236" s="178" t="s">
        <v>59</v>
      </c>
      <c r="M236" s="178">
        <v>60</v>
      </c>
      <c r="N236" s="178"/>
      <c r="O236" s="178"/>
      <c r="P236" s="178"/>
      <c r="Q236" s="178"/>
      <c r="R236" s="178" t="s">
        <v>19</v>
      </c>
      <c r="S236" s="181"/>
      <c r="T236" s="181"/>
      <c r="U236" s="182"/>
      <c r="V236" s="182" t="s">
        <v>35</v>
      </c>
      <c r="W236" s="183">
        <v>100</v>
      </c>
      <c r="X236" s="182" t="s">
        <v>51</v>
      </c>
      <c r="Y236" s="184"/>
      <c r="Z236" s="184"/>
      <c r="AA236" s="184"/>
      <c r="AB236" s="184"/>
      <c r="AC236" s="184"/>
      <c r="AD236" s="184"/>
      <c r="AE236" s="184"/>
      <c r="AF236" s="184"/>
      <c r="AG236" s="184"/>
      <c r="AH236" s="184"/>
      <c r="AI236" s="184"/>
      <c r="AJ236" s="184"/>
      <c r="AK236" s="184"/>
      <c r="AL236" s="184"/>
      <c r="AM236" s="184"/>
      <c r="AN236" s="184"/>
      <c r="AO236" s="184"/>
      <c r="AP236" s="184"/>
      <c r="AQ236" s="184"/>
      <c r="AR236" s="184"/>
      <c r="AS236" s="184"/>
      <c r="AT236" s="184"/>
      <c r="AU236" s="184"/>
      <c r="AV236" s="184"/>
      <c r="AW236" s="184"/>
      <c r="AX236" s="184"/>
      <c r="AY236" s="184"/>
      <c r="AZ236" s="184"/>
      <c r="BA236" s="184"/>
      <c r="BB236" s="184">
        <v>2080</v>
      </c>
      <c r="BC236" s="184">
        <v>2080</v>
      </c>
      <c r="BD236" s="184">
        <v>2080</v>
      </c>
      <c r="BE236" s="184">
        <v>2080</v>
      </c>
      <c r="BF236" s="184">
        <v>1930</v>
      </c>
      <c r="BG236" s="184">
        <v>1930</v>
      </c>
      <c r="BH236" s="184">
        <v>1930</v>
      </c>
      <c r="BI236" s="184"/>
      <c r="BJ236" s="184"/>
      <c r="BK236" s="184"/>
      <c r="BL236" s="184">
        <v>2010</v>
      </c>
      <c r="BM236" s="184">
        <v>2090</v>
      </c>
      <c r="BN236" s="184">
        <v>2090</v>
      </c>
      <c r="BO236" s="184">
        <v>2210</v>
      </c>
      <c r="BP236" s="184">
        <v>2160</v>
      </c>
      <c r="BQ236" s="184">
        <v>2160</v>
      </c>
      <c r="BR236" s="184"/>
      <c r="BS236" s="184"/>
      <c r="BT236" s="184"/>
      <c r="BU236" s="146" cm="1">
        <f t="array" ref="BU236">LOOKUP(2,1/(Y236:BT236&lt;&gt;""),Y236:BH236)</f>
        <v>2160</v>
      </c>
      <c r="BV236" s="145" cm="1">
        <f t="array" aca="1" ref="BV236" ca="1">_xlfn.LET(
    _xlpm.last_col_idx, LOOKUP(2, 1/(Y236:BT236&lt;&gt;""), COLUMN(Y236:BT236) - COLUMN(Y236) + 1),
    _xlpm.header_val, INDEX($Y$3:$BT$3, 1, _xlpm.last_col_idx),
    _xlpm.header_date, IF(ISNUMBER(_xlpm.header_val), _xlpm.header_val, DATEVALUE(_xlpm.header_val)),
    IF(_xlpm.header_date &gt; TODAY(), TODAY(), _xlpm.header_date)
)</f>
        <v>46212</v>
      </c>
      <c r="BW236" s="209" cm="1">
        <f t="array" ref="BW236">(LOOKUP(2,1/(BH236:BT236&lt;&gt;""),BH236:BT236))/(INDEX(BH236:BT236,MATCH(TRUE,INDEX((BH236:BT236&lt;&gt;0),0),0)))-1</f>
        <v>0.11917098445595853</v>
      </c>
      <c r="BX236" s="210">
        <f t="shared" si="42"/>
        <v>2.16</v>
      </c>
      <c r="BY236" s="210">
        <f t="shared" si="43"/>
        <v>12.744000000000002</v>
      </c>
      <c r="BZ236" s="210">
        <f ca="1">IF(L236="BR",'Impostos e Frete'!$F$6,IF(L236="EU",'Impostos e Frete'!$I$3,IF(L236="CN",'Impostos e Frete'!$I$4,IF(L236="JP",'Impostos e Frete'!$I$5,IF(L236="RU",'Impostos e Frete'!$I$7,"ERRO")))))</f>
        <v>0.1410816</v>
      </c>
      <c r="CA236" s="210">
        <f>VLOOKUP(L236,'Impostos e Frete'!$A$3:$B$7,2,0)*'Preços e Condições'!BY236</f>
        <v>1.6567200000000002</v>
      </c>
      <c r="CB236" s="147">
        <f t="shared" si="44"/>
        <v>0</v>
      </c>
      <c r="CC236" s="147">
        <f>IF(X236="BRL",'Impostos e Frete'!$B$11,'Impostos e Frete'!$B$12)</f>
        <v>9.1999999999999998E-2</v>
      </c>
      <c r="CD236" s="211">
        <f t="shared" ca="1" si="45"/>
        <v>14.633801600000002</v>
      </c>
      <c r="CE236" s="212">
        <f t="shared" ca="1" si="46"/>
        <v>0.95119710400000013</v>
      </c>
      <c r="CF236" s="213">
        <f>VLOOKUP(L236,'Impostos e Frete'!$A$3:$C$7,3,0)</f>
        <v>105</v>
      </c>
      <c r="CG236" s="213">
        <f t="shared" si="47"/>
        <v>60</v>
      </c>
      <c r="CH236" s="213">
        <f t="shared" si="48"/>
        <v>-45</v>
      </c>
      <c r="CI236" s="214">
        <f t="shared" ca="1" si="49"/>
        <v>0.33049219342672487</v>
      </c>
      <c r="CJ236" s="215">
        <f t="shared" ca="1" si="50"/>
        <v>14.964293793426727</v>
      </c>
      <c r="CK236" s="216">
        <f t="shared" ca="1" si="51"/>
        <v>0.97267909657273721</v>
      </c>
    </row>
    <row r="237" spans="1:92">
      <c r="A237" s="176">
        <v>17445</v>
      </c>
      <c r="B237" s="177">
        <v>301</v>
      </c>
      <c r="C237" s="178">
        <v>65</v>
      </c>
      <c r="D237" s="178">
        <v>1870</v>
      </c>
      <c r="E237" s="178" t="s">
        <v>50</v>
      </c>
      <c r="F237" s="179" t="s">
        <v>467</v>
      </c>
      <c r="G237" s="180" t="s">
        <v>339</v>
      </c>
      <c r="H237" s="178" t="s">
        <v>345</v>
      </c>
      <c r="I237" s="178">
        <v>301</v>
      </c>
      <c r="J237" s="178"/>
      <c r="K237" s="178"/>
      <c r="L237" s="178" t="s">
        <v>59</v>
      </c>
      <c r="M237" s="178">
        <v>60</v>
      </c>
      <c r="N237" s="178"/>
      <c r="O237" s="178"/>
      <c r="P237" s="178"/>
      <c r="Q237" s="178"/>
      <c r="R237" s="178" t="s">
        <v>19</v>
      </c>
      <c r="S237" s="181"/>
      <c r="T237" s="181"/>
      <c r="U237" s="182"/>
      <c r="V237" s="182" t="s">
        <v>35</v>
      </c>
      <c r="W237" s="183">
        <v>20</v>
      </c>
      <c r="X237" s="182" t="s">
        <v>51</v>
      </c>
      <c r="Y237" s="184"/>
      <c r="Z237" s="184"/>
      <c r="AA237" s="184"/>
      <c r="AB237" s="184"/>
      <c r="AC237" s="184"/>
      <c r="AD237" s="184"/>
      <c r="AE237" s="184"/>
      <c r="AF237" s="184"/>
      <c r="AG237" s="184"/>
      <c r="AH237" s="184"/>
      <c r="AI237" s="184"/>
      <c r="AJ237" s="184"/>
      <c r="AK237" s="184"/>
      <c r="AL237" s="184"/>
      <c r="AM237" s="184"/>
      <c r="AN237" s="184"/>
      <c r="AO237" s="184"/>
      <c r="AP237" s="184"/>
      <c r="AQ237" s="184"/>
      <c r="AR237" s="184"/>
      <c r="AS237" s="184"/>
      <c r="AT237" s="184"/>
      <c r="AU237" s="184"/>
      <c r="AV237" s="184"/>
      <c r="AW237" s="184"/>
      <c r="AX237" s="184"/>
      <c r="AY237" s="184"/>
      <c r="AZ237" s="184"/>
      <c r="BA237" s="184"/>
      <c r="BB237" s="184">
        <v>2380</v>
      </c>
      <c r="BC237" s="184">
        <v>2380</v>
      </c>
      <c r="BD237" s="184">
        <v>2380</v>
      </c>
      <c r="BE237" s="184">
        <v>2380</v>
      </c>
      <c r="BF237" s="184">
        <v>2230</v>
      </c>
      <c r="BG237" s="184">
        <v>2230</v>
      </c>
      <c r="BH237" s="184">
        <v>2230</v>
      </c>
      <c r="BI237" s="184"/>
      <c r="BJ237" s="184"/>
      <c r="BK237" s="184"/>
      <c r="BL237" s="184">
        <v>2310</v>
      </c>
      <c r="BM237" s="184">
        <v>2390</v>
      </c>
      <c r="BN237" s="184">
        <v>2390</v>
      </c>
      <c r="BO237" s="184">
        <v>2510</v>
      </c>
      <c r="BP237" s="184">
        <v>2460</v>
      </c>
      <c r="BQ237" s="184">
        <v>2460</v>
      </c>
      <c r="BR237" s="184"/>
      <c r="BS237" s="184"/>
      <c r="BT237" s="184"/>
      <c r="BU237" s="146" cm="1">
        <f t="array" ref="BU237">LOOKUP(2,1/(Y237:BT237&lt;&gt;""),Y237:BH237)</f>
        <v>2460</v>
      </c>
      <c r="BV237" s="145" cm="1">
        <f t="array" aca="1" ref="BV237" ca="1">_xlfn.LET(
    _xlpm.last_col_idx, LOOKUP(2, 1/(Y237:BT237&lt;&gt;""), COLUMN(Y237:BT237) - COLUMN(Y237) + 1),
    _xlpm.header_val, INDEX($Y$3:$BT$3, 1, _xlpm.last_col_idx),
    _xlpm.header_date, IF(ISNUMBER(_xlpm.header_val), _xlpm.header_val, DATEVALUE(_xlpm.header_val)),
    IF(_xlpm.header_date &gt; TODAY(), TODAY(), _xlpm.header_date)
)</f>
        <v>46212</v>
      </c>
      <c r="BW237" s="209" cm="1">
        <f t="array" ref="BW237">(LOOKUP(2,1/(BH237:BT237&lt;&gt;""),BH237:BT237))/(INDEX(BH237:BT237,MATCH(TRUE,INDEX((BH237:BT237&lt;&gt;0),0),0)))-1</f>
        <v>0.10313901345291487</v>
      </c>
      <c r="BX237" s="210">
        <f t="shared" si="42"/>
        <v>2.46</v>
      </c>
      <c r="BY237" s="210">
        <f t="shared" si="43"/>
        <v>14.514000000000001</v>
      </c>
      <c r="BZ237" s="210">
        <f ca="1">IF(L237="BR",'Impostos e Frete'!$F$6,IF(L237="EU",'Impostos e Frete'!$I$3,IF(L237="CN",'Impostos e Frete'!$I$4,IF(L237="JP",'Impostos e Frete'!$I$5,IF(L237="RU",'Impostos e Frete'!$I$7,"ERRO")))))</f>
        <v>0.1410816</v>
      </c>
      <c r="CA237" s="210">
        <f>VLOOKUP(L237,'Impostos e Frete'!$A$3:$B$7,2,0)*'Preços e Condições'!BY237</f>
        <v>1.8868200000000002</v>
      </c>
      <c r="CB237" s="147">
        <f t="shared" si="44"/>
        <v>0</v>
      </c>
      <c r="CC237" s="147">
        <f>IF(X237="BRL",'Impostos e Frete'!$B$11,'Impostos e Frete'!$B$12)</f>
        <v>9.1999999999999998E-2</v>
      </c>
      <c r="CD237" s="211">
        <f t="shared" ca="1" si="45"/>
        <v>16.633901600000002</v>
      </c>
      <c r="CE237" s="212">
        <f t="shared" ca="1" si="46"/>
        <v>1.0812036040000002</v>
      </c>
      <c r="CF237" s="213">
        <f>VLOOKUP(L237,'Impostos e Frete'!$A$3:$C$7,3,0)</f>
        <v>105</v>
      </c>
      <c r="CG237" s="213">
        <f t="shared" si="47"/>
        <v>60</v>
      </c>
      <c r="CH237" s="213">
        <f t="shared" si="48"/>
        <v>-45</v>
      </c>
      <c r="CI237" s="214">
        <f t="shared" ca="1" si="49"/>
        <v>0.37566278232365136</v>
      </c>
      <c r="CJ237" s="215">
        <f t="shared" ca="1" si="50"/>
        <v>17.009564382323653</v>
      </c>
      <c r="CK237" s="216">
        <f t="shared" ca="1" si="51"/>
        <v>1.1056216848510374</v>
      </c>
    </row>
    <row r="238" spans="1:92">
      <c r="A238" s="176">
        <v>18402</v>
      </c>
      <c r="B238" s="177">
        <v>104</v>
      </c>
      <c r="C238" s="178">
        <v>70</v>
      </c>
      <c r="D238" s="178">
        <v>1870</v>
      </c>
      <c r="E238" s="178" t="s">
        <v>50</v>
      </c>
      <c r="F238" s="179" t="s">
        <v>0</v>
      </c>
      <c r="G238" s="180" t="s">
        <v>71</v>
      </c>
      <c r="H238" s="178" t="s">
        <v>43</v>
      </c>
      <c r="I238" s="178"/>
      <c r="J238" s="178"/>
      <c r="K238" s="178"/>
      <c r="L238" s="178" t="s">
        <v>60</v>
      </c>
      <c r="M238" s="178">
        <v>90</v>
      </c>
      <c r="N238" s="178">
        <v>3300</v>
      </c>
      <c r="O238" s="178"/>
      <c r="P238" s="178"/>
      <c r="Q238" s="178"/>
      <c r="R238" s="178" t="s">
        <v>19</v>
      </c>
      <c r="S238" s="181"/>
      <c r="T238" s="181"/>
      <c r="U238" s="182"/>
      <c r="V238" s="182" t="s">
        <v>35</v>
      </c>
      <c r="W238" s="183">
        <v>100</v>
      </c>
      <c r="X238" s="182" t="s">
        <v>267</v>
      </c>
      <c r="Y238" s="184"/>
      <c r="Z238" s="184"/>
      <c r="AA238" s="184"/>
      <c r="AB238" s="184"/>
      <c r="AC238" s="184"/>
      <c r="AD238" s="184"/>
      <c r="AE238" s="184"/>
      <c r="AF238" s="184"/>
      <c r="AG238" s="184"/>
      <c r="AH238" s="184"/>
      <c r="AI238" s="184"/>
      <c r="AJ238" s="184"/>
      <c r="AK238" s="184"/>
      <c r="AL238" s="184"/>
      <c r="AM238" s="184"/>
      <c r="AN238" s="184"/>
      <c r="AO238" s="184"/>
      <c r="AP238" s="184"/>
      <c r="AQ238" s="184"/>
      <c r="AR238" s="184"/>
      <c r="AS238" s="184"/>
      <c r="AT238" s="184"/>
      <c r="AU238" s="184"/>
      <c r="AV238" s="184">
        <v>13600</v>
      </c>
      <c r="AW238" s="184">
        <v>13600</v>
      </c>
      <c r="AX238" s="184">
        <v>13600</v>
      </c>
      <c r="AY238" s="184">
        <v>13600</v>
      </c>
      <c r="AZ238" s="184">
        <v>13600</v>
      </c>
      <c r="BA238" s="184">
        <v>13600</v>
      </c>
      <c r="BB238" s="184">
        <v>12800</v>
      </c>
      <c r="BC238" s="184">
        <v>12800</v>
      </c>
      <c r="BD238" s="184">
        <v>12800</v>
      </c>
      <c r="BE238" s="184">
        <v>12800</v>
      </c>
      <c r="BF238" s="184">
        <v>12800</v>
      </c>
      <c r="BG238" s="184">
        <v>11650</v>
      </c>
      <c r="BH238" s="184">
        <v>11650</v>
      </c>
      <c r="BI238" s="184">
        <v>11650</v>
      </c>
      <c r="BJ238" s="184"/>
      <c r="BK238" s="184"/>
      <c r="BL238" s="184"/>
      <c r="BM238" s="184"/>
      <c r="BN238" s="184"/>
      <c r="BO238" s="184"/>
      <c r="BP238" s="184"/>
      <c r="BQ238" s="184"/>
      <c r="BR238" s="184"/>
      <c r="BS238" s="184"/>
      <c r="BT238" s="184"/>
      <c r="BU238" s="146" cm="1">
        <f t="array" ref="BU238">LOOKUP(2,1/(Y238:BT238&lt;&gt;""),Y238:BH238)</f>
        <v>11650</v>
      </c>
      <c r="BV238" s="145" cm="1">
        <f t="array" aca="1" ref="BV238" ca="1">_xlfn.LET(
    _xlpm.last_col_idx, LOOKUP(2, 1/(Y238:BT238&lt;&gt;""), COLUMN(Y238:BT238) - COLUMN(Y238) + 1),
    _xlpm.header_val, INDEX($Y$3:$BT$3, 1, _xlpm.last_col_idx),
    _xlpm.header_date, IF(ISNUMBER(_xlpm.header_val), _xlpm.header_val, DATEVALUE(_xlpm.header_val)),
    IF(_xlpm.header_date &gt; TODAY(), TODAY(), _xlpm.header_date)
)</f>
        <v>46023</v>
      </c>
      <c r="BW238" s="209" cm="1">
        <f t="array" ref="BW238">(LOOKUP(2,1/(BH238:BT238&lt;&gt;""),BH238:BT238))/(INDEX(BH238:BT238,MATCH(TRUE,INDEX((BH238:BT238&lt;&gt;0),0),0)))-1</f>
        <v>0</v>
      </c>
      <c r="BX238" s="210">
        <f t="shared" si="42"/>
        <v>11.65</v>
      </c>
      <c r="BY238" s="210">
        <f t="shared" si="43"/>
        <v>8.7375000000000007</v>
      </c>
      <c r="BZ238" s="210">
        <f ca="1">IF(L238="BR",'Impostos e Frete'!$F$6,IF(L238="EU",'Impostos e Frete'!$I$3,IF(L238="CN",'Impostos e Frete'!$I$4,IF(L238="JP",'Impostos e Frete'!$I$5,IF(L238="RU",'Impostos e Frete'!$I$7,"ERRO")))))</f>
        <v>1.1330439999999999</v>
      </c>
      <c r="CA238" s="210">
        <f>VLOOKUP(L238,'Impostos e Frete'!$A$3:$B$7,2,0)*'Preços e Condições'!BY238</f>
        <v>1.2232500000000002</v>
      </c>
      <c r="CB238" s="147">
        <f t="shared" si="44"/>
        <v>0</v>
      </c>
      <c r="CC238" s="147">
        <f>IF(X238="BRL",'Impostos e Frete'!$B$11,'Impostos e Frete'!$B$12)</f>
        <v>9.1999999999999998E-2</v>
      </c>
      <c r="CD238" s="211">
        <f t="shared" ca="1" si="45"/>
        <v>11.185794000000001</v>
      </c>
      <c r="CE238" s="212">
        <f t="shared" ca="1" si="46"/>
        <v>0.78300558000000009</v>
      </c>
      <c r="CF238" s="213">
        <f>VLOOKUP(L238,'Impostos e Frete'!$A$3:$C$7,3,0)</f>
        <v>120</v>
      </c>
      <c r="CG238" s="213">
        <f t="shared" si="47"/>
        <v>90</v>
      </c>
      <c r="CH238" s="213">
        <f t="shared" si="48"/>
        <v>-30</v>
      </c>
      <c r="CI238" s="214">
        <f t="shared" ca="1" si="49"/>
        <v>0.16778690999999846</v>
      </c>
      <c r="CJ238" s="215">
        <f t="shared" ca="1" si="50"/>
        <v>11.35358091</v>
      </c>
      <c r="CK238" s="216">
        <f t="shared" ca="1" si="51"/>
        <v>0.79475066369999992</v>
      </c>
    </row>
    <row r="239" spans="1:92">
      <c r="A239" s="176">
        <v>18402</v>
      </c>
      <c r="B239" s="177">
        <v>104</v>
      </c>
      <c r="C239" s="178">
        <v>70</v>
      </c>
      <c r="D239" s="178">
        <v>1870</v>
      </c>
      <c r="E239" s="178" t="s">
        <v>50</v>
      </c>
      <c r="F239" s="179" t="s">
        <v>0</v>
      </c>
      <c r="G239" s="180" t="s">
        <v>71</v>
      </c>
      <c r="H239" s="178" t="s">
        <v>43</v>
      </c>
      <c r="I239" s="178"/>
      <c r="J239" s="178"/>
      <c r="K239" s="178"/>
      <c r="L239" s="178" t="s">
        <v>60</v>
      </c>
      <c r="M239" s="178">
        <v>90</v>
      </c>
      <c r="N239" s="178">
        <v>400</v>
      </c>
      <c r="O239" s="178"/>
      <c r="P239" s="178"/>
      <c r="Q239" s="178"/>
      <c r="R239" s="178" t="s">
        <v>19</v>
      </c>
      <c r="S239" s="181"/>
      <c r="T239" s="181"/>
      <c r="U239" s="182"/>
      <c r="V239" s="182" t="s">
        <v>35</v>
      </c>
      <c r="W239" s="183">
        <v>100</v>
      </c>
      <c r="X239" s="182" t="s">
        <v>51</v>
      </c>
      <c r="Y239" s="184">
        <v>2000</v>
      </c>
      <c r="Z239" s="184">
        <v>2000</v>
      </c>
      <c r="AA239" s="184">
        <v>2000</v>
      </c>
      <c r="AB239" s="184">
        <v>2000</v>
      </c>
      <c r="AC239" s="184">
        <v>2000</v>
      </c>
      <c r="AD239" s="184">
        <v>2000</v>
      </c>
      <c r="AE239" s="184">
        <v>1920</v>
      </c>
      <c r="AF239" s="184">
        <v>1860</v>
      </c>
      <c r="AG239" s="184">
        <v>1860</v>
      </c>
      <c r="AH239" s="184">
        <v>1860</v>
      </c>
      <c r="AI239" s="184">
        <v>1860</v>
      </c>
      <c r="AJ239" s="184">
        <v>1860</v>
      </c>
      <c r="AK239" s="184">
        <v>1860</v>
      </c>
      <c r="AL239" s="184">
        <v>1860</v>
      </c>
      <c r="AM239" s="184">
        <v>1860</v>
      </c>
      <c r="AN239" s="184">
        <v>1830</v>
      </c>
      <c r="AO239" s="184">
        <v>1800</v>
      </c>
      <c r="AP239" s="184">
        <v>1800</v>
      </c>
      <c r="AQ239" s="184">
        <v>1800</v>
      </c>
      <c r="AR239" s="184">
        <v>1800</v>
      </c>
      <c r="AS239" s="184">
        <v>1800</v>
      </c>
      <c r="AT239" s="184">
        <v>1800</v>
      </c>
      <c r="AU239" s="184">
        <v>1800</v>
      </c>
      <c r="AV239" s="184">
        <v>1800</v>
      </c>
      <c r="AW239" s="184">
        <v>1760</v>
      </c>
      <c r="AX239" s="184">
        <v>1760</v>
      </c>
      <c r="AY239" s="184">
        <v>1760</v>
      </c>
      <c r="AZ239" s="184"/>
      <c r="BA239" s="184"/>
      <c r="BB239" s="184"/>
      <c r="BC239" s="184"/>
      <c r="BD239" s="184"/>
      <c r="BE239" s="184"/>
      <c r="BF239" s="184"/>
      <c r="BG239" s="184"/>
      <c r="BH239" s="184"/>
      <c r="BI239" s="184"/>
      <c r="BJ239" s="184"/>
      <c r="BK239" s="184"/>
      <c r="BL239" s="184"/>
      <c r="BM239" s="184"/>
      <c r="BN239" s="184"/>
      <c r="BO239" s="184"/>
      <c r="BP239" s="184"/>
      <c r="BQ239" s="184"/>
      <c r="BR239" s="184"/>
      <c r="BS239" s="184"/>
      <c r="BT239" s="184"/>
      <c r="BU239" s="146" cm="1">
        <f t="array" ref="BU239">LOOKUP(2,1/(Y239:BT239&lt;&gt;""),Y239:BH239)</f>
        <v>1760</v>
      </c>
      <c r="BV239" s="145" cm="1">
        <f t="array" aca="1" ref="BV239" ca="1">_xlfn.LET(
    _xlpm.last_col_idx, LOOKUP(2, 1/(Y239:BT239&lt;&gt;""), COLUMN(Y239:BT239) - COLUMN(Y239) + 1),
    _xlpm.header_val, INDEX($Y$3:$BT$3, 1, _xlpm.last_col_idx),
    _xlpm.header_date, IF(ISNUMBER(_xlpm.header_val), _xlpm.header_val, DATEVALUE(_xlpm.header_val)),
    IF(_xlpm.header_date &gt; TODAY(), TODAY(), _xlpm.header_date)
)</f>
        <v>45717</v>
      </c>
      <c r="BW239" s="209" t="e" cm="1">
        <f t="array" ref="BW239">(LOOKUP(2,1/(BH239:BT239&lt;&gt;""),BH239:BT239))/(INDEX(BH239:BT239,MATCH(TRUE,INDEX((BH239:BT239&lt;&gt;0),0),0)))-1</f>
        <v>#N/A</v>
      </c>
      <c r="BX239" s="210">
        <f t="shared" si="42"/>
        <v>1.76</v>
      </c>
      <c r="BY239" s="210">
        <f t="shared" si="43"/>
        <v>10.384</v>
      </c>
      <c r="BZ239" s="210">
        <f ca="1">IF(L239="BR",'Impostos e Frete'!$F$6,IF(L239="EU",'Impostos e Frete'!$I$3,IF(L239="CN",'Impostos e Frete'!$I$4,IF(L239="JP",'Impostos e Frete'!$I$5,IF(L239="RU",'Impostos e Frete'!$I$7,"ERRO")))))</f>
        <v>1.1330439999999999</v>
      </c>
      <c r="CA239" s="210">
        <f>VLOOKUP(L239,'Impostos e Frete'!$A$3:$B$7,2,0)*'Preços e Condições'!BY239</f>
        <v>1.4537600000000002</v>
      </c>
      <c r="CB239" s="147">
        <f t="shared" si="44"/>
        <v>0</v>
      </c>
      <c r="CC239" s="147">
        <f>IF(X239="BRL",'Impostos e Frete'!$B$11,'Impostos e Frete'!$B$12)</f>
        <v>9.1999999999999998E-2</v>
      </c>
      <c r="CD239" s="211">
        <f t="shared" ca="1" si="45"/>
        <v>13.062804000000002</v>
      </c>
      <c r="CE239" s="212">
        <f t="shared" ca="1" si="46"/>
        <v>0.91439628000000006</v>
      </c>
      <c r="CF239" s="213">
        <f>VLOOKUP(L239,'Impostos e Frete'!$A$3:$C$7,3,0)</f>
        <v>120</v>
      </c>
      <c r="CG239" s="213">
        <f t="shared" si="47"/>
        <v>90</v>
      </c>
      <c r="CH239" s="213">
        <f t="shared" si="48"/>
        <v>-30</v>
      </c>
      <c r="CI239" s="214">
        <f t="shared" ca="1" si="49"/>
        <v>0.19594205999999836</v>
      </c>
      <c r="CJ239" s="215">
        <f t="shared" ca="1" si="50"/>
        <v>13.25874606</v>
      </c>
      <c r="CK239" s="216">
        <f t="shared" ca="1" si="51"/>
        <v>0.92811222419999995</v>
      </c>
    </row>
    <row r="240" spans="1:92">
      <c r="A240" s="176">
        <v>18403</v>
      </c>
      <c r="B240" s="177">
        <v>104</v>
      </c>
      <c r="C240" s="178">
        <v>80</v>
      </c>
      <c r="D240" s="178">
        <v>1860</v>
      </c>
      <c r="E240" s="178" t="s">
        <v>49</v>
      </c>
      <c r="F240" s="179" t="s">
        <v>0</v>
      </c>
      <c r="G240" s="180" t="s">
        <v>71</v>
      </c>
      <c r="H240" s="178" t="s">
        <v>43</v>
      </c>
      <c r="I240" s="178"/>
      <c r="J240" s="178"/>
      <c r="K240" s="178"/>
      <c r="L240" s="178" t="s">
        <v>60</v>
      </c>
      <c r="M240" s="178">
        <v>90</v>
      </c>
      <c r="N240" s="178">
        <v>3300</v>
      </c>
      <c r="O240" s="178"/>
      <c r="P240" s="178"/>
      <c r="Q240" s="178"/>
      <c r="R240" s="178" t="s">
        <v>19</v>
      </c>
      <c r="S240" s="181"/>
      <c r="T240" s="181"/>
      <c r="U240" s="182"/>
      <c r="V240" s="182" t="s">
        <v>35</v>
      </c>
      <c r="W240" s="183">
        <v>100</v>
      </c>
      <c r="X240" s="182" t="s">
        <v>267</v>
      </c>
      <c r="Y240" s="184"/>
      <c r="Z240" s="184"/>
      <c r="AA240" s="184"/>
      <c r="AB240" s="184"/>
      <c r="AC240" s="184"/>
      <c r="AD240" s="184"/>
      <c r="AE240" s="184"/>
      <c r="AF240" s="184"/>
      <c r="AG240" s="184"/>
      <c r="AH240" s="184"/>
      <c r="AI240" s="184"/>
      <c r="AJ240" s="184"/>
      <c r="AK240" s="184"/>
      <c r="AL240" s="184"/>
      <c r="AM240" s="184"/>
      <c r="AN240" s="184"/>
      <c r="AO240" s="184"/>
      <c r="AP240" s="184"/>
      <c r="AQ240" s="184"/>
      <c r="AR240" s="184"/>
      <c r="AS240" s="184"/>
      <c r="AT240" s="184"/>
      <c r="AU240" s="184"/>
      <c r="AV240" s="184">
        <v>13400</v>
      </c>
      <c r="AW240" s="184">
        <v>13400</v>
      </c>
      <c r="AX240" s="184">
        <v>13400</v>
      </c>
      <c r="AY240" s="184">
        <v>13400</v>
      </c>
      <c r="AZ240" s="184">
        <v>13400</v>
      </c>
      <c r="BA240" s="184">
        <v>13400</v>
      </c>
      <c r="BB240" s="184">
        <v>12400</v>
      </c>
      <c r="BC240" s="184">
        <v>12400</v>
      </c>
      <c r="BD240" s="184">
        <v>12400</v>
      </c>
      <c r="BE240" s="184">
        <v>12400</v>
      </c>
      <c r="BF240" s="184">
        <v>12400</v>
      </c>
      <c r="BG240" s="184">
        <v>11650</v>
      </c>
      <c r="BH240" s="184">
        <v>11650</v>
      </c>
      <c r="BI240" s="184">
        <v>11650</v>
      </c>
      <c r="BJ240" s="184"/>
      <c r="BK240" s="184"/>
      <c r="BL240" s="184"/>
      <c r="BM240" s="184"/>
      <c r="BN240" s="184"/>
      <c r="BO240" s="184"/>
      <c r="BP240" s="184"/>
      <c r="BQ240" s="184"/>
      <c r="BR240" s="184"/>
      <c r="BS240" s="184"/>
      <c r="BT240" s="184"/>
      <c r="BU240" s="146" cm="1">
        <f t="array" ref="BU240">LOOKUP(2,1/(Y240:BT240&lt;&gt;""),Y240:BH240)</f>
        <v>11650</v>
      </c>
      <c r="BV240" s="145" cm="1">
        <f t="array" aca="1" ref="BV240" ca="1">_xlfn.LET(
    _xlpm.last_col_idx, LOOKUP(2, 1/(Y240:BT240&lt;&gt;""), COLUMN(Y240:BT240) - COLUMN(Y240) + 1),
    _xlpm.header_val, INDEX($Y$3:$BT$3, 1, _xlpm.last_col_idx),
    _xlpm.header_date, IF(ISNUMBER(_xlpm.header_val), _xlpm.header_val, DATEVALUE(_xlpm.header_val)),
    IF(_xlpm.header_date &gt; TODAY(), TODAY(), _xlpm.header_date)
)</f>
        <v>46023</v>
      </c>
      <c r="BW240" s="209" cm="1">
        <f t="array" ref="BW240">(LOOKUP(2,1/(BH240:BT240&lt;&gt;""),BH240:BT240))/(INDEX(BH240:BT240,MATCH(TRUE,INDEX((BH240:BT240&lt;&gt;0),0),0)))-1</f>
        <v>0</v>
      </c>
      <c r="BX240" s="210">
        <f t="shared" si="42"/>
        <v>11.65</v>
      </c>
      <c r="BY240" s="210">
        <f t="shared" si="43"/>
        <v>8.7375000000000007</v>
      </c>
      <c r="BZ240" s="210">
        <f ca="1">IF(L240="BR",'Impostos e Frete'!$F$6,IF(L240="EU",'Impostos e Frete'!$I$3,IF(L240="CN",'Impostos e Frete'!$I$4,IF(L240="JP",'Impostos e Frete'!$I$5,IF(L240="RU",'Impostos e Frete'!$I$7,"ERRO")))))</f>
        <v>1.1330439999999999</v>
      </c>
      <c r="CA240" s="210">
        <f>VLOOKUP(L240,'Impostos e Frete'!$A$3:$B$7,2,0)*'Preços e Condições'!BY240</f>
        <v>1.2232500000000002</v>
      </c>
      <c r="CB240" s="147">
        <f t="shared" si="44"/>
        <v>0</v>
      </c>
      <c r="CC240" s="147">
        <f>IF(X240="BRL",'Impostos e Frete'!$B$11,'Impostos e Frete'!$B$12)</f>
        <v>9.1999999999999998E-2</v>
      </c>
      <c r="CD240" s="211">
        <f t="shared" ca="1" si="45"/>
        <v>11.185794000000001</v>
      </c>
      <c r="CE240" s="212">
        <f t="shared" ca="1" si="46"/>
        <v>0.89486352000000002</v>
      </c>
      <c r="CF240" s="213">
        <f>VLOOKUP(L240,'Impostos e Frete'!$A$3:$C$7,3,0)</f>
        <v>120</v>
      </c>
      <c r="CG240" s="213">
        <f t="shared" si="47"/>
        <v>90</v>
      </c>
      <c r="CH240" s="213">
        <f t="shared" si="48"/>
        <v>-30</v>
      </c>
      <c r="CI240" s="214">
        <f t="shared" ca="1" si="49"/>
        <v>0.16778690999999846</v>
      </c>
      <c r="CJ240" s="215">
        <f t="shared" ca="1" si="50"/>
        <v>11.35358091</v>
      </c>
      <c r="CK240" s="216">
        <f t="shared" ca="1" si="51"/>
        <v>0.90828647279999997</v>
      </c>
    </row>
    <row r="241" spans="1:89">
      <c r="A241" s="176">
        <v>18403</v>
      </c>
      <c r="B241" s="177">
        <v>104</v>
      </c>
      <c r="C241" s="178">
        <v>80</v>
      </c>
      <c r="D241" s="178">
        <v>1860</v>
      </c>
      <c r="E241" s="178" t="s">
        <v>49</v>
      </c>
      <c r="F241" s="179" t="s">
        <v>0</v>
      </c>
      <c r="G241" s="180" t="s">
        <v>71</v>
      </c>
      <c r="H241" s="178" t="s">
        <v>43</v>
      </c>
      <c r="I241" s="178"/>
      <c r="J241" s="178"/>
      <c r="K241" s="178"/>
      <c r="L241" s="178" t="s">
        <v>60</v>
      </c>
      <c r="M241" s="178">
        <v>90</v>
      </c>
      <c r="N241" s="178">
        <v>400</v>
      </c>
      <c r="O241" s="178"/>
      <c r="P241" s="178"/>
      <c r="Q241" s="178"/>
      <c r="R241" s="178" t="s">
        <v>19</v>
      </c>
      <c r="S241" s="181"/>
      <c r="T241" s="181"/>
      <c r="U241" s="182"/>
      <c r="V241" s="182" t="s">
        <v>35</v>
      </c>
      <c r="W241" s="183">
        <v>100</v>
      </c>
      <c r="X241" s="182" t="s">
        <v>51</v>
      </c>
      <c r="Y241" s="184">
        <v>2000</v>
      </c>
      <c r="Z241" s="184">
        <v>2000</v>
      </c>
      <c r="AA241" s="184">
        <v>2000</v>
      </c>
      <c r="AB241" s="184">
        <v>2000</v>
      </c>
      <c r="AC241" s="184">
        <v>2000</v>
      </c>
      <c r="AD241" s="184">
        <v>2000</v>
      </c>
      <c r="AE241" s="184">
        <v>1920</v>
      </c>
      <c r="AF241" s="184">
        <v>1860</v>
      </c>
      <c r="AG241" s="184">
        <v>1860</v>
      </c>
      <c r="AH241" s="184">
        <v>1860</v>
      </c>
      <c r="AI241" s="184">
        <v>1860</v>
      </c>
      <c r="AJ241" s="184">
        <v>1860</v>
      </c>
      <c r="AK241" s="184">
        <v>1860</v>
      </c>
      <c r="AL241" s="184">
        <v>1860</v>
      </c>
      <c r="AM241" s="184">
        <v>1860</v>
      </c>
      <c r="AN241" s="184">
        <v>1830</v>
      </c>
      <c r="AO241" s="184">
        <v>1780</v>
      </c>
      <c r="AP241" s="184">
        <v>1780</v>
      </c>
      <c r="AQ241" s="184">
        <v>1780</v>
      </c>
      <c r="AR241" s="184">
        <v>1780</v>
      </c>
      <c r="AS241" s="184">
        <v>1780</v>
      </c>
      <c r="AT241" s="184">
        <v>1780</v>
      </c>
      <c r="AU241" s="184">
        <v>1780</v>
      </c>
      <c r="AV241" s="184">
        <v>1780</v>
      </c>
      <c r="AW241" s="184">
        <v>1730</v>
      </c>
      <c r="AX241" s="184">
        <v>1730</v>
      </c>
      <c r="AY241" s="184">
        <v>1730</v>
      </c>
      <c r="AZ241" s="184"/>
      <c r="BA241" s="184"/>
      <c r="BB241" s="184"/>
      <c r="BC241" s="184"/>
      <c r="BD241" s="184"/>
      <c r="BE241" s="184"/>
      <c r="BF241" s="184"/>
      <c r="BG241" s="184"/>
      <c r="BH241" s="184"/>
      <c r="BI241" s="184"/>
      <c r="BJ241" s="184"/>
      <c r="BK241" s="184"/>
      <c r="BL241" s="184"/>
      <c r="BM241" s="184"/>
      <c r="BN241" s="184"/>
      <c r="BO241" s="184"/>
      <c r="BP241" s="184"/>
      <c r="BQ241" s="184"/>
      <c r="BR241" s="184"/>
      <c r="BS241" s="184"/>
      <c r="BT241" s="184"/>
      <c r="BU241" s="146" cm="1">
        <f t="array" ref="BU241">LOOKUP(2,1/(Y241:BT241&lt;&gt;""),Y241:BH241)</f>
        <v>1730</v>
      </c>
      <c r="BV241" s="145" cm="1">
        <f t="array" aca="1" ref="BV241" ca="1">_xlfn.LET(
    _xlpm.last_col_idx, LOOKUP(2, 1/(Y241:BT241&lt;&gt;""), COLUMN(Y241:BT241) - COLUMN(Y241) + 1),
    _xlpm.header_val, INDEX($Y$3:$BT$3, 1, _xlpm.last_col_idx),
    _xlpm.header_date, IF(ISNUMBER(_xlpm.header_val), _xlpm.header_val, DATEVALUE(_xlpm.header_val)),
    IF(_xlpm.header_date &gt; TODAY(), TODAY(), _xlpm.header_date)
)</f>
        <v>45717</v>
      </c>
      <c r="BW241" s="209" t="e" cm="1">
        <f t="array" ref="BW241">(LOOKUP(2,1/(BH241:BT241&lt;&gt;""),BH241:BT241))/(INDEX(BH241:BT241,MATCH(TRUE,INDEX((BH241:BT241&lt;&gt;0),0),0)))-1</f>
        <v>#N/A</v>
      </c>
      <c r="BX241" s="210">
        <f t="shared" si="42"/>
        <v>1.73</v>
      </c>
      <c r="BY241" s="210">
        <f t="shared" si="43"/>
        <v>10.207000000000001</v>
      </c>
      <c r="BZ241" s="210">
        <f ca="1">IF(L241="BR",'Impostos e Frete'!$F$6,IF(L241="EU",'Impostos e Frete'!$I$3,IF(L241="CN",'Impostos e Frete'!$I$4,IF(L241="JP",'Impostos e Frete'!$I$5,IF(L241="RU",'Impostos e Frete'!$I$7,"ERRO")))))</f>
        <v>1.1330439999999999</v>
      </c>
      <c r="CA241" s="210">
        <f>VLOOKUP(L241,'Impostos e Frete'!$A$3:$B$7,2,0)*'Preços e Condições'!BY241</f>
        <v>1.4289800000000001</v>
      </c>
      <c r="CB241" s="147">
        <f t="shared" si="44"/>
        <v>0</v>
      </c>
      <c r="CC241" s="147">
        <f>IF(X241="BRL",'Impostos e Frete'!$B$11,'Impostos e Frete'!$B$12)</f>
        <v>9.1999999999999998E-2</v>
      </c>
      <c r="CD241" s="211">
        <f t="shared" ca="1" si="45"/>
        <v>12.861024000000002</v>
      </c>
      <c r="CE241" s="212">
        <f t="shared" ca="1" si="46"/>
        <v>1.0288819200000001</v>
      </c>
      <c r="CF241" s="213">
        <f>VLOOKUP(L241,'Impostos e Frete'!$A$3:$C$7,3,0)</f>
        <v>120</v>
      </c>
      <c r="CG241" s="213">
        <f t="shared" si="47"/>
        <v>90</v>
      </c>
      <c r="CH241" s="213">
        <f t="shared" si="48"/>
        <v>-30</v>
      </c>
      <c r="CI241" s="214">
        <f t="shared" ca="1" si="49"/>
        <v>0.19291535999999887</v>
      </c>
      <c r="CJ241" s="215">
        <f t="shared" ca="1" si="50"/>
        <v>13.053939360000001</v>
      </c>
      <c r="CK241" s="216">
        <f t="shared" ca="1" si="51"/>
        <v>1.0443151488</v>
      </c>
    </row>
    <row r="242" spans="1:89">
      <c r="A242" s="176">
        <v>18405</v>
      </c>
      <c r="B242" s="177">
        <v>104</v>
      </c>
      <c r="C242" s="178">
        <v>80</v>
      </c>
      <c r="D242" s="178">
        <v>1270</v>
      </c>
      <c r="E242" s="178" t="s">
        <v>49</v>
      </c>
      <c r="F242" s="179" t="s">
        <v>0</v>
      </c>
      <c r="G242" s="180" t="s">
        <v>71</v>
      </c>
      <c r="H242" s="178" t="s">
        <v>43</v>
      </c>
      <c r="I242" s="178"/>
      <c r="J242" s="178"/>
      <c r="K242" s="178"/>
      <c r="L242" s="178" t="s">
        <v>60</v>
      </c>
      <c r="M242" s="178">
        <v>90</v>
      </c>
      <c r="N242" s="178">
        <v>3300</v>
      </c>
      <c r="O242" s="178"/>
      <c r="P242" s="178"/>
      <c r="Q242" s="178"/>
      <c r="R242" s="178" t="s">
        <v>19</v>
      </c>
      <c r="S242" s="181"/>
      <c r="T242" s="181"/>
      <c r="U242" s="182"/>
      <c r="V242" s="182" t="s">
        <v>35</v>
      </c>
      <c r="W242" s="183">
        <v>100</v>
      </c>
      <c r="X242" s="182" t="s">
        <v>267</v>
      </c>
      <c r="Y242" s="184"/>
      <c r="Z242" s="184"/>
      <c r="AA242" s="184"/>
      <c r="AB242" s="184"/>
      <c r="AC242" s="184"/>
      <c r="AD242" s="184"/>
      <c r="AE242" s="184"/>
      <c r="AF242" s="184"/>
      <c r="AG242" s="184"/>
      <c r="AH242" s="184"/>
      <c r="AI242" s="184"/>
      <c r="AJ242" s="184"/>
      <c r="AK242" s="184"/>
      <c r="AL242" s="184"/>
      <c r="AM242" s="184"/>
      <c r="AN242" s="184"/>
      <c r="AO242" s="184"/>
      <c r="AP242" s="184"/>
      <c r="AQ242" s="184"/>
      <c r="AR242" s="184"/>
      <c r="AS242" s="184"/>
      <c r="AT242" s="184"/>
      <c r="AU242" s="184"/>
      <c r="AV242" s="184">
        <v>13400</v>
      </c>
      <c r="AW242" s="184">
        <v>13400</v>
      </c>
      <c r="AX242" s="184">
        <v>13400</v>
      </c>
      <c r="AY242" s="184">
        <v>13400</v>
      </c>
      <c r="AZ242" s="184">
        <v>13400</v>
      </c>
      <c r="BA242" s="184">
        <v>13400</v>
      </c>
      <c r="BB242" s="184">
        <v>12400</v>
      </c>
      <c r="BC242" s="184">
        <v>12400</v>
      </c>
      <c r="BD242" s="184">
        <v>12400</v>
      </c>
      <c r="BE242" s="184">
        <v>12400</v>
      </c>
      <c r="BF242" s="184">
        <v>12400</v>
      </c>
      <c r="BG242" s="184">
        <v>11650</v>
      </c>
      <c r="BH242" s="184">
        <v>11650</v>
      </c>
      <c r="BI242" s="184">
        <v>11650</v>
      </c>
      <c r="BJ242" s="184"/>
      <c r="BK242" s="184"/>
      <c r="BL242" s="184"/>
      <c r="BM242" s="184"/>
      <c r="BN242" s="184"/>
      <c r="BO242" s="184"/>
      <c r="BP242" s="184"/>
      <c r="BQ242" s="184"/>
      <c r="BR242" s="184"/>
      <c r="BS242" s="184"/>
      <c r="BT242" s="184"/>
      <c r="BU242" s="146" cm="1">
        <f t="array" ref="BU242">LOOKUP(2,1/(Y242:BT242&lt;&gt;""),Y242:BH242)</f>
        <v>11650</v>
      </c>
      <c r="BV242" s="145" cm="1">
        <f t="array" aca="1" ref="BV242" ca="1">_xlfn.LET(
    _xlpm.last_col_idx, LOOKUP(2, 1/(Y242:BT242&lt;&gt;""), COLUMN(Y242:BT242) - COLUMN(Y242) + 1),
    _xlpm.header_val, INDEX($Y$3:$BT$3, 1, _xlpm.last_col_idx),
    _xlpm.header_date, IF(ISNUMBER(_xlpm.header_val), _xlpm.header_val, DATEVALUE(_xlpm.header_val)),
    IF(_xlpm.header_date &gt; TODAY(), TODAY(), _xlpm.header_date)
)</f>
        <v>46023</v>
      </c>
      <c r="BW242" s="209" cm="1">
        <f t="array" ref="BW242">(LOOKUP(2,1/(BH242:BT242&lt;&gt;""),BH242:BT242))/(INDEX(BH242:BT242,MATCH(TRUE,INDEX((BH242:BT242&lt;&gt;0),0),0)))-1</f>
        <v>0</v>
      </c>
      <c r="BX242" s="210">
        <f t="shared" si="42"/>
        <v>11.65</v>
      </c>
      <c r="BY242" s="210">
        <f t="shared" si="43"/>
        <v>8.7375000000000007</v>
      </c>
      <c r="BZ242" s="210">
        <f ca="1">IF(L242="BR",'Impostos e Frete'!$F$6,IF(L242="EU",'Impostos e Frete'!$I$3,IF(L242="CN",'Impostos e Frete'!$I$4,IF(L242="JP",'Impostos e Frete'!$I$5,IF(L242="RU",'Impostos e Frete'!$I$7,"ERRO")))))</f>
        <v>1.1330439999999999</v>
      </c>
      <c r="CA242" s="210">
        <f>VLOOKUP(L242,'Impostos e Frete'!$A$3:$B$7,2,0)*'Preços e Condições'!BY242</f>
        <v>1.2232500000000002</v>
      </c>
      <c r="CB242" s="147">
        <f t="shared" si="44"/>
        <v>0</v>
      </c>
      <c r="CC242" s="147">
        <f>IF(X242="BRL",'Impostos e Frete'!$B$11,'Impostos e Frete'!$B$12)</f>
        <v>9.1999999999999998E-2</v>
      </c>
      <c r="CD242" s="211">
        <f t="shared" ca="1" si="45"/>
        <v>11.185794000000001</v>
      </c>
      <c r="CE242" s="212">
        <f t="shared" ca="1" si="46"/>
        <v>0.89486352000000002</v>
      </c>
      <c r="CF242" s="213">
        <f>VLOOKUP(L242,'Impostos e Frete'!$A$3:$C$7,3,0)</f>
        <v>120</v>
      </c>
      <c r="CG242" s="213">
        <f t="shared" si="47"/>
        <v>90</v>
      </c>
      <c r="CH242" s="213">
        <f t="shared" si="48"/>
        <v>-30</v>
      </c>
      <c r="CI242" s="214">
        <f t="shared" ca="1" si="49"/>
        <v>0.16778690999999846</v>
      </c>
      <c r="CJ242" s="215">
        <f t="shared" ca="1" si="50"/>
        <v>11.35358091</v>
      </c>
      <c r="CK242" s="216">
        <f t="shared" ca="1" si="51"/>
        <v>0.90828647279999997</v>
      </c>
    </row>
    <row r="243" spans="1:89">
      <c r="A243" s="176">
        <v>18405</v>
      </c>
      <c r="B243" s="177">
        <v>104</v>
      </c>
      <c r="C243" s="178">
        <v>80</v>
      </c>
      <c r="D243" s="178">
        <v>1270</v>
      </c>
      <c r="E243" s="178" t="s">
        <v>49</v>
      </c>
      <c r="F243" s="179" t="s">
        <v>0</v>
      </c>
      <c r="G243" s="180" t="s">
        <v>71</v>
      </c>
      <c r="H243" s="178" t="s">
        <v>43</v>
      </c>
      <c r="I243" s="178"/>
      <c r="J243" s="178"/>
      <c r="K243" s="178"/>
      <c r="L243" s="178" t="s">
        <v>60</v>
      </c>
      <c r="M243" s="178">
        <v>90</v>
      </c>
      <c r="N243" s="178">
        <v>400</v>
      </c>
      <c r="O243" s="178"/>
      <c r="P243" s="178"/>
      <c r="Q243" s="178"/>
      <c r="R243" s="178" t="s">
        <v>19</v>
      </c>
      <c r="S243" s="181"/>
      <c r="T243" s="181"/>
      <c r="U243" s="182"/>
      <c r="V243" s="182" t="s">
        <v>35</v>
      </c>
      <c r="W243" s="183">
        <v>100</v>
      </c>
      <c r="X243" s="182" t="s">
        <v>51</v>
      </c>
      <c r="Y243" s="184">
        <v>2000</v>
      </c>
      <c r="Z243" s="184">
        <v>2000</v>
      </c>
      <c r="AA243" s="184">
        <v>2000</v>
      </c>
      <c r="AB243" s="184">
        <v>2000</v>
      </c>
      <c r="AC243" s="184">
        <v>2000</v>
      </c>
      <c r="AD243" s="184">
        <v>2000</v>
      </c>
      <c r="AE243" s="184">
        <v>1920</v>
      </c>
      <c r="AF243" s="184">
        <v>1860</v>
      </c>
      <c r="AG243" s="184">
        <v>1860</v>
      </c>
      <c r="AH243" s="184">
        <v>1860</v>
      </c>
      <c r="AI243" s="184">
        <v>1860</v>
      </c>
      <c r="AJ243" s="184">
        <v>1860</v>
      </c>
      <c r="AK243" s="184">
        <v>1860</v>
      </c>
      <c r="AL243" s="184">
        <v>1860</v>
      </c>
      <c r="AM243" s="184">
        <v>1860</v>
      </c>
      <c r="AN243" s="184">
        <v>1830</v>
      </c>
      <c r="AO243" s="184">
        <v>1780</v>
      </c>
      <c r="AP243" s="184">
        <v>1780</v>
      </c>
      <c r="AQ243" s="184">
        <v>1780</v>
      </c>
      <c r="AR243" s="184">
        <v>1780</v>
      </c>
      <c r="AS243" s="184">
        <v>1780</v>
      </c>
      <c r="AT243" s="184">
        <v>1780</v>
      </c>
      <c r="AU243" s="184">
        <v>1780</v>
      </c>
      <c r="AV243" s="184">
        <v>1780</v>
      </c>
      <c r="AW243" s="184">
        <v>1730</v>
      </c>
      <c r="AX243" s="184">
        <v>1730</v>
      </c>
      <c r="AY243" s="184">
        <v>1730</v>
      </c>
      <c r="AZ243" s="184"/>
      <c r="BA243" s="184"/>
      <c r="BB243" s="184"/>
      <c r="BC243" s="184"/>
      <c r="BD243" s="184"/>
      <c r="BE243" s="184"/>
      <c r="BF243" s="184"/>
      <c r="BG243" s="184"/>
      <c r="BH243" s="184"/>
      <c r="BI243" s="184"/>
      <c r="BJ243" s="184"/>
      <c r="BK243" s="184"/>
      <c r="BL243" s="184"/>
      <c r="BM243" s="184"/>
      <c r="BN243" s="184"/>
      <c r="BO243" s="184"/>
      <c r="BP243" s="184"/>
      <c r="BQ243" s="184"/>
      <c r="BR243" s="184"/>
      <c r="BS243" s="184"/>
      <c r="BT243" s="184"/>
      <c r="BU243" s="146" cm="1">
        <f t="array" ref="BU243">LOOKUP(2,1/(Y243:BT243&lt;&gt;""),Y243:BH243)</f>
        <v>1730</v>
      </c>
      <c r="BV243" s="145" cm="1">
        <f t="array" aca="1" ref="BV243" ca="1">_xlfn.LET(
    _xlpm.last_col_idx, LOOKUP(2, 1/(Y243:BT243&lt;&gt;""), COLUMN(Y243:BT243) - COLUMN(Y243) + 1),
    _xlpm.header_val, INDEX($Y$3:$BT$3, 1, _xlpm.last_col_idx),
    _xlpm.header_date, IF(ISNUMBER(_xlpm.header_val), _xlpm.header_val, DATEVALUE(_xlpm.header_val)),
    IF(_xlpm.header_date &gt; TODAY(), TODAY(), _xlpm.header_date)
)</f>
        <v>45717</v>
      </c>
      <c r="BW243" s="209" t="e" cm="1">
        <f t="array" ref="BW243">(LOOKUP(2,1/(BH243:BT243&lt;&gt;""),BH243:BT243))/(INDEX(BH243:BT243,MATCH(TRUE,INDEX((BH243:BT243&lt;&gt;0),0),0)))-1</f>
        <v>#N/A</v>
      </c>
      <c r="BX243" s="210">
        <f t="shared" si="42"/>
        <v>1.73</v>
      </c>
      <c r="BY243" s="210">
        <f t="shared" si="43"/>
        <v>10.207000000000001</v>
      </c>
      <c r="BZ243" s="210">
        <f ca="1">IF(L243="BR",'Impostos e Frete'!$F$6,IF(L243="EU",'Impostos e Frete'!$I$3,IF(L243="CN",'Impostos e Frete'!$I$4,IF(L243="JP",'Impostos e Frete'!$I$5,IF(L243="RU",'Impostos e Frete'!$I$7,"ERRO")))))</f>
        <v>1.1330439999999999</v>
      </c>
      <c r="CA243" s="210">
        <f>VLOOKUP(L243,'Impostos e Frete'!$A$3:$B$7,2,0)*'Preços e Condições'!BY243</f>
        <v>1.4289800000000001</v>
      </c>
      <c r="CB243" s="147">
        <f t="shared" si="44"/>
        <v>0</v>
      </c>
      <c r="CC243" s="147">
        <f>IF(X243="BRL",'Impostos e Frete'!$B$11,'Impostos e Frete'!$B$12)</f>
        <v>9.1999999999999998E-2</v>
      </c>
      <c r="CD243" s="211">
        <f t="shared" ca="1" si="45"/>
        <v>12.861024000000002</v>
      </c>
      <c r="CE243" s="212">
        <f t="shared" ca="1" si="46"/>
        <v>1.0288819200000001</v>
      </c>
      <c r="CF243" s="213">
        <f>VLOOKUP(L243,'Impostos e Frete'!$A$3:$C$7,3,0)</f>
        <v>120</v>
      </c>
      <c r="CG243" s="213">
        <f t="shared" si="47"/>
        <v>90</v>
      </c>
      <c r="CH243" s="213">
        <f t="shared" si="48"/>
        <v>-30</v>
      </c>
      <c r="CI243" s="214">
        <f t="shared" ca="1" si="49"/>
        <v>0.19291535999999887</v>
      </c>
      <c r="CJ243" s="215">
        <f t="shared" ca="1" si="50"/>
        <v>13.053939360000001</v>
      </c>
      <c r="CK243" s="216">
        <f t="shared" ca="1" si="51"/>
        <v>1.0443151488</v>
      </c>
    </row>
    <row r="244" spans="1:89">
      <c r="A244" s="176">
        <v>18407</v>
      </c>
      <c r="B244" s="177">
        <v>104</v>
      </c>
      <c r="C244" s="178">
        <v>80</v>
      </c>
      <c r="D244" s="178">
        <v>2175</v>
      </c>
      <c r="E244" s="178" t="s">
        <v>49</v>
      </c>
      <c r="F244" s="179" t="s">
        <v>0</v>
      </c>
      <c r="G244" s="180" t="s">
        <v>71</v>
      </c>
      <c r="H244" s="178" t="s">
        <v>43</v>
      </c>
      <c r="I244" s="178"/>
      <c r="J244" s="178"/>
      <c r="K244" s="178"/>
      <c r="L244" s="178" t="s">
        <v>60</v>
      </c>
      <c r="M244" s="178">
        <v>90</v>
      </c>
      <c r="N244" s="178">
        <v>3300</v>
      </c>
      <c r="O244" s="178"/>
      <c r="P244" s="178"/>
      <c r="Q244" s="178"/>
      <c r="R244" s="178" t="s">
        <v>19</v>
      </c>
      <c r="S244" s="181"/>
      <c r="T244" s="181"/>
      <c r="U244" s="182"/>
      <c r="V244" s="182" t="s">
        <v>35</v>
      </c>
      <c r="W244" s="183">
        <v>100</v>
      </c>
      <c r="X244" s="182" t="s">
        <v>267</v>
      </c>
      <c r="Y244" s="184"/>
      <c r="Z244" s="184"/>
      <c r="AA244" s="184"/>
      <c r="AB244" s="184"/>
      <c r="AC244" s="184"/>
      <c r="AD244" s="184"/>
      <c r="AE244" s="184"/>
      <c r="AF244" s="184"/>
      <c r="AG244" s="184"/>
      <c r="AH244" s="184"/>
      <c r="AI244" s="184"/>
      <c r="AJ244" s="184"/>
      <c r="AK244" s="184"/>
      <c r="AL244" s="184"/>
      <c r="AM244" s="184"/>
      <c r="AN244" s="184"/>
      <c r="AO244" s="184"/>
      <c r="AP244" s="184"/>
      <c r="AQ244" s="184"/>
      <c r="AR244" s="184"/>
      <c r="AS244" s="184"/>
      <c r="AT244" s="184"/>
      <c r="AU244" s="184"/>
      <c r="AV244" s="184">
        <v>13400</v>
      </c>
      <c r="AW244" s="184">
        <v>13400</v>
      </c>
      <c r="AX244" s="184">
        <v>13400</v>
      </c>
      <c r="AY244" s="184">
        <v>13400</v>
      </c>
      <c r="AZ244" s="184">
        <v>13400</v>
      </c>
      <c r="BA244" s="184">
        <v>13400</v>
      </c>
      <c r="BB244" s="184">
        <v>12400</v>
      </c>
      <c r="BC244" s="184">
        <v>12400</v>
      </c>
      <c r="BD244" s="184">
        <v>12400</v>
      </c>
      <c r="BE244" s="184">
        <v>12400</v>
      </c>
      <c r="BF244" s="184">
        <v>12400</v>
      </c>
      <c r="BG244" s="184">
        <v>11650</v>
      </c>
      <c r="BH244" s="184">
        <v>11650</v>
      </c>
      <c r="BI244" s="184">
        <v>11650</v>
      </c>
      <c r="BJ244" s="184"/>
      <c r="BK244" s="184"/>
      <c r="BL244" s="184"/>
      <c r="BM244" s="184"/>
      <c r="BN244" s="184"/>
      <c r="BO244" s="184"/>
      <c r="BP244" s="184"/>
      <c r="BQ244" s="184"/>
      <c r="BR244" s="184"/>
      <c r="BS244" s="184"/>
      <c r="BT244" s="184"/>
      <c r="BU244" s="146" cm="1">
        <f t="array" ref="BU244">LOOKUP(2,1/(Y244:BT244&lt;&gt;""),Y244:BH244)</f>
        <v>11650</v>
      </c>
      <c r="BV244" s="145" cm="1">
        <f t="array" aca="1" ref="BV244" ca="1">_xlfn.LET(
    _xlpm.last_col_idx, LOOKUP(2, 1/(Y244:BT244&lt;&gt;""), COLUMN(Y244:BT244) - COLUMN(Y244) + 1),
    _xlpm.header_val, INDEX($Y$3:$BT$3, 1, _xlpm.last_col_idx),
    _xlpm.header_date, IF(ISNUMBER(_xlpm.header_val), _xlpm.header_val, DATEVALUE(_xlpm.header_val)),
    IF(_xlpm.header_date &gt; TODAY(), TODAY(), _xlpm.header_date)
)</f>
        <v>46023</v>
      </c>
      <c r="BW244" s="209" cm="1">
        <f t="array" ref="BW244">(LOOKUP(2,1/(BH244:BT244&lt;&gt;""),BH244:BT244))/(INDEX(BH244:BT244,MATCH(TRUE,INDEX((BH244:BT244&lt;&gt;0),0),0)))-1</f>
        <v>0</v>
      </c>
      <c r="BX244" s="210">
        <f t="shared" si="42"/>
        <v>11.65</v>
      </c>
      <c r="BY244" s="210">
        <f t="shared" si="43"/>
        <v>8.7375000000000007</v>
      </c>
      <c r="BZ244" s="210">
        <f ca="1">IF(L244="BR",'Impostos e Frete'!$F$6,IF(L244="EU",'Impostos e Frete'!$I$3,IF(L244="CN",'Impostos e Frete'!$I$4,IF(L244="JP",'Impostos e Frete'!$I$5,IF(L244="RU",'Impostos e Frete'!$I$7,"ERRO")))))</f>
        <v>1.1330439999999999</v>
      </c>
      <c r="CA244" s="210">
        <f>VLOOKUP(L244,'Impostos e Frete'!$A$3:$B$7,2,0)*'Preços e Condições'!BY244</f>
        <v>1.2232500000000002</v>
      </c>
      <c r="CB244" s="147">
        <f t="shared" si="44"/>
        <v>0</v>
      </c>
      <c r="CC244" s="147">
        <f>IF(X244="BRL",'Impostos e Frete'!$B$11,'Impostos e Frete'!$B$12)</f>
        <v>9.1999999999999998E-2</v>
      </c>
      <c r="CD244" s="211">
        <f t="shared" ca="1" si="45"/>
        <v>11.185794000000001</v>
      </c>
      <c r="CE244" s="212">
        <f t="shared" ca="1" si="46"/>
        <v>0.89486352000000002</v>
      </c>
      <c r="CF244" s="213">
        <f>VLOOKUP(L244,'Impostos e Frete'!$A$3:$C$7,3,0)</f>
        <v>120</v>
      </c>
      <c r="CG244" s="213">
        <f t="shared" si="47"/>
        <v>90</v>
      </c>
      <c r="CH244" s="213">
        <f t="shared" si="48"/>
        <v>-30</v>
      </c>
      <c r="CI244" s="214">
        <f t="shared" ca="1" si="49"/>
        <v>0.16778690999999846</v>
      </c>
      <c r="CJ244" s="215">
        <f t="shared" ca="1" si="50"/>
        <v>11.35358091</v>
      </c>
      <c r="CK244" s="216">
        <f t="shared" ca="1" si="51"/>
        <v>0.90828647279999997</v>
      </c>
    </row>
    <row r="245" spans="1:89">
      <c r="A245" s="176">
        <v>18407</v>
      </c>
      <c r="B245" s="177">
        <v>104</v>
      </c>
      <c r="C245" s="178">
        <v>80</v>
      </c>
      <c r="D245" s="178">
        <v>2175</v>
      </c>
      <c r="E245" s="178" t="s">
        <v>49</v>
      </c>
      <c r="F245" s="179" t="s">
        <v>0</v>
      </c>
      <c r="G245" s="180" t="s">
        <v>71</v>
      </c>
      <c r="H245" s="178" t="s">
        <v>43</v>
      </c>
      <c r="I245" s="178"/>
      <c r="J245" s="178"/>
      <c r="K245" s="178"/>
      <c r="L245" s="178" t="s">
        <v>60</v>
      </c>
      <c r="M245" s="178">
        <v>90</v>
      </c>
      <c r="N245" s="178">
        <v>400</v>
      </c>
      <c r="O245" s="178"/>
      <c r="P245" s="178"/>
      <c r="Q245" s="178"/>
      <c r="R245" s="178" t="s">
        <v>19</v>
      </c>
      <c r="S245" s="181"/>
      <c r="T245" s="181"/>
      <c r="U245" s="182"/>
      <c r="V245" s="182" t="s">
        <v>35</v>
      </c>
      <c r="W245" s="183">
        <v>100</v>
      </c>
      <c r="X245" s="182" t="s">
        <v>51</v>
      </c>
      <c r="Y245" s="184">
        <v>2000</v>
      </c>
      <c r="Z245" s="184">
        <v>2000</v>
      </c>
      <c r="AA245" s="184">
        <v>2000</v>
      </c>
      <c r="AB245" s="184">
        <v>2000</v>
      </c>
      <c r="AC245" s="184">
        <v>2000</v>
      </c>
      <c r="AD245" s="184">
        <v>2000</v>
      </c>
      <c r="AE245" s="184">
        <v>1920</v>
      </c>
      <c r="AF245" s="184">
        <v>1860</v>
      </c>
      <c r="AG245" s="184">
        <v>1860</v>
      </c>
      <c r="AH245" s="184">
        <v>1860</v>
      </c>
      <c r="AI245" s="184">
        <v>1860</v>
      </c>
      <c r="AJ245" s="184">
        <v>1860</v>
      </c>
      <c r="AK245" s="184">
        <v>1860</v>
      </c>
      <c r="AL245" s="184">
        <v>1860</v>
      </c>
      <c r="AM245" s="184">
        <v>1860</v>
      </c>
      <c r="AN245" s="184">
        <v>1830</v>
      </c>
      <c r="AO245" s="184">
        <v>1780</v>
      </c>
      <c r="AP245" s="184">
        <v>1780</v>
      </c>
      <c r="AQ245" s="184">
        <v>1780</v>
      </c>
      <c r="AR245" s="184">
        <v>1780</v>
      </c>
      <c r="AS245" s="184">
        <v>1780</v>
      </c>
      <c r="AT245" s="184">
        <v>1780</v>
      </c>
      <c r="AU245" s="184">
        <v>1780</v>
      </c>
      <c r="AV245" s="184">
        <v>1780</v>
      </c>
      <c r="AW245" s="184">
        <v>1730</v>
      </c>
      <c r="AX245" s="184">
        <v>1730</v>
      </c>
      <c r="AY245" s="184">
        <v>1730</v>
      </c>
      <c r="AZ245" s="184"/>
      <c r="BA245" s="184"/>
      <c r="BB245" s="184"/>
      <c r="BC245" s="184"/>
      <c r="BD245" s="184"/>
      <c r="BE245" s="184"/>
      <c r="BF245" s="184"/>
      <c r="BG245" s="184"/>
      <c r="BH245" s="184"/>
      <c r="BI245" s="184"/>
      <c r="BJ245" s="184"/>
      <c r="BK245" s="184"/>
      <c r="BL245" s="184"/>
      <c r="BM245" s="184"/>
      <c r="BN245" s="184"/>
      <c r="BO245" s="184"/>
      <c r="BP245" s="184"/>
      <c r="BQ245" s="184"/>
      <c r="BR245" s="184"/>
      <c r="BS245" s="184"/>
      <c r="BT245" s="184"/>
      <c r="BU245" s="146" cm="1">
        <f t="array" ref="BU245">LOOKUP(2,1/(Y245:BT245&lt;&gt;""),Y245:BH245)</f>
        <v>1730</v>
      </c>
      <c r="BV245" s="145" cm="1">
        <f t="array" aca="1" ref="BV245" ca="1">_xlfn.LET(
    _xlpm.last_col_idx, LOOKUP(2, 1/(Y245:BT245&lt;&gt;""), COLUMN(Y245:BT245) - COLUMN(Y245) + 1),
    _xlpm.header_val, INDEX($Y$3:$BT$3, 1, _xlpm.last_col_idx),
    _xlpm.header_date, IF(ISNUMBER(_xlpm.header_val), _xlpm.header_val, DATEVALUE(_xlpm.header_val)),
    IF(_xlpm.header_date &gt; TODAY(), TODAY(), _xlpm.header_date)
)</f>
        <v>45717</v>
      </c>
      <c r="BW245" s="209" t="e" cm="1">
        <f t="array" ref="BW245">(LOOKUP(2,1/(BH245:BT245&lt;&gt;""),BH245:BT245))/(INDEX(BH245:BT245,MATCH(TRUE,INDEX((BH245:BT245&lt;&gt;0),0),0)))-1</f>
        <v>#N/A</v>
      </c>
      <c r="BX245" s="210">
        <f t="shared" si="42"/>
        <v>1.73</v>
      </c>
      <c r="BY245" s="210">
        <f t="shared" si="43"/>
        <v>10.207000000000001</v>
      </c>
      <c r="BZ245" s="210">
        <f ca="1">IF(L245="BR",'Impostos e Frete'!$F$6,IF(L245="EU",'Impostos e Frete'!$I$3,IF(L245="CN",'Impostos e Frete'!$I$4,IF(L245="JP",'Impostos e Frete'!$I$5,IF(L245="RU",'Impostos e Frete'!$I$7,"ERRO")))))</f>
        <v>1.1330439999999999</v>
      </c>
      <c r="CA245" s="210">
        <f>VLOOKUP(L245,'Impostos e Frete'!$A$3:$B$7,2,0)*'Preços e Condições'!BY245</f>
        <v>1.4289800000000001</v>
      </c>
      <c r="CB245" s="147">
        <f t="shared" si="44"/>
        <v>0</v>
      </c>
      <c r="CC245" s="147">
        <f>IF(X245="BRL",'Impostos e Frete'!$B$11,'Impostos e Frete'!$B$12)</f>
        <v>9.1999999999999998E-2</v>
      </c>
      <c r="CD245" s="211">
        <f t="shared" ca="1" si="45"/>
        <v>12.861024000000002</v>
      </c>
      <c r="CE245" s="212">
        <f t="shared" ca="1" si="46"/>
        <v>1.0288819200000001</v>
      </c>
      <c r="CF245" s="213">
        <f>VLOOKUP(L245,'Impostos e Frete'!$A$3:$C$7,3,0)</f>
        <v>120</v>
      </c>
      <c r="CG245" s="213">
        <f t="shared" si="47"/>
        <v>90</v>
      </c>
      <c r="CH245" s="213">
        <f t="shared" si="48"/>
        <v>-30</v>
      </c>
      <c r="CI245" s="214">
        <f t="shared" ca="1" si="49"/>
        <v>0.19291535999999887</v>
      </c>
      <c r="CJ245" s="215">
        <f t="shared" ca="1" si="50"/>
        <v>13.053939360000001</v>
      </c>
      <c r="CK245" s="216">
        <f t="shared" ca="1" si="51"/>
        <v>1.0443151488</v>
      </c>
    </row>
    <row r="246" spans="1:89">
      <c r="A246" s="176">
        <v>18408</v>
      </c>
      <c r="B246" s="177">
        <v>104</v>
      </c>
      <c r="C246" s="178">
        <v>70</v>
      </c>
      <c r="D246" s="178">
        <v>2160</v>
      </c>
      <c r="E246" s="178" t="s">
        <v>50</v>
      </c>
      <c r="F246" s="179" t="s">
        <v>0</v>
      </c>
      <c r="G246" s="180" t="s">
        <v>71</v>
      </c>
      <c r="H246" s="178" t="s">
        <v>43</v>
      </c>
      <c r="I246" s="178"/>
      <c r="J246" s="178"/>
      <c r="K246" s="178"/>
      <c r="L246" s="178" t="s">
        <v>60</v>
      </c>
      <c r="M246" s="178">
        <v>90</v>
      </c>
      <c r="N246" s="178">
        <v>3300</v>
      </c>
      <c r="O246" s="178"/>
      <c r="P246" s="178"/>
      <c r="Q246" s="178"/>
      <c r="R246" s="178" t="s">
        <v>19</v>
      </c>
      <c r="S246" s="181"/>
      <c r="T246" s="181"/>
      <c r="U246" s="182"/>
      <c r="V246" s="182" t="s">
        <v>35</v>
      </c>
      <c r="W246" s="183">
        <v>100</v>
      </c>
      <c r="X246" s="182" t="s">
        <v>267</v>
      </c>
      <c r="Y246" s="184"/>
      <c r="Z246" s="184"/>
      <c r="AA246" s="184"/>
      <c r="AB246" s="184"/>
      <c r="AC246" s="184"/>
      <c r="AD246" s="184"/>
      <c r="AE246" s="184"/>
      <c r="AF246" s="184"/>
      <c r="AG246" s="184"/>
      <c r="AH246" s="184"/>
      <c r="AI246" s="184"/>
      <c r="AJ246" s="184"/>
      <c r="AK246" s="184"/>
      <c r="AL246" s="184"/>
      <c r="AM246" s="184"/>
      <c r="AN246" s="184"/>
      <c r="AO246" s="184"/>
      <c r="AP246" s="184"/>
      <c r="AQ246" s="184"/>
      <c r="AR246" s="184"/>
      <c r="AS246" s="184"/>
      <c r="AT246" s="184"/>
      <c r="AU246" s="184"/>
      <c r="AV246" s="184">
        <v>13600</v>
      </c>
      <c r="AW246" s="184">
        <v>13600</v>
      </c>
      <c r="AX246" s="184">
        <v>13600</v>
      </c>
      <c r="AY246" s="184">
        <v>13600</v>
      </c>
      <c r="AZ246" s="184">
        <v>13600</v>
      </c>
      <c r="BA246" s="184">
        <v>13600</v>
      </c>
      <c r="BB246" s="184">
        <v>12800</v>
      </c>
      <c r="BC246" s="184">
        <v>12800</v>
      </c>
      <c r="BD246" s="184">
        <v>12800</v>
      </c>
      <c r="BE246" s="184">
        <v>12800</v>
      </c>
      <c r="BF246" s="184">
        <v>12800</v>
      </c>
      <c r="BG246" s="184">
        <v>11650</v>
      </c>
      <c r="BH246" s="184">
        <v>11650</v>
      </c>
      <c r="BI246" s="184">
        <v>11650</v>
      </c>
      <c r="BJ246" s="184"/>
      <c r="BK246" s="184"/>
      <c r="BL246" s="184"/>
      <c r="BM246" s="184"/>
      <c r="BN246" s="184"/>
      <c r="BO246" s="184"/>
      <c r="BP246" s="184"/>
      <c r="BQ246" s="184"/>
      <c r="BR246" s="184"/>
      <c r="BS246" s="184"/>
      <c r="BT246" s="184"/>
      <c r="BU246" s="146" cm="1">
        <f t="array" ref="BU246">LOOKUP(2,1/(Y246:BT246&lt;&gt;""),Y246:BH246)</f>
        <v>11650</v>
      </c>
      <c r="BV246" s="145" cm="1">
        <f t="array" aca="1" ref="BV246" ca="1">_xlfn.LET(
    _xlpm.last_col_idx, LOOKUP(2, 1/(Y246:BT246&lt;&gt;""), COLUMN(Y246:BT246) - COLUMN(Y246) + 1),
    _xlpm.header_val, INDEX($Y$3:$BT$3, 1, _xlpm.last_col_idx),
    _xlpm.header_date, IF(ISNUMBER(_xlpm.header_val), _xlpm.header_val, DATEVALUE(_xlpm.header_val)),
    IF(_xlpm.header_date &gt; TODAY(), TODAY(), _xlpm.header_date)
)</f>
        <v>46023</v>
      </c>
      <c r="BW246" s="209" cm="1">
        <f t="array" ref="BW246">(LOOKUP(2,1/(BH246:BT246&lt;&gt;""),BH246:BT246))/(INDEX(BH246:BT246,MATCH(TRUE,INDEX((BH246:BT246&lt;&gt;0),0),0)))-1</f>
        <v>0</v>
      </c>
      <c r="BX246" s="210">
        <f t="shared" si="42"/>
        <v>11.65</v>
      </c>
      <c r="BY246" s="210">
        <f t="shared" si="43"/>
        <v>8.7375000000000007</v>
      </c>
      <c r="BZ246" s="210">
        <f ca="1">IF(L246="BR",'Impostos e Frete'!$F$6,IF(L246="EU",'Impostos e Frete'!$I$3,IF(L246="CN",'Impostos e Frete'!$I$4,IF(L246="JP",'Impostos e Frete'!$I$5,IF(L246="RU",'Impostos e Frete'!$I$7,"ERRO")))))</f>
        <v>1.1330439999999999</v>
      </c>
      <c r="CA246" s="210">
        <f>VLOOKUP(L246,'Impostos e Frete'!$A$3:$B$7,2,0)*'Preços e Condições'!BY246</f>
        <v>1.2232500000000002</v>
      </c>
      <c r="CB246" s="147">
        <f t="shared" si="44"/>
        <v>0</v>
      </c>
      <c r="CC246" s="147">
        <f>IF(X246="BRL",'Impostos e Frete'!$B$11,'Impostos e Frete'!$B$12)</f>
        <v>9.1999999999999998E-2</v>
      </c>
      <c r="CD246" s="211">
        <f t="shared" ca="1" si="45"/>
        <v>11.185794000000001</v>
      </c>
      <c r="CE246" s="212">
        <f t="shared" ca="1" si="46"/>
        <v>0.78300558000000009</v>
      </c>
      <c r="CF246" s="213">
        <f>VLOOKUP(L246,'Impostos e Frete'!$A$3:$C$7,3,0)</f>
        <v>120</v>
      </c>
      <c r="CG246" s="213">
        <f t="shared" si="47"/>
        <v>90</v>
      </c>
      <c r="CH246" s="213">
        <f t="shared" si="48"/>
        <v>-30</v>
      </c>
      <c r="CI246" s="214">
        <f t="shared" ca="1" si="49"/>
        <v>0.16778690999999846</v>
      </c>
      <c r="CJ246" s="215">
        <f t="shared" ca="1" si="50"/>
        <v>11.35358091</v>
      </c>
      <c r="CK246" s="216">
        <f t="shared" ca="1" si="51"/>
        <v>0.79475066369999992</v>
      </c>
    </row>
    <row r="247" spans="1:89">
      <c r="A247" s="176">
        <v>18408</v>
      </c>
      <c r="B247" s="177">
        <v>104</v>
      </c>
      <c r="C247" s="178">
        <v>70</v>
      </c>
      <c r="D247" s="178">
        <v>2160</v>
      </c>
      <c r="E247" s="178" t="s">
        <v>50</v>
      </c>
      <c r="F247" s="179" t="s">
        <v>0</v>
      </c>
      <c r="G247" s="180" t="s">
        <v>71</v>
      </c>
      <c r="H247" s="178" t="s">
        <v>43</v>
      </c>
      <c r="I247" s="178"/>
      <c r="J247" s="178"/>
      <c r="K247" s="178"/>
      <c r="L247" s="178" t="s">
        <v>60</v>
      </c>
      <c r="M247" s="178">
        <v>90</v>
      </c>
      <c r="N247" s="178">
        <v>400</v>
      </c>
      <c r="O247" s="178"/>
      <c r="P247" s="178"/>
      <c r="Q247" s="178"/>
      <c r="R247" s="178" t="s">
        <v>19</v>
      </c>
      <c r="S247" s="181"/>
      <c r="T247" s="181"/>
      <c r="U247" s="182"/>
      <c r="V247" s="182" t="s">
        <v>35</v>
      </c>
      <c r="W247" s="183">
        <v>100</v>
      </c>
      <c r="X247" s="182" t="s">
        <v>51</v>
      </c>
      <c r="Y247" s="184">
        <v>2000</v>
      </c>
      <c r="Z247" s="184">
        <v>2000</v>
      </c>
      <c r="AA247" s="184">
        <v>2000</v>
      </c>
      <c r="AB247" s="184">
        <v>2000</v>
      </c>
      <c r="AC247" s="184">
        <v>2000</v>
      </c>
      <c r="AD247" s="184">
        <v>2000</v>
      </c>
      <c r="AE247" s="184">
        <v>1920</v>
      </c>
      <c r="AF247" s="184">
        <v>1860</v>
      </c>
      <c r="AG247" s="184">
        <v>1860</v>
      </c>
      <c r="AH247" s="184">
        <v>1860</v>
      </c>
      <c r="AI247" s="184">
        <v>1860</v>
      </c>
      <c r="AJ247" s="184">
        <v>1860</v>
      </c>
      <c r="AK247" s="184">
        <v>1860</v>
      </c>
      <c r="AL247" s="184">
        <v>1860</v>
      </c>
      <c r="AM247" s="184">
        <v>1860</v>
      </c>
      <c r="AN247" s="184">
        <v>1830</v>
      </c>
      <c r="AO247" s="184">
        <v>1800</v>
      </c>
      <c r="AP247" s="184">
        <v>1800</v>
      </c>
      <c r="AQ247" s="184">
        <v>1800</v>
      </c>
      <c r="AR247" s="184">
        <v>1800</v>
      </c>
      <c r="AS247" s="184">
        <v>1800</v>
      </c>
      <c r="AT247" s="184">
        <v>1800</v>
      </c>
      <c r="AU247" s="184">
        <v>1800</v>
      </c>
      <c r="AV247" s="184">
        <v>1800</v>
      </c>
      <c r="AW247" s="184">
        <v>1760</v>
      </c>
      <c r="AX247" s="184">
        <v>1760</v>
      </c>
      <c r="AY247" s="184">
        <v>1760</v>
      </c>
      <c r="AZ247" s="184"/>
      <c r="BA247" s="184"/>
      <c r="BB247" s="184"/>
      <c r="BC247" s="184"/>
      <c r="BD247" s="184"/>
      <c r="BE247" s="184"/>
      <c r="BF247" s="184"/>
      <c r="BG247" s="184"/>
      <c r="BH247" s="184"/>
      <c r="BI247" s="184"/>
      <c r="BJ247" s="184"/>
      <c r="BK247" s="184"/>
      <c r="BL247" s="184"/>
      <c r="BM247" s="184"/>
      <c r="BN247" s="184"/>
      <c r="BO247" s="184"/>
      <c r="BP247" s="184"/>
      <c r="BQ247" s="184"/>
      <c r="BR247" s="184"/>
      <c r="BS247" s="184"/>
      <c r="BT247" s="184"/>
      <c r="BU247" s="146" cm="1">
        <f t="array" ref="BU247">LOOKUP(2,1/(Y247:BT247&lt;&gt;""),Y247:BH247)</f>
        <v>1760</v>
      </c>
      <c r="BV247" s="145" cm="1">
        <f t="array" aca="1" ref="BV247" ca="1">_xlfn.LET(
    _xlpm.last_col_idx, LOOKUP(2, 1/(Y247:BT247&lt;&gt;""), COLUMN(Y247:BT247) - COLUMN(Y247) + 1),
    _xlpm.header_val, INDEX($Y$3:$BT$3, 1, _xlpm.last_col_idx),
    _xlpm.header_date, IF(ISNUMBER(_xlpm.header_val), _xlpm.header_val, DATEVALUE(_xlpm.header_val)),
    IF(_xlpm.header_date &gt; TODAY(), TODAY(), _xlpm.header_date)
)</f>
        <v>45717</v>
      </c>
      <c r="BW247" s="209" t="e" cm="1">
        <f t="array" ref="BW247">(LOOKUP(2,1/(BH247:BT247&lt;&gt;""),BH247:BT247))/(INDEX(BH247:BT247,MATCH(TRUE,INDEX((BH247:BT247&lt;&gt;0),0),0)))-1</f>
        <v>#N/A</v>
      </c>
      <c r="BX247" s="210">
        <f t="shared" si="42"/>
        <v>1.76</v>
      </c>
      <c r="BY247" s="210">
        <f t="shared" si="43"/>
        <v>10.384</v>
      </c>
      <c r="BZ247" s="210">
        <f ca="1">IF(L247="BR",'Impostos e Frete'!$F$6,IF(L247="EU",'Impostos e Frete'!$I$3,IF(L247="CN",'Impostos e Frete'!$I$4,IF(L247="JP",'Impostos e Frete'!$I$5,IF(L247="RU",'Impostos e Frete'!$I$7,"ERRO")))))</f>
        <v>1.1330439999999999</v>
      </c>
      <c r="CA247" s="210">
        <f>VLOOKUP(L247,'Impostos e Frete'!$A$3:$B$7,2,0)*'Preços e Condições'!BY247</f>
        <v>1.4537600000000002</v>
      </c>
      <c r="CB247" s="147">
        <f t="shared" si="44"/>
        <v>0</v>
      </c>
      <c r="CC247" s="147">
        <f>IF(X247="BRL",'Impostos e Frete'!$B$11,'Impostos e Frete'!$B$12)</f>
        <v>9.1999999999999998E-2</v>
      </c>
      <c r="CD247" s="211">
        <f t="shared" ca="1" si="45"/>
        <v>13.062804000000002</v>
      </c>
      <c r="CE247" s="212">
        <f t="shared" ca="1" si="46"/>
        <v>0.91439628000000006</v>
      </c>
      <c r="CF247" s="213">
        <f>VLOOKUP(L247,'Impostos e Frete'!$A$3:$C$7,3,0)</f>
        <v>120</v>
      </c>
      <c r="CG247" s="213">
        <f t="shared" si="47"/>
        <v>90</v>
      </c>
      <c r="CH247" s="213">
        <f t="shared" si="48"/>
        <v>-30</v>
      </c>
      <c r="CI247" s="214">
        <f t="shared" ca="1" si="49"/>
        <v>0.19594205999999836</v>
      </c>
      <c r="CJ247" s="215">
        <f t="shared" ca="1" si="50"/>
        <v>13.25874606</v>
      </c>
      <c r="CK247" s="216">
        <f t="shared" ca="1" si="51"/>
        <v>0.92811222419999995</v>
      </c>
    </row>
    <row r="248" spans="1:89">
      <c r="A248" s="176">
        <v>18409</v>
      </c>
      <c r="B248" s="177">
        <v>104</v>
      </c>
      <c r="C248" s="178">
        <v>70</v>
      </c>
      <c r="D248" s="178">
        <v>1270</v>
      </c>
      <c r="E248" s="178" t="s">
        <v>50</v>
      </c>
      <c r="F248" s="179" t="s">
        <v>0</v>
      </c>
      <c r="G248" s="180" t="s">
        <v>71</v>
      </c>
      <c r="H248" s="178" t="s">
        <v>43</v>
      </c>
      <c r="I248" s="178"/>
      <c r="J248" s="178"/>
      <c r="K248" s="178"/>
      <c r="L248" s="178" t="s">
        <v>60</v>
      </c>
      <c r="M248" s="178">
        <v>90</v>
      </c>
      <c r="N248" s="178">
        <v>3300</v>
      </c>
      <c r="O248" s="178"/>
      <c r="P248" s="178"/>
      <c r="Q248" s="178"/>
      <c r="R248" s="178" t="s">
        <v>19</v>
      </c>
      <c r="S248" s="181"/>
      <c r="T248" s="181"/>
      <c r="U248" s="182"/>
      <c r="V248" s="182" t="s">
        <v>35</v>
      </c>
      <c r="W248" s="183">
        <v>100</v>
      </c>
      <c r="X248" s="182" t="s">
        <v>267</v>
      </c>
      <c r="Y248" s="184"/>
      <c r="Z248" s="184"/>
      <c r="AA248" s="184"/>
      <c r="AB248" s="184"/>
      <c r="AC248" s="184"/>
      <c r="AD248" s="184"/>
      <c r="AE248" s="184"/>
      <c r="AF248" s="184"/>
      <c r="AG248" s="184"/>
      <c r="AH248" s="184"/>
      <c r="AI248" s="184"/>
      <c r="AJ248" s="184"/>
      <c r="AK248" s="184"/>
      <c r="AL248" s="184"/>
      <c r="AM248" s="184"/>
      <c r="AN248" s="184"/>
      <c r="AO248" s="184"/>
      <c r="AP248" s="184"/>
      <c r="AQ248" s="184"/>
      <c r="AR248" s="184"/>
      <c r="AS248" s="184"/>
      <c r="AT248" s="184"/>
      <c r="AU248" s="184"/>
      <c r="AV248" s="184">
        <v>13600</v>
      </c>
      <c r="AW248" s="184">
        <v>13600</v>
      </c>
      <c r="AX248" s="184">
        <v>13600</v>
      </c>
      <c r="AY248" s="184">
        <v>13600</v>
      </c>
      <c r="AZ248" s="184">
        <v>13600</v>
      </c>
      <c r="BA248" s="184">
        <v>13600</v>
      </c>
      <c r="BB248" s="184">
        <v>12800</v>
      </c>
      <c r="BC248" s="184">
        <v>12800</v>
      </c>
      <c r="BD248" s="184">
        <v>12800</v>
      </c>
      <c r="BE248" s="184">
        <v>12800</v>
      </c>
      <c r="BF248" s="184">
        <v>12800</v>
      </c>
      <c r="BG248" s="184">
        <v>11650</v>
      </c>
      <c r="BH248" s="184">
        <v>11650</v>
      </c>
      <c r="BI248" s="184">
        <v>11650</v>
      </c>
      <c r="BJ248" s="184"/>
      <c r="BK248" s="184"/>
      <c r="BL248" s="184"/>
      <c r="BM248" s="184"/>
      <c r="BN248" s="184"/>
      <c r="BO248" s="184"/>
      <c r="BP248" s="184"/>
      <c r="BQ248" s="184"/>
      <c r="BR248" s="184"/>
      <c r="BS248" s="184"/>
      <c r="BT248" s="184"/>
      <c r="BU248" s="146" cm="1">
        <f t="array" ref="BU248">LOOKUP(2,1/(Y248:BT248&lt;&gt;""),Y248:BH248)</f>
        <v>11650</v>
      </c>
      <c r="BV248" s="145" cm="1">
        <f t="array" aca="1" ref="BV248" ca="1">_xlfn.LET(
    _xlpm.last_col_idx, LOOKUP(2, 1/(Y248:BT248&lt;&gt;""), COLUMN(Y248:BT248) - COLUMN(Y248) + 1),
    _xlpm.header_val, INDEX($Y$3:$BT$3, 1, _xlpm.last_col_idx),
    _xlpm.header_date, IF(ISNUMBER(_xlpm.header_val), _xlpm.header_val, DATEVALUE(_xlpm.header_val)),
    IF(_xlpm.header_date &gt; TODAY(), TODAY(), _xlpm.header_date)
)</f>
        <v>46023</v>
      </c>
      <c r="BW248" s="209" cm="1">
        <f t="array" ref="BW248">(LOOKUP(2,1/(BH248:BT248&lt;&gt;""),BH248:BT248))/(INDEX(BH248:BT248,MATCH(TRUE,INDEX((BH248:BT248&lt;&gt;0),0),0)))-1</f>
        <v>0</v>
      </c>
      <c r="BX248" s="210">
        <f t="shared" si="42"/>
        <v>11.65</v>
      </c>
      <c r="BY248" s="210">
        <f t="shared" si="43"/>
        <v>8.7375000000000007</v>
      </c>
      <c r="BZ248" s="210">
        <f ca="1">IF(L248="BR",'Impostos e Frete'!$F$6,IF(L248="EU",'Impostos e Frete'!$I$3,IF(L248="CN",'Impostos e Frete'!$I$4,IF(L248="JP",'Impostos e Frete'!$I$5,IF(L248="RU",'Impostos e Frete'!$I$7,"ERRO")))))</f>
        <v>1.1330439999999999</v>
      </c>
      <c r="CA248" s="210">
        <f>VLOOKUP(L248,'Impostos e Frete'!$A$3:$B$7,2,0)*'Preços e Condições'!BY248</f>
        <v>1.2232500000000002</v>
      </c>
      <c r="CB248" s="147">
        <f t="shared" si="44"/>
        <v>0</v>
      </c>
      <c r="CC248" s="147">
        <f>IF(X248="BRL",'Impostos e Frete'!$B$11,'Impostos e Frete'!$B$12)</f>
        <v>9.1999999999999998E-2</v>
      </c>
      <c r="CD248" s="211">
        <f t="shared" ca="1" si="45"/>
        <v>11.185794000000001</v>
      </c>
      <c r="CE248" s="212">
        <f t="shared" ca="1" si="46"/>
        <v>0.78300558000000009</v>
      </c>
      <c r="CF248" s="213">
        <f>VLOOKUP(L248,'Impostos e Frete'!$A$3:$C$7,3,0)</f>
        <v>120</v>
      </c>
      <c r="CG248" s="213">
        <f t="shared" si="47"/>
        <v>90</v>
      </c>
      <c r="CH248" s="213">
        <f t="shared" si="48"/>
        <v>-30</v>
      </c>
      <c r="CI248" s="214">
        <f t="shared" ca="1" si="49"/>
        <v>0.16778690999999846</v>
      </c>
      <c r="CJ248" s="215">
        <f t="shared" ca="1" si="50"/>
        <v>11.35358091</v>
      </c>
      <c r="CK248" s="216">
        <f t="shared" ca="1" si="51"/>
        <v>0.79475066369999992</v>
      </c>
    </row>
    <row r="249" spans="1:89">
      <c r="A249" s="176">
        <v>18409</v>
      </c>
      <c r="B249" s="177">
        <v>104</v>
      </c>
      <c r="C249" s="178">
        <v>70</v>
      </c>
      <c r="D249" s="178">
        <v>1270</v>
      </c>
      <c r="E249" s="178" t="s">
        <v>50</v>
      </c>
      <c r="F249" s="179" t="s">
        <v>0</v>
      </c>
      <c r="G249" s="180" t="s">
        <v>71</v>
      </c>
      <c r="H249" s="178" t="s">
        <v>43</v>
      </c>
      <c r="I249" s="178"/>
      <c r="J249" s="178"/>
      <c r="K249" s="178"/>
      <c r="L249" s="178" t="s">
        <v>60</v>
      </c>
      <c r="M249" s="178">
        <v>90</v>
      </c>
      <c r="N249" s="178">
        <v>400</v>
      </c>
      <c r="O249" s="178"/>
      <c r="P249" s="178"/>
      <c r="Q249" s="178"/>
      <c r="R249" s="178" t="s">
        <v>19</v>
      </c>
      <c r="S249" s="181"/>
      <c r="T249" s="181"/>
      <c r="U249" s="182"/>
      <c r="V249" s="182" t="s">
        <v>35</v>
      </c>
      <c r="W249" s="183">
        <v>100</v>
      </c>
      <c r="X249" s="182" t="s">
        <v>51</v>
      </c>
      <c r="Y249" s="184">
        <v>2000</v>
      </c>
      <c r="Z249" s="184">
        <v>2000</v>
      </c>
      <c r="AA249" s="184">
        <v>2000</v>
      </c>
      <c r="AB249" s="184">
        <v>2000</v>
      </c>
      <c r="AC249" s="184">
        <v>2000</v>
      </c>
      <c r="AD249" s="184">
        <v>2000</v>
      </c>
      <c r="AE249" s="184">
        <v>1920</v>
      </c>
      <c r="AF249" s="184">
        <v>1860</v>
      </c>
      <c r="AG249" s="184">
        <v>1860</v>
      </c>
      <c r="AH249" s="184">
        <v>1860</v>
      </c>
      <c r="AI249" s="184">
        <v>1860</v>
      </c>
      <c r="AJ249" s="184">
        <v>1860</v>
      </c>
      <c r="AK249" s="184">
        <v>1860</v>
      </c>
      <c r="AL249" s="184">
        <v>1860</v>
      </c>
      <c r="AM249" s="184">
        <v>1860</v>
      </c>
      <c r="AN249" s="184">
        <v>1830</v>
      </c>
      <c r="AO249" s="184">
        <v>1800</v>
      </c>
      <c r="AP249" s="184">
        <v>1800</v>
      </c>
      <c r="AQ249" s="184">
        <v>1800</v>
      </c>
      <c r="AR249" s="184">
        <v>1800</v>
      </c>
      <c r="AS249" s="184">
        <v>1800</v>
      </c>
      <c r="AT249" s="184">
        <v>1800</v>
      </c>
      <c r="AU249" s="184">
        <v>1800</v>
      </c>
      <c r="AV249" s="184">
        <v>1800</v>
      </c>
      <c r="AW249" s="184">
        <v>1760</v>
      </c>
      <c r="AX249" s="184">
        <v>1760</v>
      </c>
      <c r="AY249" s="184">
        <v>1760</v>
      </c>
      <c r="AZ249" s="184"/>
      <c r="BA249" s="184"/>
      <c r="BB249" s="184"/>
      <c r="BC249" s="184"/>
      <c r="BD249" s="184"/>
      <c r="BE249" s="184"/>
      <c r="BF249" s="184"/>
      <c r="BG249" s="184"/>
      <c r="BH249" s="184"/>
      <c r="BI249" s="184"/>
      <c r="BJ249" s="184"/>
      <c r="BK249" s="184"/>
      <c r="BL249" s="184"/>
      <c r="BM249" s="184"/>
      <c r="BN249" s="184"/>
      <c r="BO249" s="184"/>
      <c r="BP249" s="184"/>
      <c r="BQ249" s="184"/>
      <c r="BR249" s="184"/>
      <c r="BS249" s="184"/>
      <c r="BT249" s="184"/>
      <c r="BU249" s="146" cm="1">
        <f t="array" ref="BU249">LOOKUP(2,1/(Y249:BT249&lt;&gt;""),Y249:BH249)</f>
        <v>1760</v>
      </c>
      <c r="BV249" s="145" cm="1">
        <f t="array" aca="1" ref="BV249" ca="1">_xlfn.LET(
    _xlpm.last_col_idx, LOOKUP(2, 1/(Y249:BT249&lt;&gt;""), COLUMN(Y249:BT249) - COLUMN(Y249) + 1),
    _xlpm.header_val, INDEX($Y$3:$BT$3, 1, _xlpm.last_col_idx),
    _xlpm.header_date, IF(ISNUMBER(_xlpm.header_val), _xlpm.header_val, DATEVALUE(_xlpm.header_val)),
    IF(_xlpm.header_date &gt; TODAY(), TODAY(), _xlpm.header_date)
)</f>
        <v>45717</v>
      </c>
      <c r="BW249" s="209" t="e" cm="1">
        <f t="array" ref="BW249">(LOOKUP(2,1/(BH249:BT249&lt;&gt;""),BH249:BT249))/(INDEX(BH249:BT249,MATCH(TRUE,INDEX((BH249:BT249&lt;&gt;0),0),0)))-1</f>
        <v>#N/A</v>
      </c>
      <c r="BX249" s="210">
        <f t="shared" si="42"/>
        <v>1.76</v>
      </c>
      <c r="BY249" s="210">
        <f t="shared" si="43"/>
        <v>10.384</v>
      </c>
      <c r="BZ249" s="210">
        <f ca="1">IF(L249="BR",'Impostos e Frete'!$F$6,IF(L249="EU",'Impostos e Frete'!$I$3,IF(L249="CN",'Impostos e Frete'!$I$4,IF(L249="JP",'Impostos e Frete'!$I$5,IF(L249="RU",'Impostos e Frete'!$I$7,"ERRO")))))</f>
        <v>1.1330439999999999</v>
      </c>
      <c r="CA249" s="210">
        <f>VLOOKUP(L249,'Impostos e Frete'!$A$3:$B$7,2,0)*'Preços e Condições'!BY249</f>
        <v>1.4537600000000002</v>
      </c>
      <c r="CB249" s="147">
        <f t="shared" si="44"/>
        <v>0</v>
      </c>
      <c r="CC249" s="147">
        <f>IF(X249="BRL",'Impostos e Frete'!$B$11,'Impostos e Frete'!$B$12)</f>
        <v>9.1999999999999998E-2</v>
      </c>
      <c r="CD249" s="211">
        <f t="shared" ca="1" si="45"/>
        <v>13.062804000000002</v>
      </c>
      <c r="CE249" s="212">
        <f t="shared" ca="1" si="46"/>
        <v>0.91439628000000006</v>
      </c>
      <c r="CF249" s="213">
        <f>VLOOKUP(L249,'Impostos e Frete'!$A$3:$C$7,3,0)</f>
        <v>120</v>
      </c>
      <c r="CG249" s="213">
        <f t="shared" si="47"/>
        <v>90</v>
      </c>
      <c r="CH249" s="213">
        <f t="shared" si="48"/>
        <v>-30</v>
      </c>
      <c r="CI249" s="214">
        <f t="shared" ca="1" si="49"/>
        <v>0.19594205999999836</v>
      </c>
      <c r="CJ249" s="215">
        <f t="shared" ca="1" si="50"/>
        <v>13.25874606</v>
      </c>
      <c r="CK249" s="216">
        <f t="shared" ca="1" si="51"/>
        <v>0.92811222419999995</v>
      </c>
    </row>
    <row r="250" spans="1:89">
      <c r="A250" s="176">
        <v>18412</v>
      </c>
      <c r="B250" s="177">
        <v>2</v>
      </c>
      <c r="C250" s="178">
        <v>80</v>
      </c>
      <c r="D250" s="178">
        <v>1865</v>
      </c>
      <c r="E250" s="178" t="s">
        <v>49</v>
      </c>
      <c r="F250" s="179" t="s">
        <v>0</v>
      </c>
      <c r="G250" s="180" t="s">
        <v>96</v>
      </c>
      <c r="H250" s="178" t="s">
        <v>43</v>
      </c>
      <c r="I250" s="178" t="s">
        <v>99</v>
      </c>
      <c r="J250" s="178"/>
      <c r="K250" s="178"/>
      <c r="L250" s="178" t="s">
        <v>60</v>
      </c>
      <c r="M250" s="178">
        <v>90</v>
      </c>
      <c r="N250" s="178">
        <v>3300</v>
      </c>
      <c r="O250" s="178"/>
      <c r="P250" s="178"/>
      <c r="Q250" s="178"/>
      <c r="R250" s="178" t="s">
        <v>19</v>
      </c>
      <c r="S250" s="181"/>
      <c r="T250" s="181"/>
      <c r="U250" s="182"/>
      <c r="V250" s="182" t="s">
        <v>35</v>
      </c>
      <c r="W250" s="183">
        <v>100</v>
      </c>
      <c r="X250" s="182" t="s">
        <v>267</v>
      </c>
      <c r="Y250" s="184"/>
      <c r="Z250" s="184"/>
      <c r="AA250" s="184"/>
      <c r="AB250" s="184"/>
      <c r="AC250" s="184"/>
      <c r="AD250" s="184"/>
      <c r="AE250" s="184"/>
      <c r="AF250" s="184"/>
      <c r="AG250" s="184"/>
      <c r="AH250" s="184"/>
      <c r="AI250" s="184"/>
      <c r="AJ250" s="184"/>
      <c r="AK250" s="184"/>
      <c r="AL250" s="184"/>
      <c r="AM250" s="184"/>
      <c r="AN250" s="184"/>
      <c r="AO250" s="184"/>
      <c r="AP250" s="184"/>
      <c r="AQ250" s="184"/>
      <c r="AR250" s="184"/>
      <c r="AS250" s="184"/>
      <c r="AT250" s="184"/>
      <c r="AU250" s="184"/>
      <c r="AV250" s="184">
        <v>15100</v>
      </c>
      <c r="AW250" s="184">
        <v>15100</v>
      </c>
      <c r="AX250" s="184">
        <v>15100</v>
      </c>
      <c r="AY250" s="184">
        <v>15100</v>
      </c>
      <c r="AZ250" s="184">
        <v>15100</v>
      </c>
      <c r="BA250" s="184">
        <v>15100</v>
      </c>
      <c r="BB250" s="184">
        <v>15100</v>
      </c>
      <c r="BC250" s="184">
        <v>15100</v>
      </c>
      <c r="BD250" s="184">
        <v>14500</v>
      </c>
      <c r="BE250" s="184">
        <v>14500</v>
      </c>
      <c r="BF250" s="184">
        <v>14500</v>
      </c>
      <c r="BG250" s="184">
        <v>14500</v>
      </c>
      <c r="BH250" s="184">
        <v>14500</v>
      </c>
      <c r="BI250" s="184">
        <v>14500</v>
      </c>
      <c r="BJ250" s="184"/>
      <c r="BK250" s="184"/>
      <c r="BL250" s="184"/>
      <c r="BM250" s="184"/>
      <c r="BN250" s="184"/>
      <c r="BO250" s="184"/>
      <c r="BP250" s="184"/>
      <c r="BQ250" s="184"/>
      <c r="BR250" s="184"/>
      <c r="BS250" s="184"/>
      <c r="BT250" s="184"/>
      <c r="BU250" s="146" cm="1">
        <f t="array" ref="BU250">LOOKUP(2,1/(Y250:BT250&lt;&gt;""),Y250:BH250)</f>
        <v>14500</v>
      </c>
      <c r="BV250" s="145" cm="1">
        <f t="array" aca="1" ref="BV250" ca="1">_xlfn.LET(
    _xlpm.last_col_idx, LOOKUP(2, 1/(Y250:BT250&lt;&gt;""), COLUMN(Y250:BT250) - COLUMN(Y250) + 1),
    _xlpm.header_val, INDEX($Y$3:$BT$3, 1, _xlpm.last_col_idx),
    _xlpm.header_date, IF(ISNUMBER(_xlpm.header_val), _xlpm.header_val, DATEVALUE(_xlpm.header_val)),
    IF(_xlpm.header_date &gt; TODAY(), TODAY(), _xlpm.header_date)
)</f>
        <v>46023</v>
      </c>
      <c r="BW250" s="209" cm="1">
        <f t="array" ref="BW250">(LOOKUP(2,1/(BH250:BT250&lt;&gt;""),BH250:BT250))/(INDEX(BH250:BT250,MATCH(TRUE,INDEX((BH250:BT250&lt;&gt;0),0),0)))-1</f>
        <v>0</v>
      </c>
      <c r="BX250" s="210">
        <f t="shared" si="42"/>
        <v>14.5</v>
      </c>
      <c r="BY250" s="210">
        <f t="shared" si="43"/>
        <v>10.875</v>
      </c>
      <c r="BZ250" s="210">
        <f ca="1">IF(L250="BR",'Impostos e Frete'!$F$6,IF(L250="EU",'Impostos e Frete'!$I$3,IF(L250="CN",'Impostos e Frete'!$I$4,IF(L250="JP",'Impostos e Frete'!$I$5,IF(L250="RU",'Impostos e Frete'!$I$7,"ERRO")))))</f>
        <v>1.1330439999999999</v>
      </c>
      <c r="CA250" s="210">
        <f>VLOOKUP(L250,'Impostos e Frete'!$A$3:$B$7,2,0)*'Preços e Condições'!BY250</f>
        <v>1.5225000000000002</v>
      </c>
      <c r="CB250" s="147">
        <f t="shared" si="44"/>
        <v>0</v>
      </c>
      <c r="CC250" s="147">
        <f>IF(X250="BRL",'Impostos e Frete'!$B$11,'Impostos e Frete'!$B$12)</f>
        <v>9.1999999999999998E-2</v>
      </c>
      <c r="CD250" s="211">
        <f t="shared" ca="1" si="45"/>
        <v>13.622544000000001</v>
      </c>
      <c r="CE250" s="212">
        <f t="shared" ca="1" si="46"/>
        <v>1.0898035200000002</v>
      </c>
      <c r="CF250" s="213">
        <f>VLOOKUP(L250,'Impostos e Frete'!$A$3:$C$7,3,0)</f>
        <v>120</v>
      </c>
      <c r="CG250" s="213">
        <f t="shared" si="47"/>
        <v>90</v>
      </c>
      <c r="CH250" s="213">
        <f t="shared" si="48"/>
        <v>-30</v>
      </c>
      <c r="CI250" s="214">
        <f t="shared" ca="1" si="49"/>
        <v>0.20433815999999894</v>
      </c>
      <c r="CJ250" s="215">
        <f t="shared" ca="1" si="50"/>
        <v>13.82688216</v>
      </c>
      <c r="CK250" s="216">
        <f t="shared" ca="1" si="51"/>
        <v>1.1061505728000001</v>
      </c>
    </row>
    <row r="251" spans="1:89">
      <c r="A251" s="176">
        <v>18412</v>
      </c>
      <c r="B251" s="177">
        <v>2</v>
      </c>
      <c r="C251" s="178">
        <v>80</v>
      </c>
      <c r="D251" s="178">
        <v>1865</v>
      </c>
      <c r="E251" s="178" t="s">
        <v>49</v>
      </c>
      <c r="F251" s="179" t="s">
        <v>0</v>
      </c>
      <c r="G251" s="180" t="s">
        <v>96</v>
      </c>
      <c r="H251" s="178" t="s">
        <v>43</v>
      </c>
      <c r="I251" s="178" t="s">
        <v>99</v>
      </c>
      <c r="J251" s="178"/>
      <c r="K251" s="178"/>
      <c r="L251" s="178" t="s">
        <v>60</v>
      </c>
      <c r="M251" s="178">
        <v>90</v>
      </c>
      <c r="N251" s="178">
        <v>400</v>
      </c>
      <c r="O251" s="178"/>
      <c r="P251" s="178"/>
      <c r="Q251" s="178"/>
      <c r="R251" s="178" t="s">
        <v>19</v>
      </c>
      <c r="S251" s="181"/>
      <c r="T251" s="181"/>
      <c r="U251" s="182"/>
      <c r="V251" s="182" t="s">
        <v>35</v>
      </c>
      <c r="W251" s="183">
        <v>100</v>
      </c>
      <c r="X251" s="182" t="s">
        <v>51</v>
      </c>
      <c r="Y251" s="184"/>
      <c r="Z251" s="184"/>
      <c r="AA251" s="184"/>
      <c r="AB251" s="184"/>
      <c r="AC251" s="184"/>
      <c r="AD251" s="184"/>
      <c r="AE251" s="184">
        <v>2070</v>
      </c>
      <c r="AF251" s="184">
        <v>2070</v>
      </c>
      <c r="AG251" s="184">
        <v>2070</v>
      </c>
      <c r="AH251" s="184">
        <v>2070</v>
      </c>
      <c r="AI251" s="184">
        <v>2070</v>
      </c>
      <c r="AJ251" s="184">
        <v>2070</v>
      </c>
      <c r="AK251" s="184">
        <v>2070</v>
      </c>
      <c r="AL251" s="184">
        <v>2070</v>
      </c>
      <c r="AM251" s="184">
        <v>2070</v>
      </c>
      <c r="AN251" s="184">
        <v>2070</v>
      </c>
      <c r="AO251" s="184">
        <v>2070</v>
      </c>
      <c r="AP251" s="184">
        <v>2070</v>
      </c>
      <c r="AQ251" s="184">
        <v>2000</v>
      </c>
      <c r="AR251" s="184">
        <v>2000</v>
      </c>
      <c r="AS251" s="184">
        <v>2000</v>
      </c>
      <c r="AT251" s="184">
        <v>2000</v>
      </c>
      <c r="AU251" s="184">
        <v>2000</v>
      </c>
      <c r="AV251" s="184">
        <v>2000</v>
      </c>
      <c r="AW251" s="184">
        <v>1950</v>
      </c>
      <c r="AX251" s="184">
        <v>1950</v>
      </c>
      <c r="AY251" s="184">
        <v>1950</v>
      </c>
      <c r="AZ251" s="184">
        <v>1950</v>
      </c>
      <c r="BA251" s="184">
        <v>1950</v>
      </c>
      <c r="BB251" s="184">
        <v>1950</v>
      </c>
      <c r="BC251" s="184">
        <v>1950</v>
      </c>
      <c r="BD251" s="184"/>
      <c r="BE251" s="184"/>
      <c r="BF251" s="184"/>
      <c r="BG251" s="184"/>
      <c r="BH251" s="184"/>
      <c r="BI251" s="184"/>
      <c r="BJ251" s="184"/>
      <c r="BK251" s="184"/>
      <c r="BL251" s="184"/>
      <c r="BM251" s="184"/>
      <c r="BN251" s="184"/>
      <c r="BO251" s="184"/>
      <c r="BP251" s="184"/>
      <c r="BQ251" s="184"/>
      <c r="BR251" s="184"/>
      <c r="BS251" s="184"/>
      <c r="BT251" s="184"/>
      <c r="BU251" s="146" cm="1">
        <f t="array" ref="BU251">LOOKUP(2,1/(Y251:BT251&lt;&gt;""),Y251:BH251)</f>
        <v>1950</v>
      </c>
      <c r="BV251" s="145" cm="1">
        <f t="array" aca="1" ref="BV251" ca="1">_xlfn.LET(
    _xlpm.last_col_idx, LOOKUP(2, 1/(Y251:BT251&lt;&gt;""), COLUMN(Y251:BT251) - COLUMN(Y251) + 1),
    _xlpm.header_val, INDEX($Y$3:$BT$3, 1, _xlpm.last_col_idx),
    _xlpm.header_date, IF(ISNUMBER(_xlpm.header_val), _xlpm.header_val, DATEVALUE(_xlpm.header_val)),
    IF(_xlpm.header_date &gt; TODAY(), TODAY(), _xlpm.header_date)
)</f>
        <v>45839</v>
      </c>
      <c r="BW251" s="209" t="e" cm="1">
        <f t="array" ref="BW251">(LOOKUP(2,1/(BH251:BT251&lt;&gt;""),BH251:BT251))/(INDEX(BH251:BT251,MATCH(TRUE,INDEX((BH251:BT251&lt;&gt;0),0),0)))-1</f>
        <v>#N/A</v>
      </c>
      <c r="BX251" s="210">
        <f t="shared" si="42"/>
        <v>1.95</v>
      </c>
      <c r="BY251" s="210">
        <f t="shared" si="43"/>
        <v>11.505000000000001</v>
      </c>
      <c r="BZ251" s="210">
        <f ca="1">IF(L251="BR",'Impostos e Frete'!$F$6,IF(L251="EU",'Impostos e Frete'!$I$3,IF(L251="CN",'Impostos e Frete'!$I$4,IF(L251="JP",'Impostos e Frete'!$I$5,IF(L251="RU",'Impostos e Frete'!$I$7,"ERRO")))))</f>
        <v>1.1330439999999999</v>
      </c>
      <c r="CA251" s="210">
        <f>VLOOKUP(L251,'Impostos e Frete'!$A$3:$B$7,2,0)*'Preços e Condições'!BY251</f>
        <v>1.6107000000000002</v>
      </c>
      <c r="CB251" s="147">
        <f t="shared" si="44"/>
        <v>0</v>
      </c>
      <c r="CC251" s="147">
        <f>IF(X251="BRL",'Impostos e Frete'!$B$11,'Impostos e Frete'!$B$12)</f>
        <v>9.1999999999999998E-2</v>
      </c>
      <c r="CD251" s="211">
        <f t="shared" ca="1" si="45"/>
        <v>14.340744000000001</v>
      </c>
      <c r="CE251" s="212">
        <f t="shared" ca="1" si="46"/>
        <v>1.14725952</v>
      </c>
      <c r="CF251" s="213">
        <f>VLOOKUP(L251,'Impostos e Frete'!$A$3:$C$7,3,0)</f>
        <v>120</v>
      </c>
      <c r="CG251" s="213">
        <f t="shared" si="47"/>
        <v>90</v>
      </c>
      <c r="CH251" s="213">
        <f t="shared" si="48"/>
        <v>-30</v>
      </c>
      <c r="CI251" s="214">
        <f t="shared" ca="1" si="49"/>
        <v>0.2151111599999993</v>
      </c>
      <c r="CJ251" s="215">
        <f t="shared" ca="1" si="50"/>
        <v>14.55585516</v>
      </c>
      <c r="CK251" s="216">
        <f t="shared" ca="1" si="51"/>
        <v>1.1644684128</v>
      </c>
    </row>
    <row r="252" spans="1:89">
      <c r="A252" s="176">
        <v>18413</v>
      </c>
      <c r="B252" s="177">
        <v>128</v>
      </c>
      <c r="C252" s="178">
        <v>65</v>
      </c>
      <c r="D252" s="178">
        <v>1870</v>
      </c>
      <c r="E252" s="178" t="s">
        <v>50</v>
      </c>
      <c r="F252" s="179" t="s">
        <v>0</v>
      </c>
      <c r="G252" s="180" t="s">
        <v>72</v>
      </c>
      <c r="H252" s="178" t="s">
        <v>43</v>
      </c>
      <c r="I252" s="178"/>
      <c r="J252" s="178"/>
      <c r="K252" s="178"/>
      <c r="L252" s="178" t="s">
        <v>60</v>
      </c>
      <c r="M252" s="178">
        <v>90</v>
      </c>
      <c r="N252" s="178">
        <v>3300</v>
      </c>
      <c r="O252" s="178"/>
      <c r="P252" s="178"/>
      <c r="Q252" s="178"/>
      <c r="R252" s="178" t="s">
        <v>19</v>
      </c>
      <c r="S252" s="181"/>
      <c r="T252" s="181"/>
      <c r="U252" s="182"/>
      <c r="V252" s="182" t="s">
        <v>35</v>
      </c>
      <c r="W252" s="183">
        <v>100</v>
      </c>
      <c r="X252" s="182" t="s">
        <v>267</v>
      </c>
      <c r="Y252" s="184"/>
      <c r="Z252" s="184"/>
      <c r="AA252" s="184"/>
      <c r="AB252" s="184"/>
      <c r="AC252" s="184"/>
      <c r="AD252" s="184"/>
      <c r="AE252" s="184"/>
      <c r="AF252" s="184"/>
      <c r="AG252" s="184"/>
      <c r="AH252" s="184"/>
      <c r="AI252" s="184"/>
      <c r="AJ252" s="184"/>
      <c r="AK252" s="184"/>
      <c r="AL252" s="184"/>
      <c r="AM252" s="184"/>
      <c r="AN252" s="184"/>
      <c r="AO252" s="184"/>
      <c r="AP252" s="184"/>
      <c r="AQ252" s="184"/>
      <c r="AR252" s="184"/>
      <c r="AS252" s="184"/>
      <c r="AT252" s="184"/>
      <c r="AU252" s="184"/>
      <c r="AV252" s="184">
        <v>12500</v>
      </c>
      <c r="AW252" s="184">
        <v>12500</v>
      </c>
      <c r="AX252" s="184">
        <v>12500</v>
      </c>
      <c r="AY252" s="184">
        <v>12500</v>
      </c>
      <c r="AZ252" s="184">
        <v>12500</v>
      </c>
      <c r="BA252" s="184">
        <v>12500</v>
      </c>
      <c r="BB252" s="184">
        <v>12500</v>
      </c>
      <c r="BC252" s="184">
        <v>12500</v>
      </c>
      <c r="BD252" s="184">
        <v>11900</v>
      </c>
      <c r="BE252" s="184">
        <v>11900</v>
      </c>
      <c r="BF252" s="184">
        <v>11900</v>
      </c>
      <c r="BG252" s="184">
        <v>10950</v>
      </c>
      <c r="BH252" s="184">
        <v>10950</v>
      </c>
      <c r="BI252" s="184">
        <v>10950</v>
      </c>
      <c r="BJ252" s="184"/>
      <c r="BK252" s="184"/>
      <c r="BL252" s="184"/>
      <c r="BM252" s="184"/>
      <c r="BN252" s="184"/>
      <c r="BO252" s="184"/>
      <c r="BP252" s="184"/>
      <c r="BQ252" s="184"/>
      <c r="BR252" s="184"/>
      <c r="BS252" s="184"/>
      <c r="BT252" s="184"/>
      <c r="BU252" s="146" cm="1">
        <f t="array" ref="BU252">LOOKUP(2,1/(Y252:BT252&lt;&gt;""),Y252:BH252)</f>
        <v>10950</v>
      </c>
      <c r="BV252" s="145" cm="1">
        <f t="array" aca="1" ref="BV252" ca="1">_xlfn.LET(
    _xlpm.last_col_idx, LOOKUP(2, 1/(Y252:BT252&lt;&gt;""), COLUMN(Y252:BT252) - COLUMN(Y252) + 1),
    _xlpm.header_val, INDEX($Y$3:$BT$3, 1, _xlpm.last_col_idx),
    _xlpm.header_date, IF(ISNUMBER(_xlpm.header_val), _xlpm.header_val, DATEVALUE(_xlpm.header_val)),
    IF(_xlpm.header_date &gt; TODAY(), TODAY(), _xlpm.header_date)
)</f>
        <v>46023</v>
      </c>
      <c r="BW252" s="209" cm="1">
        <f t="array" ref="BW252">(LOOKUP(2,1/(BH252:BT252&lt;&gt;""),BH252:BT252))/(INDEX(BH252:BT252,MATCH(TRUE,INDEX((BH252:BT252&lt;&gt;0),0),0)))-1</f>
        <v>0</v>
      </c>
      <c r="BX252" s="210">
        <f t="shared" si="42"/>
        <v>10.95</v>
      </c>
      <c r="BY252" s="210">
        <f t="shared" si="43"/>
        <v>8.2124999999999986</v>
      </c>
      <c r="BZ252" s="210">
        <f ca="1">IF(L252="BR",'Impostos e Frete'!$F$6,IF(L252="EU",'Impostos e Frete'!$I$3,IF(L252="CN",'Impostos e Frete'!$I$4,IF(L252="JP",'Impostos e Frete'!$I$5,IF(L252="RU",'Impostos e Frete'!$I$7,"ERRO")))))</f>
        <v>1.1330439999999999</v>
      </c>
      <c r="CA252" s="210">
        <f>VLOOKUP(L252,'Impostos e Frete'!$A$3:$B$7,2,0)*'Preços e Condições'!BY252</f>
        <v>1.1497499999999998</v>
      </c>
      <c r="CB252" s="147">
        <f t="shared" si="44"/>
        <v>0</v>
      </c>
      <c r="CC252" s="147">
        <f>IF(X252="BRL",'Impostos e Frete'!$B$11,'Impostos e Frete'!$B$12)</f>
        <v>9.1999999999999998E-2</v>
      </c>
      <c r="CD252" s="211">
        <f t="shared" ca="1" si="45"/>
        <v>10.587293999999998</v>
      </c>
      <c r="CE252" s="212">
        <f t="shared" ca="1" si="46"/>
        <v>0.68817410999999995</v>
      </c>
      <c r="CF252" s="213">
        <f>VLOOKUP(L252,'Impostos e Frete'!$A$3:$C$7,3,0)</f>
        <v>120</v>
      </c>
      <c r="CG252" s="213">
        <f t="shared" si="47"/>
        <v>90</v>
      </c>
      <c r="CH252" s="213">
        <f t="shared" si="48"/>
        <v>-30</v>
      </c>
      <c r="CI252" s="214">
        <f t="shared" ca="1" si="49"/>
        <v>0.15880940999999815</v>
      </c>
      <c r="CJ252" s="215">
        <f t="shared" ca="1" si="50"/>
        <v>10.746103409999996</v>
      </c>
      <c r="CK252" s="216">
        <f t="shared" ca="1" si="51"/>
        <v>0.69849672164999976</v>
      </c>
    </row>
    <row r="253" spans="1:89">
      <c r="A253" s="176">
        <v>18413</v>
      </c>
      <c r="B253" s="177">
        <v>128</v>
      </c>
      <c r="C253" s="178">
        <v>65</v>
      </c>
      <c r="D253" s="178">
        <v>1870</v>
      </c>
      <c r="E253" s="178" t="s">
        <v>50</v>
      </c>
      <c r="F253" s="179" t="s">
        <v>0</v>
      </c>
      <c r="G253" s="180" t="s">
        <v>72</v>
      </c>
      <c r="H253" s="178" t="s">
        <v>43</v>
      </c>
      <c r="I253" s="178"/>
      <c r="J253" s="178"/>
      <c r="K253" s="178"/>
      <c r="L253" s="178" t="s">
        <v>60</v>
      </c>
      <c r="M253" s="178">
        <v>90</v>
      </c>
      <c r="N253" s="178">
        <v>400</v>
      </c>
      <c r="O253" s="178"/>
      <c r="P253" s="178"/>
      <c r="Q253" s="178"/>
      <c r="R253" s="178" t="s">
        <v>19</v>
      </c>
      <c r="S253" s="181"/>
      <c r="T253" s="181"/>
      <c r="U253" s="182"/>
      <c r="V253" s="182" t="s">
        <v>35</v>
      </c>
      <c r="W253" s="183">
        <v>100</v>
      </c>
      <c r="X253" s="182" t="s">
        <v>51</v>
      </c>
      <c r="Y253" s="184">
        <v>1790</v>
      </c>
      <c r="Z253" s="184">
        <v>1790</v>
      </c>
      <c r="AA253" s="184">
        <v>1790</v>
      </c>
      <c r="AB253" s="184">
        <v>1790</v>
      </c>
      <c r="AC253" s="184">
        <v>1790</v>
      </c>
      <c r="AD253" s="184">
        <v>1790</v>
      </c>
      <c r="AE253" s="184">
        <v>1750</v>
      </c>
      <c r="AF253" s="184">
        <v>1750</v>
      </c>
      <c r="AG253" s="184">
        <v>1750</v>
      </c>
      <c r="AH253" s="184">
        <v>1750</v>
      </c>
      <c r="AI253" s="184">
        <v>1750</v>
      </c>
      <c r="AJ253" s="184">
        <v>1750</v>
      </c>
      <c r="AK253" s="184"/>
      <c r="AL253" s="184"/>
      <c r="AM253" s="184">
        <v>1750</v>
      </c>
      <c r="AN253" s="184">
        <v>1750</v>
      </c>
      <c r="AO253" s="184">
        <v>1750</v>
      </c>
      <c r="AP253" s="184">
        <v>1750</v>
      </c>
      <c r="AQ253" s="184">
        <v>1750</v>
      </c>
      <c r="AR253" s="184">
        <v>1750</v>
      </c>
      <c r="AS253" s="184">
        <v>1750</v>
      </c>
      <c r="AT253" s="184">
        <v>1750</v>
      </c>
      <c r="AU253" s="184">
        <v>1750</v>
      </c>
      <c r="AV253" s="184">
        <v>1750</v>
      </c>
      <c r="AW253" s="184">
        <v>1620</v>
      </c>
      <c r="AX253" s="184">
        <v>1620</v>
      </c>
      <c r="AY253" s="184">
        <v>1620</v>
      </c>
      <c r="AZ253" s="184"/>
      <c r="BA253" s="184"/>
      <c r="BB253" s="184"/>
      <c r="BC253" s="184"/>
      <c r="BD253" s="184"/>
      <c r="BE253" s="184"/>
      <c r="BF253" s="184"/>
      <c r="BG253" s="184"/>
      <c r="BH253" s="184"/>
      <c r="BI253" s="184"/>
      <c r="BJ253" s="184"/>
      <c r="BK253" s="184"/>
      <c r="BL253" s="184"/>
      <c r="BM253" s="184"/>
      <c r="BN253" s="184"/>
      <c r="BO253" s="184"/>
      <c r="BP253" s="184"/>
      <c r="BQ253" s="184"/>
      <c r="BR253" s="184"/>
      <c r="BS253" s="184"/>
      <c r="BT253" s="184"/>
      <c r="BU253" s="146" cm="1">
        <f t="array" ref="BU253">LOOKUP(2,1/(Y253:BT253&lt;&gt;""),Y253:BH253)</f>
        <v>1620</v>
      </c>
      <c r="BV253" s="145" cm="1">
        <f t="array" aca="1" ref="BV253" ca="1">_xlfn.LET(
    _xlpm.last_col_idx, LOOKUP(2, 1/(Y253:BT253&lt;&gt;""), COLUMN(Y253:BT253) - COLUMN(Y253) + 1),
    _xlpm.header_val, INDEX($Y$3:$BT$3, 1, _xlpm.last_col_idx),
    _xlpm.header_date, IF(ISNUMBER(_xlpm.header_val), _xlpm.header_val, DATEVALUE(_xlpm.header_val)),
    IF(_xlpm.header_date &gt; TODAY(), TODAY(), _xlpm.header_date)
)</f>
        <v>45717</v>
      </c>
      <c r="BW253" s="209" t="e" cm="1">
        <f t="array" ref="BW253">(LOOKUP(2,1/(BH253:BT253&lt;&gt;""),BH253:BT253))/(INDEX(BH253:BT253,MATCH(TRUE,INDEX((BH253:BT253&lt;&gt;0),0),0)))-1</f>
        <v>#N/A</v>
      </c>
      <c r="BX253" s="210">
        <f t="shared" si="42"/>
        <v>1.62</v>
      </c>
      <c r="BY253" s="210">
        <f t="shared" si="43"/>
        <v>9.5580000000000016</v>
      </c>
      <c r="BZ253" s="210">
        <f ca="1">IF(L253="BR",'Impostos e Frete'!$F$6,IF(L253="EU",'Impostos e Frete'!$I$3,IF(L253="CN",'Impostos e Frete'!$I$4,IF(L253="JP",'Impostos e Frete'!$I$5,IF(L253="RU",'Impostos e Frete'!$I$7,"ERRO")))))</f>
        <v>1.1330439999999999</v>
      </c>
      <c r="CA253" s="210">
        <f>VLOOKUP(L253,'Impostos e Frete'!$A$3:$B$7,2,0)*'Preços e Condições'!BY253</f>
        <v>1.3381200000000004</v>
      </c>
      <c r="CB253" s="147">
        <f t="shared" si="44"/>
        <v>0</v>
      </c>
      <c r="CC253" s="147">
        <f>IF(X253="BRL",'Impostos e Frete'!$B$11,'Impostos e Frete'!$B$12)</f>
        <v>9.1999999999999998E-2</v>
      </c>
      <c r="CD253" s="211">
        <f t="shared" ca="1" si="45"/>
        <v>12.121164000000002</v>
      </c>
      <c r="CE253" s="212">
        <f t="shared" ca="1" si="46"/>
        <v>0.78787566000000009</v>
      </c>
      <c r="CF253" s="213">
        <f>VLOOKUP(L253,'Impostos e Frete'!$A$3:$C$7,3,0)</f>
        <v>120</v>
      </c>
      <c r="CG253" s="213">
        <f t="shared" si="47"/>
        <v>90</v>
      </c>
      <c r="CH253" s="213">
        <f t="shared" si="48"/>
        <v>-30</v>
      </c>
      <c r="CI253" s="214">
        <f t="shared" ca="1" si="49"/>
        <v>0.18181745999999954</v>
      </c>
      <c r="CJ253" s="215">
        <f t="shared" ca="1" si="50"/>
        <v>12.302981460000002</v>
      </c>
      <c r="CK253" s="216">
        <f t="shared" ca="1" si="51"/>
        <v>0.79969379490000003</v>
      </c>
    </row>
    <row r="254" spans="1:89">
      <c r="A254" s="176">
        <v>18415</v>
      </c>
      <c r="B254" s="177">
        <v>104</v>
      </c>
      <c r="C254" s="178">
        <v>80</v>
      </c>
      <c r="D254" s="178">
        <v>1855</v>
      </c>
      <c r="E254" s="178" t="s">
        <v>49</v>
      </c>
      <c r="F254" s="179" t="s">
        <v>0</v>
      </c>
      <c r="G254" s="180" t="s">
        <v>71</v>
      </c>
      <c r="H254" s="178" t="s">
        <v>43</v>
      </c>
      <c r="I254" s="178"/>
      <c r="J254" s="178"/>
      <c r="K254" s="178"/>
      <c r="L254" s="178" t="s">
        <v>60</v>
      </c>
      <c r="M254" s="178">
        <v>90</v>
      </c>
      <c r="N254" s="178">
        <v>3300</v>
      </c>
      <c r="O254" s="178"/>
      <c r="P254" s="178"/>
      <c r="Q254" s="178"/>
      <c r="R254" s="178" t="s">
        <v>19</v>
      </c>
      <c r="S254" s="181"/>
      <c r="T254" s="181"/>
      <c r="U254" s="182"/>
      <c r="V254" s="182" t="s">
        <v>35</v>
      </c>
      <c r="W254" s="183">
        <v>100</v>
      </c>
      <c r="X254" s="182" t="s">
        <v>267</v>
      </c>
      <c r="Y254" s="184"/>
      <c r="Z254" s="184"/>
      <c r="AA254" s="184"/>
      <c r="AB254" s="184"/>
      <c r="AC254" s="184"/>
      <c r="AD254" s="184"/>
      <c r="AE254" s="184"/>
      <c r="AF254" s="184"/>
      <c r="AG254" s="184"/>
      <c r="AH254" s="184"/>
      <c r="AI254" s="184"/>
      <c r="AJ254" s="184"/>
      <c r="AK254" s="184"/>
      <c r="AL254" s="184"/>
      <c r="AM254" s="184"/>
      <c r="AN254" s="184"/>
      <c r="AO254" s="184"/>
      <c r="AP254" s="184"/>
      <c r="AQ254" s="184"/>
      <c r="AR254" s="184"/>
      <c r="AS254" s="184"/>
      <c r="AT254" s="184"/>
      <c r="AU254" s="184"/>
      <c r="AV254" s="184">
        <v>13400</v>
      </c>
      <c r="AW254" s="184">
        <v>13400</v>
      </c>
      <c r="AX254" s="184">
        <v>13400</v>
      </c>
      <c r="AY254" s="184">
        <v>13400</v>
      </c>
      <c r="AZ254" s="184">
        <v>13400</v>
      </c>
      <c r="BA254" s="184">
        <v>13400</v>
      </c>
      <c r="BB254" s="184">
        <v>12400</v>
      </c>
      <c r="BC254" s="184">
        <v>12400</v>
      </c>
      <c r="BD254" s="184">
        <v>12400</v>
      </c>
      <c r="BE254" s="184">
        <v>12400</v>
      </c>
      <c r="BF254" s="184">
        <v>12400</v>
      </c>
      <c r="BG254" s="184">
        <v>11650</v>
      </c>
      <c r="BH254" s="184">
        <v>11650</v>
      </c>
      <c r="BI254" s="184">
        <v>11650</v>
      </c>
      <c r="BJ254" s="184"/>
      <c r="BK254" s="184"/>
      <c r="BL254" s="184"/>
      <c r="BM254" s="184"/>
      <c r="BN254" s="184"/>
      <c r="BO254" s="184"/>
      <c r="BP254" s="184"/>
      <c r="BQ254" s="184"/>
      <c r="BR254" s="184"/>
      <c r="BS254" s="184"/>
      <c r="BT254" s="184"/>
      <c r="BU254" s="146" cm="1">
        <f t="array" ref="BU254">LOOKUP(2,1/(Y254:BT254&lt;&gt;""),Y254:BH254)</f>
        <v>11650</v>
      </c>
      <c r="BV254" s="145" cm="1">
        <f t="array" aca="1" ref="BV254" ca="1">_xlfn.LET(
    _xlpm.last_col_idx, LOOKUP(2, 1/(Y254:BT254&lt;&gt;""), COLUMN(Y254:BT254) - COLUMN(Y254) + 1),
    _xlpm.header_val, INDEX($Y$3:$BT$3, 1, _xlpm.last_col_idx),
    _xlpm.header_date, IF(ISNUMBER(_xlpm.header_val), _xlpm.header_val, DATEVALUE(_xlpm.header_val)),
    IF(_xlpm.header_date &gt; TODAY(), TODAY(), _xlpm.header_date)
)</f>
        <v>46023</v>
      </c>
      <c r="BW254" s="209" cm="1">
        <f t="array" ref="BW254">(LOOKUP(2,1/(BH254:BT254&lt;&gt;""),BH254:BT254))/(INDEX(BH254:BT254,MATCH(TRUE,INDEX((BH254:BT254&lt;&gt;0),0),0)))-1</f>
        <v>0</v>
      </c>
      <c r="BX254" s="210">
        <f t="shared" si="42"/>
        <v>11.65</v>
      </c>
      <c r="BY254" s="210">
        <f t="shared" si="43"/>
        <v>8.7375000000000007</v>
      </c>
      <c r="BZ254" s="210">
        <f ca="1">IF(L254="BR",'Impostos e Frete'!$F$6,IF(L254="EU",'Impostos e Frete'!$I$3,IF(L254="CN",'Impostos e Frete'!$I$4,IF(L254="JP",'Impostos e Frete'!$I$5,IF(L254="RU",'Impostos e Frete'!$I$7,"ERRO")))))</f>
        <v>1.1330439999999999</v>
      </c>
      <c r="CA254" s="210">
        <f>VLOOKUP(L254,'Impostos e Frete'!$A$3:$B$7,2,0)*'Preços e Condições'!BY254</f>
        <v>1.2232500000000002</v>
      </c>
      <c r="CB254" s="147">
        <f t="shared" si="44"/>
        <v>0</v>
      </c>
      <c r="CC254" s="147">
        <f>IF(X254="BRL",'Impostos e Frete'!$B$11,'Impostos e Frete'!$B$12)</f>
        <v>9.1999999999999998E-2</v>
      </c>
      <c r="CD254" s="211">
        <f t="shared" ca="1" si="45"/>
        <v>11.185794000000001</v>
      </c>
      <c r="CE254" s="212">
        <f t="shared" ca="1" si="46"/>
        <v>0.89486352000000002</v>
      </c>
      <c r="CF254" s="213">
        <f>VLOOKUP(L254,'Impostos e Frete'!$A$3:$C$7,3,0)</f>
        <v>120</v>
      </c>
      <c r="CG254" s="213">
        <f t="shared" si="47"/>
        <v>90</v>
      </c>
      <c r="CH254" s="213">
        <f t="shared" si="48"/>
        <v>-30</v>
      </c>
      <c r="CI254" s="214">
        <f t="shared" ca="1" si="49"/>
        <v>0.16778690999999846</v>
      </c>
      <c r="CJ254" s="215">
        <f t="shared" ca="1" si="50"/>
        <v>11.35358091</v>
      </c>
      <c r="CK254" s="216">
        <f t="shared" ca="1" si="51"/>
        <v>0.90828647279999997</v>
      </c>
    </row>
    <row r="255" spans="1:89">
      <c r="A255" s="176">
        <v>18415</v>
      </c>
      <c r="B255" s="177">
        <v>104</v>
      </c>
      <c r="C255" s="178">
        <v>80</v>
      </c>
      <c r="D255" s="178">
        <v>1855</v>
      </c>
      <c r="E255" s="178" t="s">
        <v>49</v>
      </c>
      <c r="F255" s="179" t="s">
        <v>0</v>
      </c>
      <c r="G255" s="180" t="s">
        <v>71</v>
      </c>
      <c r="H255" s="178" t="s">
        <v>43</v>
      </c>
      <c r="I255" s="178"/>
      <c r="J255" s="178"/>
      <c r="K255" s="178"/>
      <c r="L255" s="178" t="s">
        <v>60</v>
      </c>
      <c r="M255" s="178">
        <v>90</v>
      </c>
      <c r="N255" s="178">
        <v>400</v>
      </c>
      <c r="O255" s="178"/>
      <c r="P255" s="178"/>
      <c r="Q255" s="178"/>
      <c r="R255" s="178" t="s">
        <v>19</v>
      </c>
      <c r="S255" s="181"/>
      <c r="T255" s="181"/>
      <c r="U255" s="182"/>
      <c r="V255" s="182" t="s">
        <v>35</v>
      </c>
      <c r="W255" s="183">
        <v>100</v>
      </c>
      <c r="X255" s="182" t="s">
        <v>51</v>
      </c>
      <c r="Y255" s="184">
        <v>2000</v>
      </c>
      <c r="Z255" s="184">
        <v>2000</v>
      </c>
      <c r="AA255" s="184">
        <v>2000</v>
      </c>
      <c r="AB255" s="184">
        <v>2000</v>
      </c>
      <c r="AC255" s="184">
        <v>2000</v>
      </c>
      <c r="AD255" s="184">
        <v>2000</v>
      </c>
      <c r="AE255" s="184">
        <v>1920</v>
      </c>
      <c r="AF255" s="184">
        <v>1860</v>
      </c>
      <c r="AG255" s="184">
        <v>1860</v>
      </c>
      <c r="AH255" s="184">
        <v>1860</v>
      </c>
      <c r="AI255" s="184">
        <v>1860</v>
      </c>
      <c r="AJ255" s="184">
        <v>1860</v>
      </c>
      <c r="AK255" s="184">
        <v>1860</v>
      </c>
      <c r="AL255" s="184">
        <v>1860</v>
      </c>
      <c r="AM255" s="184">
        <v>1860</v>
      </c>
      <c r="AN255" s="184">
        <v>1830</v>
      </c>
      <c r="AO255" s="184">
        <v>1780</v>
      </c>
      <c r="AP255" s="184">
        <v>1780</v>
      </c>
      <c r="AQ255" s="184">
        <v>1780</v>
      </c>
      <c r="AR255" s="184">
        <v>1780</v>
      </c>
      <c r="AS255" s="184">
        <v>1780</v>
      </c>
      <c r="AT255" s="184">
        <v>1780</v>
      </c>
      <c r="AU255" s="184">
        <v>1780</v>
      </c>
      <c r="AV255" s="184">
        <v>1780</v>
      </c>
      <c r="AW255" s="184">
        <v>1730</v>
      </c>
      <c r="AX255" s="184">
        <v>1730</v>
      </c>
      <c r="AY255" s="184">
        <v>1730</v>
      </c>
      <c r="AZ255" s="184"/>
      <c r="BA255" s="184"/>
      <c r="BB255" s="184"/>
      <c r="BC255" s="184"/>
      <c r="BD255" s="184"/>
      <c r="BE255" s="184"/>
      <c r="BF255" s="184"/>
      <c r="BG255" s="184"/>
      <c r="BH255" s="184"/>
      <c r="BI255" s="184"/>
      <c r="BJ255" s="184"/>
      <c r="BK255" s="184"/>
      <c r="BL255" s="184"/>
      <c r="BM255" s="184"/>
      <c r="BN255" s="184"/>
      <c r="BO255" s="184"/>
      <c r="BP255" s="184"/>
      <c r="BQ255" s="184"/>
      <c r="BR255" s="184"/>
      <c r="BS255" s="184"/>
      <c r="BT255" s="184"/>
      <c r="BU255" s="146" cm="1">
        <f t="array" ref="BU255">LOOKUP(2,1/(Y255:BT255&lt;&gt;""),Y255:BH255)</f>
        <v>1730</v>
      </c>
      <c r="BV255" s="145" cm="1">
        <f t="array" aca="1" ref="BV255" ca="1">_xlfn.LET(
    _xlpm.last_col_idx, LOOKUP(2, 1/(Y255:BT255&lt;&gt;""), COLUMN(Y255:BT255) - COLUMN(Y255) + 1),
    _xlpm.header_val, INDEX($Y$3:$BT$3, 1, _xlpm.last_col_idx),
    _xlpm.header_date, IF(ISNUMBER(_xlpm.header_val), _xlpm.header_val, DATEVALUE(_xlpm.header_val)),
    IF(_xlpm.header_date &gt; TODAY(), TODAY(), _xlpm.header_date)
)</f>
        <v>45717</v>
      </c>
      <c r="BW255" s="209" t="e" cm="1">
        <f t="array" ref="BW255">(LOOKUP(2,1/(BH255:BT255&lt;&gt;""),BH255:BT255))/(INDEX(BH255:BT255,MATCH(TRUE,INDEX((BH255:BT255&lt;&gt;0),0),0)))-1</f>
        <v>#N/A</v>
      </c>
      <c r="BX255" s="210">
        <f t="shared" si="42"/>
        <v>1.73</v>
      </c>
      <c r="BY255" s="210">
        <f t="shared" si="43"/>
        <v>10.207000000000001</v>
      </c>
      <c r="BZ255" s="210">
        <f ca="1">IF(L255="BR",'Impostos e Frete'!$F$6,IF(L255="EU",'Impostos e Frete'!$I$3,IF(L255="CN",'Impostos e Frete'!$I$4,IF(L255="JP",'Impostos e Frete'!$I$5,IF(L255="RU",'Impostos e Frete'!$I$7,"ERRO")))))</f>
        <v>1.1330439999999999</v>
      </c>
      <c r="CA255" s="210">
        <f>VLOOKUP(L255,'Impostos e Frete'!$A$3:$B$7,2,0)*'Preços e Condições'!BY255</f>
        <v>1.4289800000000001</v>
      </c>
      <c r="CB255" s="147">
        <f t="shared" si="44"/>
        <v>0</v>
      </c>
      <c r="CC255" s="147">
        <f>IF(X255="BRL",'Impostos e Frete'!$B$11,'Impostos e Frete'!$B$12)</f>
        <v>9.1999999999999998E-2</v>
      </c>
      <c r="CD255" s="211">
        <f t="shared" ca="1" si="45"/>
        <v>12.861024000000002</v>
      </c>
      <c r="CE255" s="212">
        <f t="shared" ca="1" si="46"/>
        <v>1.0288819200000001</v>
      </c>
      <c r="CF255" s="213">
        <f>VLOOKUP(L255,'Impostos e Frete'!$A$3:$C$7,3,0)</f>
        <v>120</v>
      </c>
      <c r="CG255" s="213">
        <f t="shared" si="47"/>
        <v>90</v>
      </c>
      <c r="CH255" s="213">
        <f t="shared" si="48"/>
        <v>-30</v>
      </c>
      <c r="CI255" s="214">
        <f t="shared" ca="1" si="49"/>
        <v>0.19291535999999887</v>
      </c>
      <c r="CJ255" s="215">
        <f t="shared" ca="1" si="50"/>
        <v>13.053939360000001</v>
      </c>
      <c r="CK255" s="216">
        <f t="shared" ca="1" si="51"/>
        <v>1.0443151488</v>
      </c>
    </row>
    <row r="256" spans="1:89">
      <c r="A256" s="176">
        <v>18416</v>
      </c>
      <c r="B256" s="177">
        <v>104</v>
      </c>
      <c r="C256" s="178">
        <v>70</v>
      </c>
      <c r="D256" s="178">
        <v>2175</v>
      </c>
      <c r="E256" s="178" t="s">
        <v>50</v>
      </c>
      <c r="F256" s="179" t="s">
        <v>0</v>
      </c>
      <c r="G256" s="180" t="s">
        <v>71</v>
      </c>
      <c r="H256" s="178" t="s">
        <v>43</v>
      </c>
      <c r="I256" s="178"/>
      <c r="J256" s="178"/>
      <c r="K256" s="178"/>
      <c r="L256" s="178" t="s">
        <v>60</v>
      </c>
      <c r="M256" s="178">
        <v>90</v>
      </c>
      <c r="N256" s="178">
        <v>3300</v>
      </c>
      <c r="O256" s="178"/>
      <c r="P256" s="178"/>
      <c r="Q256" s="178"/>
      <c r="R256" s="178" t="s">
        <v>19</v>
      </c>
      <c r="S256" s="181"/>
      <c r="T256" s="181"/>
      <c r="U256" s="182"/>
      <c r="V256" s="182" t="s">
        <v>35</v>
      </c>
      <c r="W256" s="183">
        <v>100</v>
      </c>
      <c r="X256" s="182" t="s">
        <v>267</v>
      </c>
      <c r="Y256" s="184"/>
      <c r="Z256" s="184"/>
      <c r="AA256" s="184"/>
      <c r="AB256" s="184"/>
      <c r="AC256" s="184"/>
      <c r="AD256" s="184"/>
      <c r="AE256" s="184"/>
      <c r="AF256" s="184"/>
      <c r="AG256" s="184"/>
      <c r="AH256" s="184"/>
      <c r="AI256" s="184"/>
      <c r="AJ256" s="184"/>
      <c r="AK256" s="184"/>
      <c r="AL256" s="184"/>
      <c r="AM256" s="184"/>
      <c r="AN256" s="184"/>
      <c r="AO256" s="184"/>
      <c r="AP256" s="184"/>
      <c r="AQ256" s="184"/>
      <c r="AR256" s="184"/>
      <c r="AS256" s="184"/>
      <c r="AT256" s="184"/>
      <c r="AU256" s="184"/>
      <c r="AV256" s="184">
        <v>13600</v>
      </c>
      <c r="AW256" s="184">
        <v>13600</v>
      </c>
      <c r="AX256" s="184">
        <v>13600</v>
      </c>
      <c r="AY256" s="184">
        <v>13600</v>
      </c>
      <c r="AZ256" s="184">
        <v>13600</v>
      </c>
      <c r="BA256" s="184">
        <v>13600</v>
      </c>
      <c r="BB256" s="184">
        <v>12800</v>
      </c>
      <c r="BC256" s="184">
        <v>12800</v>
      </c>
      <c r="BD256" s="184">
        <v>12800</v>
      </c>
      <c r="BE256" s="184">
        <v>12800</v>
      </c>
      <c r="BF256" s="184">
        <v>12800</v>
      </c>
      <c r="BG256" s="184">
        <v>11650</v>
      </c>
      <c r="BH256" s="184">
        <v>11650</v>
      </c>
      <c r="BI256" s="184">
        <v>11650</v>
      </c>
      <c r="BJ256" s="184"/>
      <c r="BK256" s="184"/>
      <c r="BL256" s="184"/>
      <c r="BM256" s="184"/>
      <c r="BN256" s="184"/>
      <c r="BO256" s="184"/>
      <c r="BP256" s="184"/>
      <c r="BQ256" s="184"/>
      <c r="BR256" s="184"/>
      <c r="BS256" s="184"/>
      <c r="BT256" s="184"/>
      <c r="BU256" s="146" cm="1">
        <f t="array" ref="BU256">LOOKUP(2,1/(Y256:BT256&lt;&gt;""),Y256:BH256)</f>
        <v>11650</v>
      </c>
      <c r="BV256" s="145" cm="1">
        <f t="array" aca="1" ref="BV256" ca="1">_xlfn.LET(
    _xlpm.last_col_idx, LOOKUP(2, 1/(Y256:BT256&lt;&gt;""), COLUMN(Y256:BT256) - COLUMN(Y256) + 1),
    _xlpm.header_val, INDEX($Y$3:$BT$3, 1, _xlpm.last_col_idx),
    _xlpm.header_date, IF(ISNUMBER(_xlpm.header_val), _xlpm.header_val, DATEVALUE(_xlpm.header_val)),
    IF(_xlpm.header_date &gt; TODAY(), TODAY(), _xlpm.header_date)
)</f>
        <v>46023</v>
      </c>
      <c r="BW256" s="209" cm="1">
        <f t="array" ref="BW256">(LOOKUP(2,1/(BH256:BT256&lt;&gt;""),BH256:BT256))/(INDEX(BH256:BT256,MATCH(TRUE,INDEX((BH256:BT256&lt;&gt;0),0),0)))-1</f>
        <v>0</v>
      </c>
      <c r="BX256" s="210">
        <f t="shared" si="42"/>
        <v>11.65</v>
      </c>
      <c r="BY256" s="210">
        <f t="shared" si="43"/>
        <v>8.7375000000000007</v>
      </c>
      <c r="BZ256" s="210">
        <f ca="1">IF(L256="BR",'Impostos e Frete'!$F$6,IF(L256="EU",'Impostos e Frete'!$I$3,IF(L256="CN",'Impostos e Frete'!$I$4,IF(L256="JP",'Impostos e Frete'!$I$5,IF(L256="RU",'Impostos e Frete'!$I$7,"ERRO")))))</f>
        <v>1.1330439999999999</v>
      </c>
      <c r="CA256" s="210">
        <f>VLOOKUP(L256,'Impostos e Frete'!$A$3:$B$7,2,0)*'Preços e Condições'!BY256</f>
        <v>1.2232500000000002</v>
      </c>
      <c r="CB256" s="147">
        <f t="shared" si="44"/>
        <v>0</v>
      </c>
      <c r="CC256" s="147">
        <f>IF(X256="BRL",'Impostos e Frete'!$B$11,'Impostos e Frete'!$B$12)</f>
        <v>9.1999999999999998E-2</v>
      </c>
      <c r="CD256" s="211">
        <f t="shared" ca="1" si="45"/>
        <v>11.185794000000001</v>
      </c>
      <c r="CE256" s="212">
        <f t="shared" ca="1" si="46"/>
        <v>0.78300558000000009</v>
      </c>
      <c r="CF256" s="213">
        <f>VLOOKUP(L256,'Impostos e Frete'!$A$3:$C$7,3,0)</f>
        <v>120</v>
      </c>
      <c r="CG256" s="213">
        <f t="shared" si="47"/>
        <v>90</v>
      </c>
      <c r="CH256" s="213">
        <f t="shared" si="48"/>
        <v>-30</v>
      </c>
      <c r="CI256" s="214">
        <f t="shared" ca="1" si="49"/>
        <v>0.16778690999999846</v>
      </c>
      <c r="CJ256" s="215">
        <f t="shared" ca="1" si="50"/>
        <v>11.35358091</v>
      </c>
      <c r="CK256" s="216">
        <f t="shared" ca="1" si="51"/>
        <v>0.79475066369999992</v>
      </c>
    </row>
    <row r="257" spans="1:89">
      <c r="A257" s="176">
        <v>18416</v>
      </c>
      <c r="B257" s="177">
        <v>104</v>
      </c>
      <c r="C257" s="178">
        <v>70</v>
      </c>
      <c r="D257" s="178">
        <v>2175</v>
      </c>
      <c r="E257" s="178" t="s">
        <v>50</v>
      </c>
      <c r="F257" s="179" t="s">
        <v>0</v>
      </c>
      <c r="G257" s="180" t="s">
        <v>71</v>
      </c>
      <c r="H257" s="178" t="s">
        <v>43</v>
      </c>
      <c r="I257" s="178"/>
      <c r="J257" s="178"/>
      <c r="K257" s="178"/>
      <c r="L257" s="178" t="s">
        <v>60</v>
      </c>
      <c r="M257" s="178">
        <v>90</v>
      </c>
      <c r="N257" s="178">
        <v>400</v>
      </c>
      <c r="O257" s="178"/>
      <c r="P257" s="178"/>
      <c r="Q257" s="178"/>
      <c r="R257" s="178" t="s">
        <v>19</v>
      </c>
      <c r="S257" s="181"/>
      <c r="T257" s="181"/>
      <c r="U257" s="182"/>
      <c r="V257" s="182" t="s">
        <v>35</v>
      </c>
      <c r="W257" s="183">
        <v>100</v>
      </c>
      <c r="X257" s="182" t="s">
        <v>51</v>
      </c>
      <c r="Y257" s="184">
        <v>2000</v>
      </c>
      <c r="Z257" s="184">
        <v>2000</v>
      </c>
      <c r="AA257" s="184">
        <v>2000</v>
      </c>
      <c r="AB257" s="184">
        <v>2000</v>
      </c>
      <c r="AC257" s="184">
        <v>2000</v>
      </c>
      <c r="AD257" s="184">
        <v>2000</v>
      </c>
      <c r="AE257" s="184">
        <v>1920</v>
      </c>
      <c r="AF257" s="184">
        <v>1860</v>
      </c>
      <c r="AG257" s="184">
        <v>1860</v>
      </c>
      <c r="AH257" s="184">
        <v>1860</v>
      </c>
      <c r="AI257" s="184">
        <v>1860</v>
      </c>
      <c r="AJ257" s="184">
        <v>1860</v>
      </c>
      <c r="AK257" s="184">
        <v>1860</v>
      </c>
      <c r="AL257" s="184">
        <v>1860</v>
      </c>
      <c r="AM257" s="184">
        <v>1860</v>
      </c>
      <c r="AN257" s="184">
        <v>1830</v>
      </c>
      <c r="AO257" s="184">
        <v>1800</v>
      </c>
      <c r="AP257" s="184">
        <v>1800</v>
      </c>
      <c r="AQ257" s="184">
        <v>1800</v>
      </c>
      <c r="AR257" s="184">
        <v>1800</v>
      </c>
      <c r="AS257" s="184">
        <v>1800</v>
      </c>
      <c r="AT257" s="184">
        <v>1800</v>
      </c>
      <c r="AU257" s="184">
        <v>1800</v>
      </c>
      <c r="AV257" s="184">
        <v>1800</v>
      </c>
      <c r="AW257" s="184">
        <v>1760</v>
      </c>
      <c r="AX257" s="184">
        <v>1760</v>
      </c>
      <c r="AY257" s="184">
        <v>1760</v>
      </c>
      <c r="AZ257" s="184"/>
      <c r="BA257" s="184"/>
      <c r="BB257" s="184"/>
      <c r="BC257" s="184"/>
      <c r="BD257" s="184"/>
      <c r="BE257" s="184"/>
      <c r="BF257" s="184"/>
      <c r="BG257" s="184"/>
      <c r="BH257" s="184"/>
      <c r="BI257" s="184"/>
      <c r="BJ257" s="184"/>
      <c r="BK257" s="184"/>
      <c r="BL257" s="184"/>
      <c r="BM257" s="184"/>
      <c r="BN257" s="184"/>
      <c r="BO257" s="184"/>
      <c r="BP257" s="184"/>
      <c r="BQ257" s="184"/>
      <c r="BR257" s="184"/>
      <c r="BS257" s="184"/>
      <c r="BT257" s="184"/>
      <c r="BU257" s="146" cm="1">
        <f t="array" ref="BU257">LOOKUP(2,1/(Y257:BT257&lt;&gt;""),Y257:BH257)</f>
        <v>1760</v>
      </c>
      <c r="BV257" s="145" cm="1">
        <f t="array" aca="1" ref="BV257" ca="1">_xlfn.LET(
    _xlpm.last_col_idx, LOOKUP(2, 1/(Y257:BT257&lt;&gt;""), COLUMN(Y257:BT257) - COLUMN(Y257) + 1),
    _xlpm.header_val, INDEX($Y$3:$BT$3, 1, _xlpm.last_col_idx),
    _xlpm.header_date, IF(ISNUMBER(_xlpm.header_val), _xlpm.header_val, DATEVALUE(_xlpm.header_val)),
    IF(_xlpm.header_date &gt; TODAY(), TODAY(), _xlpm.header_date)
)</f>
        <v>45717</v>
      </c>
      <c r="BW257" s="209" t="e" cm="1">
        <f t="array" ref="BW257">(LOOKUP(2,1/(BH257:BT257&lt;&gt;""),BH257:BT257))/(INDEX(BH257:BT257,MATCH(TRUE,INDEX((BH257:BT257&lt;&gt;0),0),0)))-1</f>
        <v>#N/A</v>
      </c>
      <c r="BX257" s="210">
        <f t="shared" si="42"/>
        <v>1.76</v>
      </c>
      <c r="BY257" s="210">
        <f t="shared" si="43"/>
        <v>10.384</v>
      </c>
      <c r="BZ257" s="210">
        <f ca="1">IF(L257="BR",'Impostos e Frete'!$F$6,IF(L257="EU",'Impostos e Frete'!$I$3,IF(L257="CN",'Impostos e Frete'!$I$4,IF(L257="JP",'Impostos e Frete'!$I$5,IF(L257="RU",'Impostos e Frete'!$I$7,"ERRO")))))</f>
        <v>1.1330439999999999</v>
      </c>
      <c r="CA257" s="210">
        <f>VLOOKUP(L257,'Impostos e Frete'!$A$3:$B$7,2,0)*'Preços e Condições'!BY257</f>
        <v>1.4537600000000002</v>
      </c>
      <c r="CB257" s="147">
        <f t="shared" si="44"/>
        <v>0</v>
      </c>
      <c r="CC257" s="147">
        <f>IF(X257="BRL",'Impostos e Frete'!$B$11,'Impostos e Frete'!$B$12)</f>
        <v>9.1999999999999998E-2</v>
      </c>
      <c r="CD257" s="211">
        <f t="shared" ca="1" si="45"/>
        <v>13.062804000000002</v>
      </c>
      <c r="CE257" s="212">
        <f t="shared" ca="1" si="46"/>
        <v>0.91439628000000006</v>
      </c>
      <c r="CF257" s="213">
        <f>VLOOKUP(L257,'Impostos e Frete'!$A$3:$C$7,3,0)</f>
        <v>120</v>
      </c>
      <c r="CG257" s="213">
        <f t="shared" si="47"/>
        <v>90</v>
      </c>
      <c r="CH257" s="213">
        <f t="shared" si="48"/>
        <v>-30</v>
      </c>
      <c r="CI257" s="214">
        <f t="shared" ca="1" si="49"/>
        <v>0.19594205999999836</v>
      </c>
      <c r="CJ257" s="215">
        <f t="shared" ca="1" si="50"/>
        <v>13.25874606</v>
      </c>
      <c r="CK257" s="216">
        <f t="shared" ca="1" si="51"/>
        <v>0.92811222419999995</v>
      </c>
    </row>
    <row r="258" spans="1:89">
      <c r="A258" s="176">
        <v>18423</v>
      </c>
      <c r="B258" s="177">
        <v>128</v>
      </c>
      <c r="C258" s="178">
        <v>65</v>
      </c>
      <c r="D258" s="178">
        <v>2175</v>
      </c>
      <c r="E258" s="178" t="s">
        <v>50</v>
      </c>
      <c r="F258" s="179" t="s">
        <v>0</v>
      </c>
      <c r="G258" s="180" t="s">
        <v>72</v>
      </c>
      <c r="H258" s="178" t="s">
        <v>43</v>
      </c>
      <c r="I258" s="178"/>
      <c r="J258" s="178"/>
      <c r="K258" s="178"/>
      <c r="L258" s="178" t="s">
        <v>60</v>
      </c>
      <c r="M258" s="178">
        <v>90</v>
      </c>
      <c r="N258" s="178">
        <v>3300</v>
      </c>
      <c r="O258" s="178"/>
      <c r="P258" s="178"/>
      <c r="Q258" s="178"/>
      <c r="R258" s="178" t="s">
        <v>19</v>
      </c>
      <c r="S258" s="181"/>
      <c r="T258" s="181"/>
      <c r="U258" s="182"/>
      <c r="V258" s="182" t="s">
        <v>35</v>
      </c>
      <c r="W258" s="183">
        <v>100</v>
      </c>
      <c r="X258" s="182" t="s">
        <v>267</v>
      </c>
      <c r="Y258" s="184"/>
      <c r="Z258" s="184"/>
      <c r="AA258" s="184"/>
      <c r="AB258" s="184"/>
      <c r="AC258" s="184"/>
      <c r="AD258" s="184"/>
      <c r="AE258" s="184"/>
      <c r="AF258" s="184"/>
      <c r="AG258" s="184"/>
      <c r="AH258" s="184"/>
      <c r="AI258" s="184"/>
      <c r="AJ258" s="184"/>
      <c r="AK258" s="184"/>
      <c r="AL258" s="184"/>
      <c r="AM258" s="184"/>
      <c r="AN258" s="184"/>
      <c r="AO258" s="184"/>
      <c r="AP258" s="184"/>
      <c r="AQ258" s="184"/>
      <c r="AR258" s="184"/>
      <c r="AS258" s="184"/>
      <c r="AT258" s="184"/>
      <c r="AU258" s="184"/>
      <c r="AV258" s="184"/>
      <c r="AW258" s="184"/>
      <c r="AX258" s="184"/>
      <c r="AY258" s="184"/>
      <c r="AZ258" s="184"/>
      <c r="BA258" s="184"/>
      <c r="BB258" s="184"/>
      <c r="BC258" s="184">
        <v>12500</v>
      </c>
      <c r="BD258" s="184">
        <v>11900</v>
      </c>
      <c r="BE258" s="184">
        <v>11900</v>
      </c>
      <c r="BF258" s="184">
        <v>11900</v>
      </c>
      <c r="BG258" s="184">
        <v>10950</v>
      </c>
      <c r="BH258" s="184">
        <v>10950</v>
      </c>
      <c r="BI258" s="184">
        <v>10950</v>
      </c>
      <c r="BJ258" s="184"/>
      <c r="BK258" s="184"/>
      <c r="BL258" s="184"/>
      <c r="BM258" s="184"/>
      <c r="BN258" s="184"/>
      <c r="BO258" s="184"/>
      <c r="BP258" s="184"/>
      <c r="BQ258" s="184"/>
      <c r="BR258" s="184"/>
      <c r="BS258" s="184"/>
      <c r="BT258" s="184"/>
      <c r="BU258" s="146" cm="1">
        <f t="array" ref="BU258">LOOKUP(2,1/(Y258:BT258&lt;&gt;""),Y258:BH258)</f>
        <v>10950</v>
      </c>
      <c r="BV258" s="145" cm="1">
        <f t="array" aca="1" ref="BV258" ca="1">_xlfn.LET(
    _xlpm.last_col_idx, LOOKUP(2, 1/(Y258:BT258&lt;&gt;""), COLUMN(Y258:BT258) - COLUMN(Y258) + 1),
    _xlpm.header_val, INDEX($Y$3:$BT$3, 1, _xlpm.last_col_idx),
    _xlpm.header_date, IF(ISNUMBER(_xlpm.header_val), _xlpm.header_val, DATEVALUE(_xlpm.header_val)),
    IF(_xlpm.header_date &gt; TODAY(), TODAY(), _xlpm.header_date)
)</f>
        <v>46023</v>
      </c>
      <c r="BW258" s="209" cm="1">
        <f t="array" ref="BW258">(LOOKUP(2,1/(BH258:BT258&lt;&gt;""),BH258:BT258))/(INDEX(BH258:BT258,MATCH(TRUE,INDEX((BH258:BT258&lt;&gt;0),0),0)))-1</f>
        <v>0</v>
      </c>
      <c r="BX258" s="210">
        <f t="shared" si="42"/>
        <v>10.95</v>
      </c>
      <c r="BY258" s="210">
        <f t="shared" si="43"/>
        <v>8.2124999999999986</v>
      </c>
      <c r="BZ258" s="210">
        <f ca="1">IF(L258="BR",'Impostos e Frete'!$F$6,IF(L258="EU",'Impostos e Frete'!$I$3,IF(L258="CN",'Impostos e Frete'!$I$4,IF(L258="JP",'Impostos e Frete'!$I$5,IF(L258="RU",'Impostos e Frete'!$I$7,"ERRO")))))</f>
        <v>1.1330439999999999</v>
      </c>
      <c r="CA258" s="210">
        <f>VLOOKUP(L258,'Impostos e Frete'!$A$3:$B$7,2,0)*'Preços e Condições'!BY258</f>
        <v>1.1497499999999998</v>
      </c>
      <c r="CB258" s="147">
        <f t="shared" si="44"/>
        <v>0</v>
      </c>
      <c r="CC258" s="147">
        <f>IF(X258="BRL",'Impostos e Frete'!$B$11,'Impostos e Frete'!$B$12)</f>
        <v>9.1999999999999998E-2</v>
      </c>
      <c r="CD258" s="211">
        <f t="shared" ca="1" si="45"/>
        <v>10.587293999999998</v>
      </c>
      <c r="CE258" s="212">
        <f t="shared" ca="1" si="46"/>
        <v>0.68817410999999995</v>
      </c>
      <c r="CF258" s="213">
        <f>VLOOKUP(L258,'Impostos e Frete'!$A$3:$C$7,3,0)</f>
        <v>120</v>
      </c>
      <c r="CG258" s="213">
        <f t="shared" si="47"/>
        <v>90</v>
      </c>
      <c r="CH258" s="213">
        <f t="shared" si="48"/>
        <v>-30</v>
      </c>
      <c r="CI258" s="214">
        <f t="shared" ca="1" si="49"/>
        <v>0.15880940999999815</v>
      </c>
      <c r="CJ258" s="215">
        <f t="shared" ca="1" si="50"/>
        <v>10.746103409999996</v>
      </c>
      <c r="CK258" s="216">
        <f t="shared" ca="1" si="51"/>
        <v>0.69849672164999976</v>
      </c>
    </row>
    <row r="259" spans="1:89">
      <c r="A259" s="176">
        <v>18424</v>
      </c>
      <c r="B259" s="177">
        <v>308</v>
      </c>
      <c r="C259" s="178">
        <v>72</v>
      </c>
      <c r="D259" s="178">
        <v>1860</v>
      </c>
      <c r="E259" s="178"/>
      <c r="F259" s="179" t="s">
        <v>0</v>
      </c>
      <c r="G259" s="180" t="s">
        <v>144</v>
      </c>
      <c r="H259" s="178" t="s">
        <v>43</v>
      </c>
      <c r="I259" s="178"/>
      <c r="J259" s="178"/>
      <c r="K259" s="178"/>
      <c r="L259" s="178" t="s">
        <v>60</v>
      </c>
      <c r="M259" s="178">
        <v>90</v>
      </c>
      <c r="N259" s="178">
        <v>400</v>
      </c>
      <c r="O259" s="178"/>
      <c r="P259" s="178"/>
      <c r="Q259" s="178"/>
      <c r="R259" s="178" t="s">
        <v>19</v>
      </c>
      <c r="S259" s="181"/>
      <c r="T259" s="181"/>
      <c r="U259" s="182"/>
      <c r="V259" s="182" t="s">
        <v>35</v>
      </c>
      <c r="W259" s="183">
        <v>100</v>
      </c>
      <c r="X259" s="182" t="s">
        <v>51</v>
      </c>
      <c r="Y259" s="184">
        <v>1600</v>
      </c>
      <c r="Z259" s="184">
        <v>1600</v>
      </c>
      <c r="AA259" s="184">
        <v>1600</v>
      </c>
      <c r="AB259" s="184">
        <v>1600</v>
      </c>
      <c r="AC259" s="184">
        <v>1600</v>
      </c>
      <c r="AD259" s="184">
        <v>1600</v>
      </c>
      <c r="AE259" s="184">
        <v>1600</v>
      </c>
      <c r="AF259" s="184">
        <v>1600</v>
      </c>
      <c r="AG259" s="184">
        <v>1600</v>
      </c>
      <c r="AH259" s="184">
        <v>1600</v>
      </c>
      <c r="AI259" s="184">
        <v>1600</v>
      </c>
      <c r="AJ259" s="184">
        <v>1600</v>
      </c>
      <c r="AK259" s="184"/>
      <c r="AL259" s="184"/>
      <c r="AM259" s="184"/>
      <c r="AN259" s="184"/>
      <c r="AO259" s="184"/>
      <c r="AP259" s="184"/>
      <c r="AQ259" s="184"/>
      <c r="AR259" s="184"/>
      <c r="AS259" s="184"/>
      <c r="AT259" s="184"/>
      <c r="AU259" s="184"/>
      <c r="AV259" s="184"/>
      <c r="AW259" s="184"/>
      <c r="AX259" s="184"/>
      <c r="AY259" s="184"/>
      <c r="AZ259" s="184"/>
      <c r="BA259" s="184"/>
      <c r="BB259" s="184"/>
      <c r="BC259" s="184"/>
      <c r="BD259" s="184"/>
      <c r="BE259" s="184"/>
      <c r="BF259" s="184"/>
      <c r="BG259" s="184"/>
      <c r="BH259" s="184"/>
      <c r="BI259" s="184"/>
      <c r="BJ259" s="184"/>
      <c r="BK259" s="184"/>
      <c r="BL259" s="184"/>
      <c r="BM259" s="184"/>
      <c r="BN259" s="184"/>
      <c r="BO259" s="184"/>
      <c r="BP259" s="184"/>
      <c r="BQ259" s="184"/>
      <c r="BR259" s="184"/>
      <c r="BS259" s="184"/>
      <c r="BT259" s="184"/>
      <c r="BU259" s="146" cm="1">
        <f t="array" ref="BU259">LOOKUP(2,1/(Y259:BT259&lt;&gt;""),Y259:BH259)</f>
        <v>1600</v>
      </c>
      <c r="BV259" s="145" cm="1">
        <f t="array" aca="1" ref="BV259" ca="1">_xlfn.LET(
    _xlpm.last_col_idx, LOOKUP(2, 1/(Y259:BT259&lt;&gt;""), COLUMN(Y259:BT259) - COLUMN(Y259) + 1),
    _xlpm.header_val, INDEX($Y$3:$BT$3, 1, _xlpm.last_col_idx),
    _xlpm.header_date, IF(ISNUMBER(_xlpm.header_val), _xlpm.header_val, DATEVALUE(_xlpm.header_val)),
    IF(_xlpm.header_date &gt; TODAY(), TODAY(), _xlpm.header_date)
)</f>
        <v>45261</v>
      </c>
      <c r="BW259" s="209" t="e" cm="1">
        <f t="array" ref="BW259">(LOOKUP(2,1/(BH259:BT259&lt;&gt;""),BH259:BT259))/(INDEX(BH259:BT259,MATCH(TRUE,INDEX((BH259:BT259&lt;&gt;0),0),0)))-1</f>
        <v>#N/A</v>
      </c>
      <c r="BX259" s="210">
        <f t="shared" si="42"/>
        <v>1.6</v>
      </c>
      <c r="BY259" s="210">
        <f t="shared" si="43"/>
        <v>9.4400000000000013</v>
      </c>
      <c r="BZ259" s="210">
        <f ca="1">IF(L259="BR",'Impostos e Frete'!$F$6,IF(L259="EU",'Impostos e Frete'!$I$3,IF(L259="CN",'Impostos e Frete'!$I$4,IF(L259="JP",'Impostos e Frete'!$I$5,IF(L259="RU",'Impostos e Frete'!$I$7,"ERRO")))))</f>
        <v>1.1330439999999999</v>
      </c>
      <c r="CA259" s="210">
        <f>VLOOKUP(L259,'Impostos e Frete'!$A$3:$B$7,2,0)*'Preços e Condições'!BY259</f>
        <v>1.3216000000000003</v>
      </c>
      <c r="CB259" s="147">
        <f t="shared" si="44"/>
        <v>0</v>
      </c>
      <c r="CC259" s="147">
        <f>IF(X259="BRL",'Impostos e Frete'!$B$11,'Impostos e Frete'!$B$12)</f>
        <v>9.1999999999999998E-2</v>
      </c>
      <c r="CD259" s="211">
        <f t="shared" ca="1" si="45"/>
        <v>11.986644000000002</v>
      </c>
      <c r="CE259" s="212">
        <f t="shared" ca="1" si="46"/>
        <v>0.86303836800000011</v>
      </c>
      <c r="CF259" s="213">
        <f>VLOOKUP(L259,'Impostos e Frete'!$A$3:$C$7,3,0)</f>
        <v>120</v>
      </c>
      <c r="CG259" s="213">
        <f t="shared" si="47"/>
        <v>90</v>
      </c>
      <c r="CH259" s="213">
        <f t="shared" si="48"/>
        <v>-30</v>
      </c>
      <c r="CI259" s="214">
        <f t="shared" ca="1" si="49"/>
        <v>0.1797996599999987</v>
      </c>
      <c r="CJ259" s="215">
        <f t="shared" ca="1" si="50"/>
        <v>12.166443660000001</v>
      </c>
      <c r="CK259" s="216">
        <f t="shared" ca="1" si="51"/>
        <v>0.87598394351999997</v>
      </c>
    </row>
    <row r="260" spans="1:89">
      <c r="A260" s="176">
        <v>18426</v>
      </c>
      <c r="B260" s="177">
        <v>86</v>
      </c>
      <c r="C260" s="178">
        <v>70</v>
      </c>
      <c r="D260" s="178">
        <v>1250</v>
      </c>
      <c r="E260" s="178" t="s">
        <v>49</v>
      </c>
      <c r="F260" s="179" t="s">
        <v>0</v>
      </c>
      <c r="G260" s="180" t="s">
        <v>340</v>
      </c>
      <c r="H260" s="178" t="s">
        <v>43</v>
      </c>
      <c r="I260" s="178" t="s">
        <v>100</v>
      </c>
      <c r="J260" s="178"/>
      <c r="K260" s="178"/>
      <c r="L260" s="178" t="s">
        <v>60</v>
      </c>
      <c r="M260" s="178">
        <v>90</v>
      </c>
      <c r="N260" s="178">
        <v>3300</v>
      </c>
      <c r="O260" s="178"/>
      <c r="P260" s="178"/>
      <c r="Q260" s="178"/>
      <c r="R260" s="178" t="s">
        <v>19</v>
      </c>
      <c r="S260" s="181"/>
      <c r="T260" s="181"/>
      <c r="U260" s="182"/>
      <c r="V260" s="182" t="s">
        <v>35</v>
      </c>
      <c r="W260" s="183">
        <v>100</v>
      </c>
      <c r="X260" s="182" t="s">
        <v>267</v>
      </c>
      <c r="Y260" s="184"/>
      <c r="Z260" s="184"/>
      <c r="AA260" s="184"/>
      <c r="AB260" s="184"/>
      <c r="AC260" s="184"/>
      <c r="AD260" s="184"/>
      <c r="AE260" s="184"/>
      <c r="AF260" s="184"/>
      <c r="AG260" s="184"/>
      <c r="AH260" s="184"/>
      <c r="AI260" s="184"/>
      <c r="AJ260" s="184"/>
      <c r="AK260" s="184"/>
      <c r="AL260" s="184"/>
      <c r="AM260" s="184"/>
      <c r="AN260" s="184"/>
      <c r="AO260" s="184"/>
      <c r="AP260" s="184"/>
      <c r="AQ260" s="184"/>
      <c r="AR260" s="184"/>
      <c r="AS260" s="184"/>
      <c r="AT260" s="184"/>
      <c r="AU260" s="184"/>
      <c r="AV260" s="184">
        <v>12100</v>
      </c>
      <c r="AW260" s="184">
        <v>12100</v>
      </c>
      <c r="AX260" s="184">
        <v>12100</v>
      </c>
      <c r="AY260" s="184">
        <v>12100</v>
      </c>
      <c r="AZ260" s="184">
        <v>12100</v>
      </c>
      <c r="BA260" s="184">
        <v>12100</v>
      </c>
      <c r="BB260" s="184">
        <v>12100</v>
      </c>
      <c r="BC260" s="184">
        <v>12100</v>
      </c>
      <c r="BD260" s="184">
        <v>11600</v>
      </c>
      <c r="BE260" s="184">
        <v>11600</v>
      </c>
      <c r="BF260" s="184"/>
      <c r="BG260" s="184">
        <v>11600</v>
      </c>
      <c r="BH260" s="184">
        <v>11600</v>
      </c>
      <c r="BI260" s="184">
        <v>11600</v>
      </c>
      <c r="BJ260" s="184"/>
      <c r="BK260" s="184"/>
      <c r="BL260" s="184"/>
      <c r="BM260" s="184"/>
      <c r="BN260" s="184"/>
      <c r="BO260" s="184"/>
      <c r="BP260" s="184"/>
      <c r="BQ260" s="184"/>
      <c r="BR260" s="184"/>
      <c r="BS260" s="184"/>
      <c r="BT260" s="184"/>
      <c r="BU260" s="146" cm="1">
        <f t="array" ref="BU260">LOOKUP(2,1/(Y260:BT260&lt;&gt;""),Y260:BH260)</f>
        <v>11600</v>
      </c>
      <c r="BV260" s="145" cm="1">
        <f t="array" aca="1" ref="BV260" ca="1">_xlfn.LET(
    _xlpm.last_col_idx, LOOKUP(2, 1/(Y260:BT260&lt;&gt;""), COLUMN(Y260:BT260) - COLUMN(Y260) + 1),
    _xlpm.header_val, INDEX($Y$3:$BT$3, 1, _xlpm.last_col_idx),
    _xlpm.header_date, IF(ISNUMBER(_xlpm.header_val), _xlpm.header_val, DATEVALUE(_xlpm.header_val)),
    IF(_xlpm.header_date &gt; TODAY(), TODAY(), _xlpm.header_date)
)</f>
        <v>46023</v>
      </c>
      <c r="BW260" s="209" cm="1">
        <f t="array" ref="BW260">(LOOKUP(2,1/(BH260:BT260&lt;&gt;""),BH260:BT260))/(INDEX(BH260:BT260,MATCH(TRUE,INDEX((BH260:BT260&lt;&gt;0),0),0)))-1</f>
        <v>0</v>
      </c>
      <c r="BX260" s="210">
        <f t="shared" ref="BX260:BX323" si="52">BU260/1000</f>
        <v>11.6</v>
      </c>
      <c r="BY260" s="210">
        <f t="shared" ref="BY260:BY323" si="53">IF(X260="BRL",BX260,IF(X260="EUR",BX260*$CK$2,IF(X260="USD",BX260*$CK$1,IF(X260="CNY",BX260*$CM$1,IF(X260="RUB",BX260*$CM$2,"CRRY#")))))</f>
        <v>8.6999999999999993</v>
      </c>
      <c r="BZ260" s="210">
        <f ca="1">IF(L260="BR",'Impostos e Frete'!$F$6,IF(L260="EU",'Impostos e Frete'!$I$3,IF(L260="CN",'Impostos e Frete'!$I$4,IF(L260="JP",'Impostos e Frete'!$I$5,IF(L260="RU",'Impostos e Frete'!$I$7,"ERRO")))))</f>
        <v>1.1330439999999999</v>
      </c>
      <c r="CA260" s="210">
        <f>VLOOKUP(L260,'Impostos e Frete'!$A$3:$B$7,2,0)*'Preços e Condições'!BY260</f>
        <v>1.218</v>
      </c>
      <c r="CB260" s="147">
        <f t="shared" ref="CB260:CB323" si="54">IF(R260="CFR",$CB$2,IF(R260="FOB",0,IF(R260="EXW",$CB$1,"ERRO")))</f>
        <v>0</v>
      </c>
      <c r="CC260" s="147">
        <f>IF(X260="BRL",'Impostos e Frete'!$B$11,'Impostos e Frete'!$B$12)</f>
        <v>9.1999999999999998E-2</v>
      </c>
      <c r="CD260" s="211">
        <f t="shared" ref="CD260:CD323" ca="1" si="55">SUM(BY260:CC260)</f>
        <v>11.143044</v>
      </c>
      <c r="CE260" s="212">
        <f t="shared" ref="CE260:CE323" ca="1" si="56">IF(C260="","erro",(CD260/1000)*C260)</f>
        <v>0.78001307999999991</v>
      </c>
      <c r="CF260" s="213">
        <f>VLOOKUP(L260,'Impostos e Frete'!$A$3:$C$7,3,0)</f>
        <v>120</v>
      </c>
      <c r="CG260" s="213">
        <f t="shared" ref="CG260:CG323" si="57">M260</f>
        <v>90</v>
      </c>
      <c r="CH260" s="213">
        <f t="shared" ref="CH260:CH323" si="58">CG260-CF260</f>
        <v>-30</v>
      </c>
      <c r="CI260" s="214">
        <f t="shared" ref="CI260:CI323" ca="1" si="59">CD260*(1+VALUE($CI$2))^((CH260*-1)/30)-CD260</f>
        <v>0.1671456599999992</v>
      </c>
      <c r="CJ260" s="215">
        <f t="shared" ref="CJ260:CJ323" ca="1" si="60">CD260+CI260</f>
        <v>11.310189659999999</v>
      </c>
      <c r="CK260" s="216">
        <f t="shared" ref="CK260:CK323" ca="1" si="61">IF(C260="","erro",(CJ260/1000)*C260)</f>
        <v>0.79171327619999998</v>
      </c>
    </row>
    <row r="261" spans="1:89">
      <c r="A261" s="176">
        <v>18427</v>
      </c>
      <c r="B261" s="177">
        <v>2</v>
      </c>
      <c r="C261" s="178">
        <v>80</v>
      </c>
      <c r="D261" s="178">
        <v>1845</v>
      </c>
      <c r="E261" s="178" t="s">
        <v>49</v>
      </c>
      <c r="F261" s="179" t="s">
        <v>0</v>
      </c>
      <c r="G261" s="180" t="s">
        <v>96</v>
      </c>
      <c r="H261" s="178" t="s">
        <v>43</v>
      </c>
      <c r="I261" s="178" t="s">
        <v>99</v>
      </c>
      <c r="J261" s="178"/>
      <c r="K261" s="178"/>
      <c r="L261" s="178" t="s">
        <v>60</v>
      </c>
      <c r="M261" s="178">
        <v>90</v>
      </c>
      <c r="N261" s="178">
        <v>3300</v>
      </c>
      <c r="O261" s="178"/>
      <c r="P261" s="178"/>
      <c r="Q261" s="178"/>
      <c r="R261" s="178" t="s">
        <v>19</v>
      </c>
      <c r="S261" s="181"/>
      <c r="T261" s="181"/>
      <c r="U261" s="182"/>
      <c r="V261" s="182" t="s">
        <v>35</v>
      </c>
      <c r="W261" s="183">
        <v>100</v>
      </c>
      <c r="X261" s="182" t="s">
        <v>267</v>
      </c>
      <c r="Y261" s="184"/>
      <c r="Z261" s="184"/>
      <c r="AA261" s="184"/>
      <c r="AB261" s="184"/>
      <c r="AC261" s="184"/>
      <c r="AD261" s="184"/>
      <c r="AE261" s="184"/>
      <c r="AF261" s="184"/>
      <c r="AG261" s="184"/>
      <c r="AH261" s="184"/>
      <c r="AI261" s="184"/>
      <c r="AJ261" s="184"/>
      <c r="AK261" s="184"/>
      <c r="AL261" s="184"/>
      <c r="AM261" s="184"/>
      <c r="AN261" s="184"/>
      <c r="AO261" s="184"/>
      <c r="AP261" s="184"/>
      <c r="AQ261" s="184"/>
      <c r="AR261" s="184"/>
      <c r="AS261" s="184"/>
      <c r="AT261" s="184"/>
      <c r="AU261" s="184"/>
      <c r="AV261" s="184">
        <v>15100</v>
      </c>
      <c r="AW261" s="184">
        <v>15100</v>
      </c>
      <c r="AX261" s="184">
        <v>15100</v>
      </c>
      <c r="AY261" s="184">
        <v>15100</v>
      </c>
      <c r="AZ261" s="184">
        <v>15100</v>
      </c>
      <c r="BA261" s="184">
        <v>15100</v>
      </c>
      <c r="BB261" s="184">
        <v>15100</v>
      </c>
      <c r="BC261" s="184"/>
      <c r="BD261" s="184"/>
      <c r="BE261" s="184"/>
      <c r="BF261" s="184"/>
      <c r="BG261" s="184">
        <v>14500</v>
      </c>
      <c r="BH261" s="184">
        <v>14500</v>
      </c>
      <c r="BI261" s="184">
        <v>14500</v>
      </c>
      <c r="BJ261" s="184"/>
      <c r="BK261" s="184"/>
      <c r="BL261" s="184"/>
      <c r="BM261" s="184"/>
      <c r="BN261" s="184"/>
      <c r="BO261" s="184"/>
      <c r="BP261" s="184"/>
      <c r="BQ261" s="184"/>
      <c r="BR261" s="184"/>
      <c r="BS261" s="184"/>
      <c r="BT261" s="184"/>
      <c r="BU261" s="146" cm="1">
        <f t="array" ref="BU261">LOOKUP(2,1/(Y261:BT261&lt;&gt;""),Y261:BH261)</f>
        <v>14500</v>
      </c>
      <c r="BV261" s="145" cm="1">
        <f t="array" aca="1" ref="BV261" ca="1">_xlfn.LET(
    _xlpm.last_col_idx, LOOKUP(2, 1/(Y261:BT261&lt;&gt;""), COLUMN(Y261:BT261) - COLUMN(Y261) + 1),
    _xlpm.header_val, INDEX($Y$3:$BT$3, 1, _xlpm.last_col_idx),
    _xlpm.header_date, IF(ISNUMBER(_xlpm.header_val), _xlpm.header_val, DATEVALUE(_xlpm.header_val)),
    IF(_xlpm.header_date &gt; TODAY(), TODAY(), _xlpm.header_date)
)</f>
        <v>46023</v>
      </c>
      <c r="BW261" s="209" cm="1">
        <f t="array" ref="BW261">(LOOKUP(2,1/(BH261:BT261&lt;&gt;""),BH261:BT261))/(INDEX(BH261:BT261,MATCH(TRUE,INDEX((BH261:BT261&lt;&gt;0),0),0)))-1</f>
        <v>0</v>
      </c>
      <c r="BX261" s="210">
        <f t="shared" si="52"/>
        <v>14.5</v>
      </c>
      <c r="BY261" s="210">
        <f t="shared" si="53"/>
        <v>10.875</v>
      </c>
      <c r="BZ261" s="210">
        <f ca="1">IF(L261="BR",'Impostos e Frete'!$F$6,IF(L261="EU",'Impostos e Frete'!$I$3,IF(L261="CN",'Impostos e Frete'!$I$4,IF(L261="JP",'Impostos e Frete'!$I$5,IF(L261="RU",'Impostos e Frete'!$I$7,"ERRO")))))</f>
        <v>1.1330439999999999</v>
      </c>
      <c r="CA261" s="210">
        <f>VLOOKUP(L261,'Impostos e Frete'!$A$3:$B$7,2,0)*'Preços e Condições'!BY261</f>
        <v>1.5225000000000002</v>
      </c>
      <c r="CB261" s="147">
        <f t="shared" si="54"/>
        <v>0</v>
      </c>
      <c r="CC261" s="147">
        <f>IF(X261="BRL",'Impostos e Frete'!$B$11,'Impostos e Frete'!$B$12)</f>
        <v>9.1999999999999998E-2</v>
      </c>
      <c r="CD261" s="211">
        <f t="shared" ca="1" si="55"/>
        <v>13.622544000000001</v>
      </c>
      <c r="CE261" s="212">
        <f t="shared" ca="1" si="56"/>
        <v>1.0898035200000002</v>
      </c>
      <c r="CF261" s="213">
        <f>VLOOKUP(L261,'Impostos e Frete'!$A$3:$C$7,3,0)</f>
        <v>120</v>
      </c>
      <c r="CG261" s="213">
        <f t="shared" si="57"/>
        <v>90</v>
      </c>
      <c r="CH261" s="213">
        <f t="shared" si="58"/>
        <v>-30</v>
      </c>
      <c r="CI261" s="214">
        <f t="shared" ca="1" si="59"/>
        <v>0.20433815999999894</v>
      </c>
      <c r="CJ261" s="215">
        <f t="shared" ca="1" si="60"/>
        <v>13.82688216</v>
      </c>
      <c r="CK261" s="216">
        <f t="shared" ca="1" si="61"/>
        <v>1.1061505728000001</v>
      </c>
    </row>
    <row r="262" spans="1:89">
      <c r="A262" s="176">
        <v>18427</v>
      </c>
      <c r="B262" s="177">
        <v>2</v>
      </c>
      <c r="C262" s="178">
        <v>80</v>
      </c>
      <c r="D262" s="178">
        <v>1845</v>
      </c>
      <c r="E262" s="178" t="s">
        <v>49</v>
      </c>
      <c r="F262" s="179" t="s">
        <v>0</v>
      </c>
      <c r="G262" s="180" t="s">
        <v>96</v>
      </c>
      <c r="H262" s="178" t="s">
        <v>43</v>
      </c>
      <c r="I262" s="178" t="s">
        <v>99</v>
      </c>
      <c r="J262" s="178"/>
      <c r="K262" s="178"/>
      <c r="L262" s="178" t="s">
        <v>60</v>
      </c>
      <c r="M262" s="178">
        <v>90</v>
      </c>
      <c r="N262" s="178">
        <v>400</v>
      </c>
      <c r="O262" s="178"/>
      <c r="P262" s="178"/>
      <c r="Q262" s="178"/>
      <c r="R262" s="178" t="s">
        <v>19</v>
      </c>
      <c r="S262" s="181"/>
      <c r="T262" s="181"/>
      <c r="U262" s="182"/>
      <c r="V262" s="182" t="s">
        <v>35</v>
      </c>
      <c r="W262" s="183">
        <v>100</v>
      </c>
      <c r="X262" s="182" t="s">
        <v>51</v>
      </c>
      <c r="Y262" s="184"/>
      <c r="Z262" s="184"/>
      <c r="AA262" s="184"/>
      <c r="AB262" s="184"/>
      <c r="AC262" s="184"/>
      <c r="AD262" s="184"/>
      <c r="AE262" s="184">
        <v>2070</v>
      </c>
      <c r="AF262" s="184">
        <v>2070</v>
      </c>
      <c r="AG262" s="184">
        <v>2070</v>
      </c>
      <c r="AH262" s="184">
        <v>2070</v>
      </c>
      <c r="AI262" s="184">
        <v>2070</v>
      </c>
      <c r="AJ262" s="184">
        <v>2070</v>
      </c>
      <c r="AK262" s="184">
        <v>2070</v>
      </c>
      <c r="AL262" s="184">
        <v>2070</v>
      </c>
      <c r="AM262" s="184">
        <v>2070</v>
      </c>
      <c r="AN262" s="184">
        <v>2070</v>
      </c>
      <c r="AO262" s="184">
        <v>2070</v>
      </c>
      <c r="AP262" s="184">
        <v>2070</v>
      </c>
      <c r="AQ262" s="184">
        <v>2000</v>
      </c>
      <c r="AR262" s="184">
        <v>2000</v>
      </c>
      <c r="AS262" s="184"/>
      <c r="AT262" s="184"/>
      <c r="AU262" s="184"/>
      <c r="AV262" s="184"/>
      <c r="AW262" s="184">
        <v>1950</v>
      </c>
      <c r="AX262" s="184">
        <v>1950</v>
      </c>
      <c r="AY262" s="184">
        <v>1950</v>
      </c>
      <c r="AZ262" s="184">
        <v>1950</v>
      </c>
      <c r="BA262" s="184">
        <v>1950</v>
      </c>
      <c r="BB262" s="184">
        <v>1950</v>
      </c>
      <c r="BC262" s="184">
        <v>1950</v>
      </c>
      <c r="BD262" s="184"/>
      <c r="BE262" s="184"/>
      <c r="BF262" s="184"/>
      <c r="BG262" s="184"/>
      <c r="BH262" s="184"/>
      <c r="BI262" s="184"/>
      <c r="BJ262" s="184"/>
      <c r="BK262" s="184"/>
      <c r="BL262" s="184"/>
      <c r="BM262" s="184"/>
      <c r="BN262" s="184"/>
      <c r="BO262" s="184"/>
      <c r="BP262" s="184"/>
      <c r="BQ262" s="184"/>
      <c r="BR262" s="184"/>
      <c r="BS262" s="184"/>
      <c r="BT262" s="184"/>
      <c r="BU262" s="146" cm="1">
        <f t="array" ref="BU262">LOOKUP(2,1/(Y262:BT262&lt;&gt;""),Y262:BH262)</f>
        <v>1950</v>
      </c>
      <c r="BV262" s="145" cm="1">
        <f t="array" aca="1" ref="BV262" ca="1">_xlfn.LET(
    _xlpm.last_col_idx, LOOKUP(2, 1/(Y262:BT262&lt;&gt;""), COLUMN(Y262:BT262) - COLUMN(Y262) + 1),
    _xlpm.header_val, INDEX($Y$3:$BT$3, 1, _xlpm.last_col_idx),
    _xlpm.header_date, IF(ISNUMBER(_xlpm.header_val), _xlpm.header_val, DATEVALUE(_xlpm.header_val)),
    IF(_xlpm.header_date &gt; TODAY(), TODAY(), _xlpm.header_date)
)</f>
        <v>45839</v>
      </c>
      <c r="BW262" s="209" t="e" cm="1">
        <f t="array" ref="BW262">(LOOKUP(2,1/(BH262:BT262&lt;&gt;""),BH262:BT262))/(INDEX(BH262:BT262,MATCH(TRUE,INDEX((BH262:BT262&lt;&gt;0),0),0)))-1</f>
        <v>#N/A</v>
      </c>
      <c r="BX262" s="210">
        <f t="shared" si="52"/>
        <v>1.95</v>
      </c>
      <c r="BY262" s="210">
        <f t="shared" si="53"/>
        <v>11.505000000000001</v>
      </c>
      <c r="BZ262" s="210">
        <f ca="1">IF(L262="BR",'Impostos e Frete'!$F$6,IF(L262="EU",'Impostos e Frete'!$I$3,IF(L262="CN",'Impostos e Frete'!$I$4,IF(L262="JP",'Impostos e Frete'!$I$5,IF(L262="RU",'Impostos e Frete'!$I$7,"ERRO")))))</f>
        <v>1.1330439999999999</v>
      </c>
      <c r="CA262" s="210">
        <f>VLOOKUP(L262,'Impostos e Frete'!$A$3:$B$7,2,0)*'Preços e Condições'!BY262</f>
        <v>1.6107000000000002</v>
      </c>
      <c r="CB262" s="147">
        <f t="shared" si="54"/>
        <v>0</v>
      </c>
      <c r="CC262" s="147">
        <f>IF(X262="BRL",'Impostos e Frete'!$B$11,'Impostos e Frete'!$B$12)</f>
        <v>9.1999999999999998E-2</v>
      </c>
      <c r="CD262" s="211">
        <f t="shared" ca="1" si="55"/>
        <v>14.340744000000001</v>
      </c>
      <c r="CE262" s="212">
        <f t="shared" ca="1" si="56"/>
        <v>1.14725952</v>
      </c>
      <c r="CF262" s="213">
        <f>VLOOKUP(L262,'Impostos e Frete'!$A$3:$C$7,3,0)</f>
        <v>120</v>
      </c>
      <c r="CG262" s="213">
        <f t="shared" si="57"/>
        <v>90</v>
      </c>
      <c r="CH262" s="213">
        <f t="shared" si="58"/>
        <v>-30</v>
      </c>
      <c r="CI262" s="214">
        <f t="shared" ca="1" si="59"/>
        <v>0.2151111599999993</v>
      </c>
      <c r="CJ262" s="215">
        <f t="shared" ca="1" si="60"/>
        <v>14.55585516</v>
      </c>
      <c r="CK262" s="216">
        <f t="shared" ca="1" si="61"/>
        <v>1.1644684128</v>
      </c>
    </row>
    <row r="263" spans="1:89">
      <c r="A263" s="176">
        <v>18430</v>
      </c>
      <c r="B263" s="194" t="s">
        <v>437</v>
      </c>
      <c r="C263" s="178">
        <v>70</v>
      </c>
      <c r="D263" s="178">
        <v>1870</v>
      </c>
      <c r="E263" s="178" t="s">
        <v>49</v>
      </c>
      <c r="F263" s="179" t="s">
        <v>0</v>
      </c>
      <c r="G263" s="180" t="s">
        <v>222</v>
      </c>
      <c r="H263" s="178" t="s">
        <v>43</v>
      </c>
      <c r="I263" s="178" t="s">
        <v>99</v>
      </c>
      <c r="J263" s="178"/>
      <c r="K263" s="178"/>
      <c r="L263" s="178" t="s">
        <v>60</v>
      </c>
      <c r="M263" s="178">
        <v>90</v>
      </c>
      <c r="N263" s="178">
        <v>3300</v>
      </c>
      <c r="O263" s="178"/>
      <c r="P263" s="178"/>
      <c r="Q263" s="178"/>
      <c r="R263" s="178" t="s">
        <v>19</v>
      </c>
      <c r="S263" s="181"/>
      <c r="T263" s="181"/>
      <c r="U263" s="182"/>
      <c r="V263" s="182" t="s">
        <v>35</v>
      </c>
      <c r="W263" s="183">
        <v>100</v>
      </c>
      <c r="X263" s="182" t="s">
        <v>267</v>
      </c>
      <c r="Y263" s="184"/>
      <c r="Z263" s="184"/>
      <c r="AA263" s="184"/>
      <c r="AB263" s="184"/>
      <c r="AC263" s="184"/>
      <c r="AD263" s="184"/>
      <c r="AE263" s="184"/>
      <c r="AF263" s="184"/>
      <c r="AG263" s="184"/>
      <c r="AH263" s="184"/>
      <c r="AI263" s="184"/>
      <c r="AJ263" s="184"/>
      <c r="AK263" s="184"/>
      <c r="AL263" s="184"/>
      <c r="AM263" s="184"/>
      <c r="AN263" s="184"/>
      <c r="AO263" s="184"/>
      <c r="AP263" s="184"/>
      <c r="AQ263" s="184"/>
      <c r="AR263" s="184"/>
      <c r="AS263" s="184"/>
      <c r="AT263" s="184"/>
      <c r="AU263" s="184"/>
      <c r="AV263" s="184">
        <v>10300</v>
      </c>
      <c r="AW263" s="184">
        <v>10300</v>
      </c>
      <c r="AX263" s="184">
        <v>10300</v>
      </c>
      <c r="AY263" s="184">
        <v>10300</v>
      </c>
      <c r="AZ263" s="184">
        <v>10300</v>
      </c>
      <c r="BA263" s="184">
        <v>10300</v>
      </c>
      <c r="BB263" s="184">
        <v>10300</v>
      </c>
      <c r="BC263" s="184"/>
      <c r="BD263" s="184"/>
      <c r="BE263" s="184"/>
      <c r="BF263" s="184"/>
      <c r="BG263" s="184">
        <v>10300</v>
      </c>
      <c r="BH263" s="184">
        <v>10300</v>
      </c>
      <c r="BI263" s="184">
        <v>10300</v>
      </c>
      <c r="BJ263" s="184"/>
      <c r="BK263" s="184"/>
      <c r="BL263" s="184"/>
      <c r="BM263" s="184"/>
      <c r="BN263" s="184"/>
      <c r="BO263" s="184"/>
      <c r="BP263" s="184"/>
      <c r="BQ263" s="184"/>
      <c r="BR263" s="184"/>
      <c r="BS263" s="184"/>
      <c r="BT263" s="184"/>
      <c r="BU263" s="146" cm="1">
        <f t="array" ref="BU263">LOOKUP(2,1/(Y263:BT263&lt;&gt;""),Y263:BH263)</f>
        <v>10300</v>
      </c>
      <c r="BV263" s="145" cm="1">
        <f t="array" aca="1" ref="BV263" ca="1">_xlfn.LET(
    _xlpm.last_col_idx, LOOKUP(2, 1/(Y263:BT263&lt;&gt;""), COLUMN(Y263:BT263) - COLUMN(Y263) + 1),
    _xlpm.header_val, INDEX($Y$3:$BT$3, 1, _xlpm.last_col_idx),
    _xlpm.header_date, IF(ISNUMBER(_xlpm.header_val), _xlpm.header_val, DATEVALUE(_xlpm.header_val)),
    IF(_xlpm.header_date &gt; TODAY(), TODAY(), _xlpm.header_date)
)</f>
        <v>46023</v>
      </c>
      <c r="BW263" s="209" cm="1">
        <f t="array" ref="BW263">(LOOKUP(2,1/(BH263:BT263&lt;&gt;""),BH263:BT263))/(INDEX(BH263:BT263,MATCH(TRUE,INDEX((BH263:BT263&lt;&gt;0),0),0)))-1</f>
        <v>0</v>
      </c>
      <c r="BX263" s="210">
        <f t="shared" si="52"/>
        <v>10.3</v>
      </c>
      <c r="BY263" s="210">
        <f t="shared" si="53"/>
        <v>7.7250000000000005</v>
      </c>
      <c r="BZ263" s="210">
        <f ca="1">IF(L263="BR",'Impostos e Frete'!$F$6,IF(L263="EU",'Impostos e Frete'!$I$3,IF(L263="CN",'Impostos e Frete'!$I$4,IF(L263="JP",'Impostos e Frete'!$I$5,IF(L263="RU",'Impostos e Frete'!$I$7,"ERRO")))))</f>
        <v>1.1330439999999999</v>
      </c>
      <c r="CA263" s="210">
        <f>VLOOKUP(L263,'Impostos e Frete'!$A$3:$B$7,2,0)*'Preços e Condições'!BY263</f>
        <v>1.0815000000000001</v>
      </c>
      <c r="CB263" s="147">
        <f t="shared" si="54"/>
        <v>0</v>
      </c>
      <c r="CC263" s="147">
        <f>IF(X263="BRL",'Impostos e Frete'!$B$11,'Impostos e Frete'!$B$12)</f>
        <v>9.1999999999999998E-2</v>
      </c>
      <c r="CD263" s="211">
        <f t="shared" ca="1" si="55"/>
        <v>10.031544</v>
      </c>
      <c r="CE263" s="212">
        <f t="shared" ca="1" si="56"/>
        <v>0.70220808000000001</v>
      </c>
      <c r="CF263" s="213">
        <f>VLOOKUP(L263,'Impostos e Frete'!$A$3:$C$7,3,0)</f>
        <v>120</v>
      </c>
      <c r="CG263" s="213">
        <f t="shared" si="57"/>
        <v>90</v>
      </c>
      <c r="CH263" s="213">
        <f t="shared" si="58"/>
        <v>-30</v>
      </c>
      <c r="CI263" s="214">
        <f t="shared" ca="1" si="59"/>
        <v>0.15047315999999888</v>
      </c>
      <c r="CJ263" s="215">
        <f t="shared" ca="1" si="60"/>
        <v>10.182017159999999</v>
      </c>
      <c r="CK263" s="216">
        <f t="shared" ca="1" si="61"/>
        <v>0.71274120119999995</v>
      </c>
    </row>
    <row r="264" spans="1:89">
      <c r="A264" s="176">
        <v>18430</v>
      </c>
      <c r="B264" s="194" t="s">
        <v>437</v>
      </c>
      <c r="C264" s="178">
        <v>70</v>
      </c>
      <c r="D264" s="178">
        <v>1870</v>
      </c>
      <c r="E264" s="178" t="s">
        <v>49</v>
      </c>
      <c r="F264" s="179" t="s">
        <v>0</v>
      </c>
      <c r="G264" s="180" t="s">
        <v>222</v>
      </c>
      <c r="H264" s="178" t="s">
        <v>43</v>
      </c>
      <c r="I264" s="178" t="s">
        <v>99</v>
      </c>
      <c r="J264" s="178"/>
      <c r="K264" s="178"/>
      <c r="L264" s="178" t="s">
        <v>60</v>
      </c>
      <c r="M264" s="178">
        <v>90</v>
      </c>
      <c r="N264" s="178">
        <v>400</v>
      </c>
      <c r="O264" s="178"/>
      <c r="P264" s="178"/>
      <c r="Q264" s="178"/>
      <c r="R264" s="178" t="s">
        <v>19</v>
      </c>
      <c r="S264" s="181"/>
      <c r="T264" s="181"/>
      <c r="U264" s="182"/>
      <c r="V264" s="182" t="s">
        <v>35</v>
      </c>
      <c r="W264" s="183">
        <v>100</v>
      </c>
      <c r="X264" s="182" t="s">
        <v>51</v>
      </c>
      <c r="Y264" s="184"/>
      <c r="Z264" s="184"/>
      <c r="AA264" s="184"/>
      <c r="AB264" s="184"/>
      <c r="AC264" s="184"/>
      <c r="AD264" s="184"/>
      <c r="AE264" s="184"/>
      <c r="AF264" s="184"/>
      <c r="AG264" s="184"/>
      <c r="AH264" s="184"/>
      <c r="AI264" s="184"/>
      <c r="AJ264" s="184"/>
      <c r="AK264" s="184"/>
      <c r="AL264" s="184"/>
      <c r="AM264" s="184"/>
      <c r="AN264" s="184"/>
      <c r="AO264" s="184"/>
      <c r="AP264" s="184"/>
      <c r="AQ264" s="184"/>
      <c r="AR264" s="184"/>
      <c r="AS264" s="184">
        <v>1337</v>
      </c>
      <c r="AT264" s="184"/>
      <c r="AU264" s="184"/>
      <c r="AV264" s="184"/>
      <c r="AW264" s="184">
        <v>1337</v>
      </c>
      <c r="AX264" s="184">
        <v>1337</v>
      </c>
      <c r="AY264" s="184">
        <v>1337</v>
      </c>
      <c r="AZ264" s="184"/>
      <c r="BA264" s="184"/>
      <c r="BB264" s="184"/>
      <c r="BC264" s="184"/>
      <c r="BD264" s="184"/>
      <c r="BE264" s="184"/>
      <c r="BF264" s="184"/>
      <c r="BG264" s="184"/>
      <c r="BH264" s="184"/>
      <c r="BI264" s="184"/>
      <c r="BJ264" s="184"/>
      <c r="BK264" s="184"/>
      <c r="BL264" s="184"/>
      <c r="BM264" s="184"/>
      <c r="BN264" s="184"/>
      <c r="BO264" s="184"/>
      <c r="BP264" s="184"/>
      <c r="BQ264" s="184"/>
      <c r="BR264" s="184"/>
      <c r="BS264" s="184"/>
      <c r="BT264" s="184"/>
      <c r="BU264" s="146" cm="1">
        <f t="array" ref="BU264">LOOKUP(2,1/(Y264:BT264&lt;&gt;""),Y264:BH264)</f>
        <v>1337</v>
      </c>
      <c r="BV264" s="145" cm="1">
        <f t="array" aca="1" ref="BV264" ca="1">_xlfn.LET(
    _xlpm.last_col_idx, LOOKUP(2, 1/(Y264:BT264&lt;&gt;""), COLUMN(Y264:BT264) - COLUMN(Y264) + 1),
    _xlpm.header_val, INDEX($Y$3:$BT$3, 1, _xlpm.last_col_idx),
    _xlpm.header_date, IF(ISNUMBER(_xlpm.header_val), _xlpm.header_val, DATEVALUE(_xlpm.header_val)),
    IF(_xlpm.header_date &gt; TODAY(), TODAY(), _xlpm.header_date)
)</f>
        <v>45717</v>
      </c>
      <c r="BW264" s="209" t="e" cm="1">
        <f t="array" ref="BW264">(LOOKUP(2,1/(BH264:BT264&lt;&gt;""),BH264:BT264))/(INDEX(BH264:BT264,MATCH(TRUE,INDEX((BH264:BT264&lt;&gt;0),0),0)))-1</f>
        <v>#N/A</v>
      </c>
      <c r="BX264" s="210">
        <f t="shared" si="52"/>
        <v>1.337</v>
      </c>
      <c r="BY264" s="210">
        <f t="shared" si="53"/>
        <v>7.8883000000000001</v>
      </c>
      <c r="BZ264" s="210">
        <f ca="1">IF(L264="BR",'Impostos e Frete'!$F$6,IF(L264="EU",'Impostos e Frete'!$I$3,IF(L264="CN",'Impostos e Frete'!$I$4,IF(L264="JP",'Impostos e Frete'!$I$5,IF(L264="RU",'Impostos e Frete'!$I$7,"ERRO")))))</f>
        <v>1.1330439999999999</v>
      </c>
      <c r="CA264" s="210">
        <f>VLOOKUP(L264,'Impostos e Frete'!$A$3:$B$7,2,0)*'Preços e Condições'!BY264</f>
        <v>1.1043620000000001</v>
      </c>
      <c r="CB264" s="147">
        <f t="shared" si="54"/>
        <v>0</v>
      </c>
      <c r="CC264" s="147">
        <f>IF(X264="BRL",'Impostos e Frete'!$B$11,'Impostos e Frete'!$B$12)</f>
        <v>9.1999999999999998E-2</v>
      </c>
      <c r="CD264" s="211">
        <f t="shared" ca="1" si="55"/>
        <v>10.217706</v>
      </c>
      <c r="CE264" s="212">
        <f t="shared" ca="1" si="56"/>
        <v>0.71523941999999996</v>
      </c>
      <c r="CF264" s="213">
        <f>VLOOKUP(L264,'Impostos e Frete'!$A$3:$C$7,3,0)</f>
        <v>120</v>
      </c>
      <c r="CG264" s="213">
        <f t="shared" si="57"/>
        <v>90</v>
      </c>
      <c r="CH264" s="213">
        <f t="shared" si="58"/>
        <v>-30</v>
      </c>
      <c r="CI264" s="214">
        <f t="shared" ca="1" si="59"/>
        <v>0.1532655899999984</v>
      </c>
      <c r="CJ264" s="215">
        <f t="shared" ca="1" si="60"/>
        <v>10.370971589999998</v>
      </c>
      <c r="CK264" s="216">
        <f t="shared" ca="1" si="61"/>
        <v>0.72596801129999988</v>
      </c>
    </row>
    <row r="265" spans="1:89">
      <c r="A265" s="176">
        <v>18431</v>
      </c>
      <c r="B265" s="186">
        <v>483</v>
      </c>
      <c r="C265" s="178">
        <v>68</v>
      </c>
      <c r="D265" s="178">
        <v>1870</v>
      </c>
      <c r="E265" s="178" t="s">
        <v>50</v>
      </c>
      <c r="F265" s="179" t="s">
        <v>0</v>
      </c>
      <c r="G265" s="189" t="s">
        <v>230</v>
      </c>
      <c r="H265" s="178" t="s">
        <v>63</v>
      </c>
      <c r="I265" s="178">
        <v>483</v>
      </c>
      <c r="J265" s="178"/>
      <c r="K265" s="178"/>
      <c r="L265" s="178" t="s">
        <v>60</v>
      </c>
      <c r="M265" s="178">
        <v>90</v>
      </c>
      <c r="N265" s="178">
        <v>3300</v>
      </c>
      <c r="O265" s="178"/>
      <c r="P265" s="178"/>
      <c r="Q265" s="178"/>
      <c r="R265" s="178" t="s">
        <v>19</v>
      </c>
      <c r="S265" s="181"/>
      <c r="T265" s="181"/>
      <c r="U265" s="182"/>
      <c r="V265" s="182" t="s">
        <v>35</v>
      </c>
      <c r="W265" s="183">
        <v>100</v>
      </c>
      <c r="X265" s="182" t="s">
        <v>267</v>
      </c>
      <c r="Y265" s="184"/>
      <c r="Z265" s="184"/>
      <c r="AA265" s="184"/>
      <c r="AB265" s="184"/>
      <c r="AC265" s="184"/>
      <c r="AD265" s="184"/>
      <c r="AE265" s="184"/>
      <c r="AF265" s="184"/>
      <c r="AG265" s="184"/>
      <c r="AH265" s="184"/>
      <c r="AI265" s="184"/>
      <c r="AJ265" s="184"/>
      <c r="AK265" s="184"/>
      <c r="AL265" s="184"/>
      <c r="AM265" s="184"/>
      <c r="AN265" s="184"/>
      <c r="AO265" s="184"/>
      <c r="AP265" s="184"/>
      <c r="AQ265" s="184"/>
      <c r="AR265" s="184"/>
      <c r="AS265" s="184"/>
      <c r="AT265" s="184"/>
      <c r="AU265" s="184"/>
      <c r="AV265" s="184">
        <v>12400</v>
      </c>
      <c r="AW265" s="184">
        <v>12400</v>
      </c>
      <c r="AX265" s="184">
        <v>12400</v>
      </c>
      <c r="AY265" s="184">
        <v>12400</v>
      </c>
      <c r="AZ265" s="184">
        <v>12400</v>
      </c>
      <c r="BA265" s="184">
        <v>12400</v>
      </c>
      <c r="BB265" s="184">
        <v>12400</v>
      </c>
      <c r="BC265" s="184">
        <v>12400</v>
      </c>
      <c r="BD265" s="184">
        <v>12400</v>
      </c>
      <c r="BE265" s="184">
        <v>12400</v>
      </c>
      <c r="BF265" s="184">
        <v>12400</v>
      </c>
      <c r="BG265" s="184">
        <v>11900</v>
      </c>
      <c r="BH265" s="184">
        <v>11900</v>
      </c>
      <c r="BI265" s="184">
        <v>11900</v>
      </c>
      <c r="BJ265" s="184"/>
      <c r="BK265" s="184"/>
      <c r="BL265" s="184"/>
      <c r="BM265" s="184"/>
      <c r="BN265" s="184"/>
      <c r="BO265" s="184"/>
      <c r="BP265" s="184"/>
      <c r="BQ265" s="184"/>
      <c r="BR265" s="184"/>
      <c r="BS265" s="184"/>
      <c r="BT265" s="184"/>
      <c r="BU265" s="146" cm="1">
        <f t="array" ref="BU265">LOOKUP(2,1/(Y265:BT265&lt;&gt;""),Y265:BH265)</f>
        <v>11900</v>
      </c>
      <c r="BV265" s="145" cm="1">
        <f t="array" aca="1" ref="BV265" ca="1">_xlfn.LET(
    _xlpm.last_col_idx, LOOKUP(2, 1/(Y265:BT265&lt;&gt;""), COLUMN(Y265:BT265) - COLUMN(Y265) + 1),
    _xlpm.header_val, INDEX($Y$3:$BT$3, 1, _xlpm.last_col_idx),
    _xlpm.header_date, IF(ISNUMBER(_xlpm.header_val), _xlpm.header_val, DATEVALUE(_xlpm.header_val)),
    IF(_xlpm.header_date &gt; TODAY(), TODAY(), _xlpm.header_date)
)</f>
        <v>46023</v>
      </c>
      <c r="BW265" s="209" cm="1">
        <f t="array" ref="BW265">(LOOKUP(2,1/(BH265:BT265&lt;&gt;""),BH265:BT265))/(INDEX(BH265:BT265,MATCH(TRUE,INDEX((BH265:BT265&lt;&gt;0),0),0)))-1</f>
        <v>0</v>
      </c>
      <c r="BX265" s="210">
        <f t="shared" si="52"/>
        <v>11.9</v>
      </c>
      <c r="BY265" s="210">
        <f t="shared" si="53"/>
        <v>8.9250000000000007</v>
      </c>
      <c r="BZ265" s="210">
        <f ca="1">IF(L265="BR",'Impostos e Frete'!$F$6,IF(L265="EU",'Impostos e Frete'!$I$3,IF(L265="CN",'Impostos e Frete'!$I$4,IF(L265="JP",'Impostos e Frete'!$I$5,IF(L265="RU",'Impostos e Frete'!$I$7,"ERRO")))))</f>
        <v>1.1330439999999999</v>
      </c>
      <c r="CA265" s="210">
        <f>VLOOKUP(L265,'Impostos e Frete'!$A$3:$B$7,2,0)*'Preços e Condições'!BY265</f>
        <v>1.2495000000000003</v>
      </c>
      <c r="CB265" s="147">
        <f t="shared" si="54"/>
        <v>0</v>
      </c>
      <c r="CC265" s="147">
        <f>IF(X265="BRL",'Impostos e Frete'!$B$11,'Impostos e Frete'!$B$12)</f>
        <v>9.1999999999999998E-2</v>
      </c>
      <c r="CD265" s="211">
        <f t="shared" ca="1" si="55"/>
        <v>11.399544000000001</v>
      </c>
      <c r="CE265" s="212">
        <f t="shared" ca="1" si="56"/>
        <v>0.77516899200000011</v>
      </c>
      <c r="CF265" s="213">
        <f>VLOOKUP(L265,'Impostos e Frete'!$A$3:$C$7,3,0)</f>
        <v>120</v>
      </c>
      <c r="CG265" s="213">
        <f t="shared" si="57"/>
        <v>90</v>
      </c>
      <c r="CH265" s="213">
        <f t="shared" si="58"/>
        <v>-30</v>
      </c>
      <c r="CI265" s="214">
        <f t="shared" ca="1" si="59"/>
        <v>0.17099315999999831</v>
      </c>
      <c r="CJ265" s="215">
        <f t="shared" ca="1" si="60"/>
        <v>11.570537159999999</v>
      </c>
      <c r="CK265" s="216">
        <f t="shared" ca="1" si="61"/>
        <v>0.7867965268799999</v>
      </c>
    </row>
    <row r="266" spans="1:89">
      <c r="A266" s="176">
        <v>18431</v>
      </c>
      <c r="B266" s="186">
        <v>483</v>
      </c>
      <c r="C266" s="178">
        <v>68</v>
      </c>
      <c r="D266" s="178">
        <v>1870</v>
      </c>
      <c r="E266" s="178" t="s">
        <v>50</v>
      </c>
      <c r="F266" s="179" t="s">
        <v>0</v>
      </c>
      <c r="G266" s="189" t="s">
        <v>230</v>
      </c>
      <c r="H266" s="178" t="s">
        <v>63</v>
      </c>
      <c r="I266" s="178">
        <v>483</v>
      </c>
      <c r="J266" s="178"/>
      <c r="K266" s="178"/>
      <c r="L266" s="178" t="s">
        <v>60</v>
      </c>
      <c r="M266" s="178">
        <v>90</v>
      </c>
      <c r="N266" s="178">
        <v>400</v>
      </c>
      <c r="O266" s="178"/>
      <c r="P266" s="178"/>
      <c r="Q266" s="178"/>
      <c r="R266" s="178" t="s">
        <v>19</v>
      </c>
      <c r="S266" s="181"/>
      <c r="T266" s="181"/>
      <c r="U266" s="182"/>
      <c r="V266" s="182" t="s">
        <v>35</v>
      </c>
      <c r="W266" s="183">
        <v>100</v>
      </c>
      <c r="X266" s="182" t="s">
        <v>51</v>
      </c>
      <c r="Y266" s="184"/>
      <c r="Z266" s="184"/>
      <c r="AA266" s="184"/>
      <c r="AB266" s="184"/>
      <c r="AC266" s="184"/>
      <c r="AD266" s="184"/>
      <c r="AE266" s="184"/>
      <c r="AF266" s="184"/>
      <c r="AG266" s="184"/>
      <c r="AH266" s="184"/>
      <c r="AI266" s="184"/>
      <c r="AJ266" s="184"/>
      <c r="AK266" s="184"/>
      <c r="AL266" s="184"/>
      <c r="AM266" s="184"/>
      <c r="AN266" s="184"/>
      <c r="AO266" s="184"/>
      <c r="AP266" s="184"/>
      <c r="AQ266" s="184"/>
      <c r="AR266" s="184"/>
      <c r="AS266" s="184"/>
      <c r="AT266" s="184"/>
      <c r="AU266" s="184"/>
      <c r="AV266" s="184"/>
      <c r="AW266" s="184">
        <v>1600</v>
      </c>
      <c r="AX266" s="184">
        <v>1600</v>
      </c>
      <c r="AY266" s="184">
        <v>1600</v>
      </c>
      <c r="AZ266" s="184"/>
      <c r="BA266" s="184"/>
      <c r="BB266" s="184"/>
      <c r="BC266" s="184"/>
      <c r="BD266" s="184"/>
      <c r="BE266" s="184"/>
      <c r="BF266" s="184"/>
      <c r="BG266" s="184"/>
      <c r="BH266" s="184"/>
      <c r="BI266" s="184"/>
      <c r="BJ266" s="184"/>
      <c r="BK266" s="184"/>
      <c r="BL266" s="184"/>
      <c r="BM266" s="184"/>
      <c r="BN266" s="184"/>
      <c r="BO266" s="184"/>
      <c r="BP266" s="184"/>
      <c r="BQ266" s="184"/>
      <c r="BR266" s="184"/>
      <c r="BS266" s="184"/>
      <c r="BT266" s="184"/>
      <c r="BU266" s="146" cm="1">
        <f t="array" ref="BU266">LOOKUP(2,1/(Y266:BT266&lt;&gt;""),Y266:BH266)</f>
        <v>1600</v>
      </c>
      <c r="BV266" s="145" cm="1">
        <f t="array" aca="1" ref="BV266" ca="1">_xlfn.LET(
    _xlpm.last_col_idx, LOOKUP(2, 1/(Y266:BT266&lt;&gt;""), COLUMN(Y266:BT266) - COLUMN(Y266) + 1),
    _xlpm.header_val, INDEX($Y$3:$BT$3, 1, _xlpm.last_col_idx),
    _xlpm.header_date, IF(ISNUMBER(_xlpm.header_val), _xlpm.header_val, DATEVALUE(_xlpm.header_val)),
    IF(_xlpm.header_date &gt; TODAY(), TODAY(), _xlpm.header_date)
)</f>
        <v>45717</v>
      </c>
      <c r="BW266" s="209" t="e" cm="1">
        <f t="array" ref="BW266">(LOOKUP(2,1/(BH266:BT266&lt;&gt;""),BH266:BT266))/(INDEX(BH266:BT266,MATCH(TRUE,INDEX((BH266:BT266&lt;&gt;0),0),0)))-1</f>
        <v>#N/A</v>
      </c>
      <c r="BX266" s="210">
        <f t="shared" si="52"/>
        <v>1.6</v>
      </c>
      <c r="BY266" s="210">
        <f t="shared" si="53"/>
        <v>9.4400000000000013</v>
      </c>
      <c r="BZ266" s="210">
        <f ca="1">IF(L266="BR",'Impostos e Frete'!$F$6,IF(L266="EU",'Impostos e Frete'!$I$3,IF(L266="CN",'Impostos e Frete'!$I$4,IF(L266="JP",'Impostos e Frete'!$I$5,IF(L266="RU",'Impostos e Frete'!$I$7,"ERRO")))))</f>
        <v>1.1330439999999999</v>
      </c>
      <c r="CA266" s="210">
        <f>VLOOKUP(L266,'Impostos e Frete'!$A$3:$B$7,2,0)*'Preços e Condições'!BY266</f>
        <v>1.3216000000000003</v>
      </c>
      <c r="CB266" s="147">
        <f t="shared" si="54"/>
        <v>0</v>
      </c>
      <c r="CC266" s="147">
        <f>IF(X266="BRL",'Impostos e Frete'!$B$11,'Impostos e Frete'!$B$12)</f>
        <v>9.1999999999999998E-2</v>
      </c>
      <c r="CD266" s="211">
        <f t="shared" ca="1" si="55"/>
        <v>11.986644000000002</v>
      </c>
      <c r="CE266" s="212">
        <f t="shared" ca="1" si="56"/>
        <v>0.81509179200000004</v>
      </c>
      <c r="CF266" s="213">
        <f>VLOOKUP(L266,'Impostos e Frete'!$A$3:$C$7,3,0)</f>
        <v>120</v>
      </c>
      <c r="CG266" s="213">
        <f t="shared" si="57"/>
        <v>90</v>
      </c>
      <c r="CH266" s="213">
        <f t="shared" si="58"/>
        <v>-30</v>
      </c>
      <c r="CI266" s="214">
        <f t="shared" ca="1" si="59"/>
        <v>0.1797996599999987</v>
      </c>
      <c r="CJ266" s="215">
        <f t="shared" ca="1" si="60"/>
        <v>12.166443660000001</v>
      </c>
      <c r="CK266" s="216">
        <f t="shared" ca="1" si="61"/>
        <v>0.82731816887999998</v>
      </c>
    </row>
    <row r="267" spans="1:89">
      <c r="A267" s="176">
        <v>18433</v>
      </c>
      <c r="B267" s="177">
        <v>248</v>
      </c>
      <c r="C267" s="178">
        <v>65</v>
      </c>
      <c r="D267" s="178">
        <v>1870</v>
      </c>
      <c r="E267" s="178" t="s">
        <v>50</v>
      </c>
      <c r="F267" s="179" t="s">
        <v>0</v>
      </c>
      <c r="G267" s="180" t="s">
        <v>244</v>
      </c>
      <c r="H267" s="178" t="s">
        <v>63</v>
      </c>
      <c r="I267" s="178"/>
      <c r="J267" s="178"/>
      <c r="K267" s="178"/>
      <c r="L267" s="178" t="s">
        <v>60</v>
      </c>
      <c r="M267" s="178">
        <v>90</v>
      </c>
      <c r="N267" s="178">
        <v>400</v>
      </c>
      <c r="O267" s="178"/>
      <c r="P267" s="178"/>
      <c r="Q267" s="178"/>
      <c r="R267" s="178" t="s">
        <v>19</v>
      </c>
      <c r="S267" s="181"/>
      <c r="T267" s="181"/>
      <c r="U267" s="182"/>
      <c r="V267" s="182" t="s">
        <v>35</v>
      </c>
      <c r="W267" s="183">
        <v>100</v>
      </c>
      <c r="X267" s="182" t="s">
        <v>51</v>
      </c>
      <c r="Y267" s="184"/>
      <c r="Z267" s="184"/>
      <c r="AA267" s="184"/>
      <c r="AB267" s="184"/>
      <c r="AC267" s="184"/>
      <c r="AD267" s="184"/>
      <c r="AE267" s="184"/>
      <c r="AF267" s="184"/>
      <c r="AG267" s="184"/>
      <c r="AH267" s="184"/>
      <c r="AI267" s="184"/>
      <c r="AJ267" s="184"/>
      <c r="AK267" s="184"/>
      <c r="AL267" s="184"/>
      <c r="AM267" s="184"/>
      <c r="AN267" s="184"/>
      <c r="AO267" s="184"/>
      <c r="AP267" s="184"/>
      <c r="AQ267" s="184"/>
      <c r="AR267" s="184"/>
      <c r="AS267" s="184"/>
      <c r="AT267" s="184"/>
      <c r="AU267" s="184"/>
      <c r="AV267" s="184"/>
      <c r="AW267" s="184">
        <v>1800</v>
      </c>
      <c r="AX267" s="184">
        <v>1800</v>
      </c>
      <c r="AY267" s="184">
        <v>1800</v>
      </c>
      <c r="AZ267" s="184"/>
      <c r="BA267" s="184"/>
      <c r="BB267" s="184"/>
      <c r="BC267" s="184">
        <v>1800</v>
      </c>
      <c r="BD267" s="184">
        <v>1800</v>
      </c>
      <c r="BE267" s="184">
        <v>1800</v>
      </c>
      <c r="BF267" s="184"/>
      <c r="BG267" s="184"/>
      <c r="BH267" s="184"/>
      <c r="BI267" s="184"/>
      <c r="BJ267" s="184"/>
      <c r="BK267" s="184"/>
      <c r="BL267" s="184"/>
      <c r="BM267" s="184"/>
      <c r="BN267" s="184"/>
      <c r="BO267" s="184"/>
      <c r="BP267" s="184"/>
      <c r="BQ267" s="184"/>
      <c r="BR267" s="184"/>
      <c r="BS267" s="184"/>
      <c r="BT267" s="184"/>
      <c r="BU267" s="146" cm="1">
        <f t="array" ref="BU267">LOOKUP(2,1/(Y267:BT267&lt;&gt;""),Y267:BH267)</f>
        <v>1800</v>
      </c>
      <c r="BV267" s="145" cm="1">
        <f t="array" aca="1" ref="BV267" ca="1">_xlfn.LET(
    _xlpm.last_col_idx, LOOKUP(2, 1/(Y267:BT267&lt;&gt;""), COLUMN(Y267:BT267) - COLUMN(Y267) + 1),
    _xlpm.header_val, INDEX($Y$3:$BT$3, 1, _xlpm.last_col_idx),
    _xlpm.header_date, IF(ISNUMBER(_xlpm.header_val), _xlpm.header_val, DATEVALUE(_xlpm.header_val)),
    IF(_xlpm.header_date &gt; TODAY(), TODAY(), _xlpm.header_date)
)</f>
        <v>45901</v>
      </c>
      <c r="BW267" s="209" t="e" cm="1">
        <f t="array" ref="BW267">(LOOKUP(2,1/(BH267:BT267&lt;&gt;""),BH267:BT267))/(INDEX(BH267:BT267,MATCH(TRUE,INDEX((BH267:BT267&lt;&gt;0),0),0)))-1</f>
        <v>#N/A</v>
      </c>
      <c r="BX267" s="210">
        <f t="shared" si="52"/>
        <v>1.8</v>
      </c>
      <c r="BY267" s="210">
        <f t="shared" si="53"/>
        <v>10.620000000000001</v>
      </c>
      <c r="BZ267" s="210">
        <f ca="1">IF(L267="BR",'Impostos e Frete'!$F$6,IF(L267="EU",'Impostos e Frete'!$I$3,IF(L267="CN",'Impostos e Frete'!$I$4,IF(L267="JP",'Impostos e Frete'!$I$5,IF(L267="RU",'Impostos e Frete'!$I$7,"ERRO")))))</f>
        <v>1.1330439999999999</v>
      </c>
      <c r="CA267" s="210">
        <f>VLOOKUP(L267,'Impostos e Frete'!$A$3:$B$7,2,0)*'Preços e Condições'!BY267</f>
        <v>1.4868000000000003</v>
      </c>
      <c r="CB267" s="147">
        <f t="shared" si="54"/>
        <v>0</v>
      </c>
      <c r="CC267" s="147">
        <f>IF(X267="BRL",'Impostos e Frete'!$B$11,'Impostos e Frete'!$B$12)</f>
        <v>9.1999999999999998E-2</v>
      </c>
      <c r="CD267" s="211">
        <f t="shared" ca="1" si="55"/>
        <v>13.331844000000002</v>
      </c>
      <c r="CE267" s="212">
        <f t="shared" ca="1" si="56"/>
        <v>0.86656986000000014</v>
      </c>
      <c r="CF267" s="213">
        <f>VLOOKUP(L267,'Impostos e Frete'!$A$3:$C$7,3,0)</f>
        <v>120</v>
      </c>
      <c r="CG267" s="213">
        <f t="shared" si="57"/>
        <v>90</v>
      </c>
      <c r="CH267" s="213">
        <f t="shared" si="58"/>
        <v>-30</v>
      </c>
      <c r="CI267" s="214">
        <f t="shared" ca="1" si="59"/>
        <v>0.19997765999999828</v>
      </c>
      <c r="CJ267" s="215">
        <f t="shared" ca="1" si="60"/>
        <v>13.53182166</v>
      </c>
      <c r="CK267" s="216">
        <f t="shared" ca="1" si="61"/>
        <v>0.87956840790000002</v>
      </c>
    </row>
    <row r="268" spans="1:89">
      <c r="A268" s="176">
        <v>18434</v>
      </c>
      <c r="B268" s="186">
        <v>86</v>
      </c>
      <c r="C268" s="178">
        <v>70</v>
      </c>
      <c r="D268" s="178">
        <v>1870</v>
      </c>
      <c r="E268" s="178" t="s">
        <v>49</v>
      </c>
      <c r="F268" s="179" t="s">
        <v>0</v>
      </c>
      <c r="G268" s="180" t="s">
        <v>340</v>
      </c>
      <c r="H268" s="178" t="s">
        <v>43</v>
      </c>
      <c r="I268" s="178" t="s">
        <v>100</v>
      </c>
      <c r="J268" s="178"/>
      <c r="K268" s="178"/>
      <c r="L268" s="178" t="s">
        <v>60</v>
      </c>
      <c r="M268" s="178">
        <v>90</v>
      </c>
      <c r="N268" s="178">
        <v>3300</v>
      </c>
      <c r="O268" s="178"/>
      <c r="P268" s="178"/>
      <c r="Q268" s="178"/>
      <c r="R268" s="178" t="s">
        <v>19</v>
      </c>
      <c r="S268" s="181"/>
      <c r="T268" s="181"/>
      <c r="U268" s="182"/>
      <c r="V268" s="182" t="s">
        <v>35</v>
      </c>
      <c r="W268" s="183">
        <v>100</v>
      </c>
      <c r="X268" s="182" t="s">
        <v>267</v>
      </c>
      <c r="Y268" s="184"/>
      <c r="Z268" s="184"/>
      <c r="AA268" s="184"/>
      <c r="AB268" s="184"/>
      <c r="AC268" s="184"/>
      <c r="AD268" s="184"/>
      <c r="AE268" s="184"/>
      <c r="AF268" s="184"/>
      <c r="AG268" s="184"/>
      <c r="AH268" s="184"/>
      <c r="AI268" s="184"/>
      <c r="AJ268" s="184"/>
      <c r="AK268" s="184"/>
      <c r="AL268" s="184"/>
      <c r="AM268" s="184"/>
      <c r="AN268" s="184"/>
      <c r="AO268" s="184"/>
      <c r="AP268" s="184"/>
      <c r="AQ268" s="184"/>
      <c r="AR268" s="184"/>
      <c r="AS268" s="184"/>
      <c r="AT268" s="184"/>
      <c r="AU268" s="184"/>
      <c r="AV268" s="184">
        <v>12100</v>
      </c>
      <c r="AW268" s="184">
        <v>12100</v>
      </c>
      <c r="AX268" s="184">
        <v>12100</v>
      </c>
      <c r="AY268" s="184">
        <v>12100</v>
      </c>
      <c r="AZ268" s="184">
        <v>12100</v>
      </c>
      <c r="BA268" s="184">
        <v>12100</v>
      </c>
      <c r="BB268" s="184">
        <v>12100</v>
      </c>
      <c r="BC268" s="184">
        <v>12100</v>
      </c>
      <c r="BD268" s="184">
        <v>11600</v>
      </c>
      <c r="BE268" s="184">
        <v>11600</v>
      </c>
      <c r="BF268" s="184">
        <v>11600</v>
      </c>
      <c r="BG268" s="184">
        <v>11600</v>
      </c>
      <c r="BH268" s="184">
        <v>11600</v>
      </c>
      <c r="BI268" s="184">
        <v>11600</v>
      </c>
      <c r="BJ268" s="184"/>
      <c r="BK268" s="184"/>
      <c r="BL268" s="184"/>
      <c r="BM268" s="184"/>
      <c r="BN268" s="184"/>
      <c r="BO268" s="184"/>
      <c r="BP268" s="184"/>
      <c r="BQ268" s="184"/>
      <c r="BR268" s="184"/>
      <c r="BS268" s="184"/>
      <c r="BT268" s="184"/>
      <c r="BU268" s="146" cm="1">
        <f t="array" ref="BU268">LOOKUP(2,1/(Y268:BT268&lt;&gt;""),Y268:BH268)</f>
        <v>11600</v>
      </c>
      <c r="BV268" s="145" cm="1">
        <f t="array" aca="1" ref="BV268" ca="1">_xlfn.LET(
    _xlpm.last_col_idx, LOOKUP(2, 1/(Y268:BT268&lt;&gt;""), COLUMN(Y268:BT268) - COLUMN(Y268) + 1),
    _xlpm.header_val, INDEX($Y$3:$BT$3, 1, _xlpm.last_col_idx),
    _xlpm.header_date, IF(ISNUMBER(_xlpm.header_val), _xlpm.header_val, DATEVALUE(_xlpm.header_val)),
    IF(_xlpm.header_date &gt; TODAY(), TODAY(), _xlpm.header_date)
)</f>
        <v>46023</v>
      </c>
      <c r="BW268" s="209" cm="1">
        <f t="array" ref="BW268">(LOOKUP(2,1/(BH268:BT268&lt;&gt;""),BH268:BT268))/(INDEX(BH268:BT268,MATCH(TRUE,INDEX((BH268:BT268&lt;&gt;0),0),0)))-1</f>
        <v>0</v>
      </c>
      <c r="BX268" s="210">
        <f t="shared" si="52"/>
        <v>11.6</v>
      </c>
      <c r="BY268" s="210">
        <f t="shared" si="53"/>
        <v>8.6999999999999993</v>
      </c>
      <c r="BZ268" s="210">
        <f ca="1">IF(L268="BR",'Impostos e Frete'!$F$6,IF(L268="EU",'Impostos e Frete'!$I$3,IF(L268="CN",'Impostos e Frete'!$I$4,IF(L268="JP",'Impostos e Frete'!$I$5,IF(L268="RU",'Impostos e Frete'!$I$7,"ERRO")))))</f>
        <v>1.1330439999999999</v>
      </c>
      <c r="CA268" s="210">
        <f>VLOOKUP(L268,'Impostos e Frete'!$A$3:$B$7,2,0)*'Preços e Condições'!BY268</f>
        <v>1.218</v>
      </c>
      <c r="CB268" s="147">
        <f t="shared" si="54"/>
        <v>0</v>
      </c>
      <c r="CC268" s="147">
        <f>IF(X268="BRL",'Impostos e Frete'!$B$11,'Impostos e Frete'!$B$12)</f>
        <v>9.1999999999999998E-2</v>
      </c>
      <c r="CD268" s="211">
        <f t="shared" ca="1" si="55"/>
        <v>11.143044</v>
      </c>
      <c r="CE268" s="212">
        <f t="shared" ca="1" si="56"/>
        <v>0.78001307999999991</v>
      </c>
      <c r="CF268" s="213">
        <f>VLOOKUP(L268,'Impostos e Frete'!$A$3:$C$7,3,0)</f>
        <v>120</v>
      </c>
      <c r="CG268" s="213">
        <f t="shared" si="57"/>
        <v>90</v>
      </c>
      <c r="CH268" s="213">
        <f t="shared" si="58"/>
        <v>-30</v>
      </c>
      <c r="CI268" s="214">
        <f t="shared" ca="1" si="59"/>
        <v>0.1671456599999992</v>
      </c>
      <c r="CJ268" s="215">
        <f t="shared" ca="1" si="60"/>
        <v>11.310189659999999</v>
      </c>
      <c r="CK268" s="216">
        <f t="shared" ca="1" si="61"/>
        <v>0.79171327619999998</v>
      </c>
    </row>
    <row r="269" spans="1:89">
      <c r="A269" s="176">
        <v>18435</v>
      </c>
      <c r="B269" s="186" t="s">
        <v>372</v>
      </c>
      <c r="C269" s="178">
        <v>65</v>
      </c>
      <c r="D269" s="178">
        <v>1870</v>
      </c>
      <c r="E269" s="178" t="s">
        <v>50</v>
      </c>
      <c r="F269" s="179" t="s">
        <v>0</v>
      </c>
      <c r="G269" s="180" t="s">
        <v>307</v>
      </c>
      <c r="H269" s="178" t="s">
        <v>43</v>
      </c>
      <c r="I269" s="178"/>
      <c r="J269" s="178"/>
      <c r="K269" s="178"/>
      <c r="L269" s="178" t="s">
        <v>60</v>
      </c>
      <c r="M269" s="178">
        <v>90</v>
      </c>
      <c r="N269" s="178">
        <v>3300</v>
      </c>
      <c r="O269" s="178"/>
      <c r="P269" s="178"/>
      <c r="Q269" s="178"/>
      <c r="R269" s="178" t="s">
        <v>19</v>
      </c>
      <c r="S269" s="181"/>
      <c r="T269" s="181"/>
      <c r="U269" s="182"/>
      <c r="V269" s="182" t="s">
        <v>35</v>
      </c>
      <c r="W269" s="183">
        <v>100</v>
      </c>
      <c r="X269" s="182" t="s">
        <v>267</v>
      </c>
      <c r="Y269" s="184"/>
      <c r="Z269" s="184"/>
      <c r="AA269" s="184"/>
      <c r="AB269" s="184"/>
      <c r="AC269" s="184"/>
      <c r="AD269" s="184"/>
      <c r="AE269" s="184"/>
      <c r="AF269" s="184"/>
      <c r="AG269" s="184"/>
      <c r="AH269" s="184"/>
      <c r="AI269" s="184"/>
      <c r="AJ269" s="184"/>
      <c r="AK269" s="184"/>
      <c r="AL269" s="184"/>
      <c r="AM269" s="184"/>
      <c r="AN269" s="184"/>
      <c r="AO269" s="184"/>
      <c r="AP269" s="184"/>
      <c r="AQ269" s="184"/>
      <c r="AR269" s="184"/>
      <c r="AS269" s="184"/>
      <c r="AT269" s="184"/>
      <c r="AU269" s="184"/>
      <c r="AV269" s="184"/>
      <c r="AW269" s="184"/>
      <c r="AX269" s="184"/>
      <c r="AY269" s="184"/>
      <c r="AZ269" s="184"/>
      <c r="BA269" s="184"/>
      <c r="BB269" s="184"/>
      <c r="BC269" s="184">
        <v>12500</v>
      </c>
      <c r="BD269" s="184">
        <v>11900</v>
      </c>
      <c r="BE269" s="184">
        <v>11900</v>
      </c>
      <c r="BF269" s="184">
        <v>11900</v>
      </c>
      <c r="BG269" s="184">
        <v>10950</v>
      </c>
      <c r="BH269" s="184">
        <v>10950</v>
      </c>
      <c r="BI269" s="184">
        <v>10950</v>
      </c>
      <c r="BJ269" s="184"/>
      <c r="BK269" s="184"/>
      <c r="BL269" s="184"/>
      <c r="BM269" s="184"/>
      <c r="BN269" s="184"/>
      <c r="BO269" s="184"/>
      <c r="BP269" s="184"/>
      <c r="BQ269" s="184"/>
      <c r="BR269" s="184"/>
      <c r="BS269" s="184"/>
      <c r="BT269" s="184"/>
      <c r="BU269" s="146" cm="1">
        <f t="array" ref="BU269">LOOKUP(2,1/(Y269:BT269&lt;&gt;""),Y269:BH269)</f>
        <v>10950</v>
      </c>
      <c r="BV269" s="145" cm="1">
        <f t="array" aca="1" ref="BV269" ca="1">_xlfn.LET(
    _xlpm.last_col_idx, LOOKUP(2, 1/(Y269:BT269&lt;&gt;""), COLUMN(Y269:BT269) - COLUMN(Y269) + 1),
    _xlpm.header_val, INDEX($Y$3:$BT$3, 1, _xlpm.last_col_idx),
    _xlpm.header_date, IF(ISNUMBER(_xlpm.header_val), _xlpm.header_val, DATEVALUE(_xlpm.header_val)),
    IF(_xlpm.header_date &gt; TODAY(), TODAY(), _xlpm.header_date)
)</f>
        <v>46023</v>
      </c>
      <c r="BW269" s="209" cm="1">
        <f t="array" ref="BW269">(LOOKUP(2,1/(BH269:BT269&lt;&gt;""),BH269:BT269))/(INDEX(BH269:BT269,MATCH(TRUE,INDEX((BH269:BT269&lt;&gt;0),0),0)))-1</f>
        <v>0</v>
      </c>
      <c r="BX269" s="210">
        <f t="shared" si="52"/>
        <v>10.95</v>
      </c>
      <c r="BY269" s="210">
        <f t="shared" si="53"/>
        <v>8.2124999999999986</v>
      </c>
      <c r="BZ269" s="210">
        <f ca="1">IF(L269="BR",'Impostos e Frete'!$F$6,IF(L269="EU",'Impostos e Frete'!$I$3,IF(L269="CN",'Impostos e Frete'!$I$4,IF(L269="JP",'Impostos e Frete'!$I$5,IF(L269="RU",'Impostos e Frete'!$I$7,"ERRO")))))</f>
        <v>1.1330439999999999</v>
      </c>
      <c r="CA269" s="210">
        <f>VLOOKUP(L269,'Impostos e Frete'!$A$3:$B$7,2,0)*'Preços e Condições'!BY269</f>
        <v>1.1497499999999998</v>
      </c>
      <c r="CB269" s="147">
        <f t="shared" si="54"/>
        <v>0</v>
      </c>
      <c r="CC269" s="147">
        <f>IF(X269="BRL",'Impostos e Frete'!$B$11,'Impostos e Frete'!$B$12)</f>
        <v>9.1999999999999998E-2</v>
      </c>
      <c r="CD269" s="211">
        <f t="shared" ca="1" si="55"/>
        <v>10.587293999999998</v>
      </c>
      <c r="CE269" s="212">
        <f t="shared" ca="1" si="56"/>
        <v>0.68817410999999995</v>
      </c>
      <c r="CF269" s="213">
        <f>VLOOKUP(L269,'Impostos e Frete'!$A$3:$C$7,3,0)</f>
        <v>120</v>
      </c>
      <c r="CG269" s="213">
        <f t="shared" si="57"/>
        <v>90</v>
      </c>
      <c r="CH269" s="213">
        <f t="shared" si="58"/>
        <v>-30</v>
      </c>
      <c r="CI269" s="214">
        <f t="shared" ca="1" si="59"/>
        <v>0.15880940999999815</v>
      </c>
      <c r="CJ269" s="215">
        <f t="shared" ca="1" si="60"/>
        <v>10.746103409999996</v>
      </c>
      <c r="CK269" s="216">
        <f t="shared" ca="1" si="61"/>
        <v>0.69849672164999976</v>
      </c>
    </row>
    <row r="270" spans="1:89">
      <c r="A270" s="176">
        <v>18436</v>
      </c>
      <c r="B270" s="177">
        <v>2</v>
      </c>
      <c r="C270" s="178">
        <v>80</v>
      </c>
      <c r="D270" s="178">
        <v>1855</v>
      </c>
      <c r="E270" s="178" t="s">
        <v>49</v>
      </c>
      <c r="F270" s="179" t="s">
        <v>0</v>
      </c>
      <c r="G270" s="180" t="s">
        <v>96</v>
      </c>
      <c r="H270" s="178" t="s">
        <v>43</v>
      </c>
      <c r="I270" s="178" t="s">
        <v>99</v>
      </c>
      <c r="J270" s="178"/>
      <c r="K270" s="178"/>
      <c r="L270" s="178" t="s">
        <v>60</v>
      </c>
      <c r="M270" s="178">
        <v>90</v>
      </c>
      <c r="N270" s="178">
        <v>3300</v>
      </c>
      <c r="O270" s="178"/>
      <c r="P270" s="178"/>
      <c r="Q270" s="178"/>
      <c r="R270" s="178" t="s">
        <v>19</v>
      </c>
      <c r="S270" s="181"/>
      <c r="T270" s="181"/>
      <c r="U270" s="182"/>
      <c r="V270" s="182" t="s">
        <v>35</v>
      </c>
      <c r="W270" s="183">
        <v>100</v>
      </c>
      <c r="X270" s="182" t="s">
        <v>267</v>
      </c>
      <c r="Y270" s="184"/>
      <c r="Z270" s="184"/>
      <c r="AA270" s="184"/>
      <c r="AB270" s="184"/>
      <c r="AC270" s="184"/>
      <c r="AD270" s="184"/>
      <c r="AE270" s="184"/>
      <c r="AF270" s="184"/>
      <c r="AG270" s="184"/>
      <c r="AH270" s="184"/>
      <c r="AI270" s="184"/>
      <c r="AJ270" s="184"/>
      <c r="AK270" s="184"/>
      <c r="AL270" s="184"/>
      <c r="AM270" s="184"/>
      <c r="AN270" s="184"/>
      <c r="AO270" s="184"/>
      <c r="AP270" s="184"/>
      <c r="AQ270" s="184"/>
      <c r="AR270" s="184"/>
      <c r="AS270" s="184"/>
      <c r="AT270" s="184"/>
      <c r="AU270" s="184"/>
      <c r="AV270" s="184">
        <v>15100</v>
      </c>
      <c r="AW270" s="184">
        <v>15100</v>
      </c>
      <c r="AX270" s="184">
        <v>15100</v>
      </c>
      <c r="AY270" s="184">
        <v>15100</v>
      </c>
      <c r="AZ270" s="184">
        <v>15100</v>
      </c>
      <c r="BA270" s="184">
        <v>15100</v>
      </c>
      <c r="BB270" s="184">
        <v>15100</v>
      </c>
      <c r="BC270" s="184">
        <v>15100</v>
      </c>
      <c r="BD270" s="184">
        <v>14500</v>
      </c>
      <c r="BE270" s="184"/>
      <c r="BF270" s="184"/>
      <c r="BG270" s="184">
        <v>14500</v>
      </c>
      <c r="BH270" s="184">
        <v>14500</v>
      </c>
      <c r="BI270" s="184">
        <v>14500</v>
      </c>
      <c r="BJ270" s="184"/>
      <c r="BK270" s="184"/>
      <c r="BL270" s="184"/>
      <c r="BM270" s="184"/>
      <c r="BN270" s="184"/>
      <c r="BO270" s="184"/>
      <c r="BP270" s="184"/>
      <c r="BQ270" s="184"/>
      <c r="BR270" s="184"/>
      <c r="BS270" s="184"/>
      <c r="BT270" s="184"/>
      <c r="BU270" s="146" cm="1">
        <f t="array" ref="BU270">LOOKUP(2,1/(Y270:BT270&lt;&gt;""),Y270:BH270)</f>
        <v>14500</v>
      </c>
      <c r="BV270" s="145" cm="1">
        <f t="array" aca="1" ref="BV270" ca="1">_xlfn.LET(
    _xlpm.last_col_idx, LOOKUP(2, 1/(Y270:BT270&lt;&gt;""), COLUMN(Y270:BT270) - COLUMN(Y270) + 1),
    _xlpm.header_val, INDEX($Y$3:$BT$3, 1, _xlpm.last_col_idx),
    _xlpm.header_date, IF(ISNUMBER(_xlpm.header_val), _xlpm.header_val, DATEVALUE(_xlpm.header_val)),
    IF(_xlpm.header_date &gt; TODAY(), TODAY(), _xlpm.header_date)
)</f>
        <v>46023</v>
      </c>
      <c r="BW270" s="209" cm="1">
        <f t="array" ref="BW270">(LOOKUP(2,1/(BH270:BT270&lt;&gt;""),BH270:BT270))/(INDEX(BH270:BT270,MATCH(TRUE,INDEX((BH270:BT270&lt;&gt;0),0),0)))-1</f>
        <v>0</v>
      </c>
      <c r="BX270" s="210">
        <f t="shared" si="52"/>
        <v>14.5</v>
      </c>
      <c r="BY270" s="210">
        <f t="shared" si="53"/>
        <v>10.875</v>
      </c>
      <c r="BZ270" s="210">
        <f ca="1">IF(L270="BR",'Impostos e Frete'!$F$6,IF(L270="EU",'Impostos e Frete'!$I$3,IF(L270="CN",'Impostos e Frete'!$I$4,IF(L270="JP",'Impostos e Frete'!$I$5,IF(L270="RU",'Impostos e Frete'!$I$7,"ERRO")))))</f>
        <v>1.1330439999999999</v>
      </c>
      <c r="CA270" s="210">
        <f>VLOOKUP(L270,'Impostos e Frete'!$A$3:$B$7,2,0)*'Preços e Condições'!BY270</f>
        <v>1.5225000000000002</v>
      </c>
      <c r="CB270" s="147">
        <f t="shared" si="54"/>
        <v>0</v>
      </c>
      <c r="CC270" s="147">
        <f>IF(X270="BRL",'Impostos e Frete'!$B$11,'Impostos e Frete'!$B$12)</f>
        <v>9.1999999999999998E-2</v>
      </c>
      <c r="CD270" s="211">
        <f t="shared" ca="1" si="55"/>
        <v>13.622544000000001</v>
      </c>
      <c r="CE270" s="212">
        <f t="shared" ca="1" si="56"/>
        <v>1.0898035200000002</v>
      </c>
      <c r="CF270" s="213">
        <f>VLOOKUP(L270,'Impostos e Frete'!$A$3:$C$7,3,0)</f>
        <v>120</v>
      </c>
      <c r="CG270" s="213">
        <f t="shared" si="57"/>
        <v>90</v>
      </c>
      <c r="CH270" s="213">
        <f t="shared" si="58"/>
        <v>-30</v>
      </c>
      <c r="CI270" s="214">
        <f t="shared" ca="1" si="59"/>
        <v>0.20433815999999894</v>
      </c>
      <c r="CJ270" s="215">
        <f t="shared" ca="1" si="60"/>
        <v>13.82688216</v>
      </c>
      <c r="CK270" s="216">
        <f t="shared" ca="1" si="61"/>
        <v>1.1061505728000001</v>
      </c>
    </row>
    <row r="271" spans="1:89">
      <c r="A271" s="176">
        <v>18437</v>
      </c>
      <c r="B271" s="186">
        <v>86</v>
      </c>
      <c r="C271" s="178">
        <v>70</v>
      </c>
      <c r="D271" s="178">
        <v>1860</v>
      </c>
      <c r="E271" s="178" t="s">
        <v>49</v>
      </c>
      <c r="F271" s="179" t="s">
        <v>0</v>
      </c>
      <c r="G271" s="180" t="s">
        <v>340</v>
      </c>
      <c r="H271" s="178" t="s">
        <v>43</v>
      </c>
      <c r="I271" s="178" t="s">
        <v>100</v>
      </c>
      <c r="J271" s="178"/>
      <c r="K271" s="178"/>
      <c r="L271" s="178" t="s">
        <v>60</v>
      </c>
      <c r="M271" s="178">
        <v>90</v>
      </c>
      <c r="N271" s="178">
        <v>3300</v>
      </c>
      <c r="O271" s="178"/>
      <c r="P271" s="178"/>
      <c r="Q271" s="178"/>
      <c r="R271" s="178" t="s">
        <v>19</v>
      </c>
      <c r="S271" s="181"/>
      <c r="T271" s="181"/>
      <c r="U271" s="182"/>
      <c r="V271" s="182" t="s">
        <v>35</v>
      </c>
      <c r="W271" s="183">
        <v>100</v>
      </c>
      <c r="X271" s="182" t="s">
        <v>267</v>
      </c>
      <c r="Y271" s="184"/>
      <c r="Z271" s="184"/>
      <c r="AA271" s="184"/>
      <c r="AB271" s="184"/>
      <c r="AC271" s="184"/>
      <c r="AD271" s="184"/>
      <c r="AE271" s="184"/>
      <c r="AF271" s="184"/>
      <c r="AG271" s="184"/>
      <c r="AH271" s="184"/>
      <c r="AI271" s="184"/>
      <c r="AJ271" s="184"/>
      <c r="AK271" s="184"/>
      <c r="AL271" s="184"/>
      <c r="AM271" s="184"/>
      <c r="AN271" s="184"/>
      <c r="AO271" s="184"/>
      <c r="AP271" s="184"/>
      <c r="AQ271" s="184"/>
      <c r="AR271" s="184"/>
      <c r="AS271" s="184"/>
      <c r="AT271" s="184"/>
      <c r="AU271" s="184"/>
      <c r="AV271" s="184">
        <v>12100</v>
      </c>
      <c r="AW271" s="184">
        <v>12100</v>
      </c>
      <c r="AX271" s="184">
        <v>12100</v>
      </c>
      <c r="AY271" s="184">
        <v>12100</v>
      </c>
      <c r="AZ271" s="184">
        <v>12100</v>
      </c>
      <c r="BA271" s="184">
        <v>12100</v>
      </c>
      <c r="BB271" s="184">
        <v>12100</v>
      </c>
      <c r="BC271" s="184">
        <v>12100</v>
      </c>
      <c r="BD271" s="184">
        <v>11600</v>
      </c>
      <c r="BE271" s="184">
        <v>11600</v>
      </c>
      <c r="BF271" s="184">
        <v>11600</v>
      </c>
      <c r="BG271" s="184">
        <v>11600</v>
      </c>
      <c r="BH271" s="184">
        <v>11600</v>
      </c>
      <c r="BI271" s="184">
        <v>11600</v>
      </c>
      <c r="BJ271" s="184"/>
      <c r="BK271" s="184"/>
      <c r="BL271" s="184"/>
      <c r="BM271" s="184"/>
      <c r="BN271" s="184"/>
      <c r="BO271" s="184"/>
      <c r="BP271" s="184"/>
      <c r="BQ271" s="184"/>
      <c r="BR271" s="184"/>
      <c r="BS271" s="184"/>
      <c r="BT271" s="184"/>
      <c r="BU271" s="146" cm="1">
        <f t="array" ref="BU271">LOOKUP(2,1/(Y271:BT271&lt;&gt;""),Y271:BH271)</f>
        <v>11600</v>
      </c>
      <c r="BV271" s="145" cm="1">
        <f t="array" aca="1" ref="BV271" ca="1">_xlfn.LET(
    _xlpm.last_col_idx, LOOKUP(2, 1/(Y271:BT271&lt;&gt;""), COLUMN(Y271:BT271) - COLUMN(Y271) + 1),
    _xlpm.header_val, INDEX($Y$3:$BT$3, 1, _xlpm.last_col_idx),
    _xlpm.header_date, IF(ISNUMBER(_xlpm.header_val), _xlpm.header_val, DATEVALUE(_xlpm.header_val)),
    IF(_xlpm.header_date &gt; TODAY(), TODAY(), _xlpm.header_date)
)</f>
        <v>46023</v>
      </c>
      <c r="BW271" s="209" cm="1">
        <f t="array" ref="BW271">(LOOKUP(2,1/(BH271:BT271&lt;&gt;""),BH271:BT271))/(INDEX(BH271:BT271,MATCH(TRUE,INDEX((BH271:BT271&lt;&gt;0),0),0)))-1</f>
        <v>0</v>
      </c>
      <c r="BX271" s="210">
        <f t="shared" si="52"/>
        <v>11.6</v>
      </c>
      <c r="BY271" s="210">
        <f t="shared" si="53"/>
        <v>8.6999999999999993</v>
      </c>
      <c r="BZ271" s="210">
        <f ca="1">IF(L271="BR",'Impostos e Frete'!$F$6,IF(L271="EU",'Impostos e Frete'!$I$3,IF(L271="CN",'Impostos e Frete'!$I$4,IF(L271="JP",'Impostos e Frete'!$I$5,IF(L271="RU",'Impostos e Frete'!$I$7,"ERRO")))))</f>
        <v>1.1330439999999999</v>
      </c>
      <c r="CA271" s="210">
        <f>VLOOKUP(L271,'Impostos e Frete'!$A$3:$B$7,2,0)*'Preços e Condições'!BY271</f>
        <v>1.218</v>
      </c>
      <c r="CB271" s="147">
        <f t="shared" si="54"/>
        <v>0</v>
      </c>
      <c r="CC271" s="147">
        <f>IF(X271="BRL",'Impostos e Frete'!$B$11,'Impostos e Frete'!$B$12)</f>
        <v>9.1999999999999998E-2</v>
      </c>
      <c r="CD271" s="211">
        <f t="shared" ca="1" si="55"/>
        <v>11.143044</v>
      </c>
      <c r="CE271" s="212">
        <f t="shared" ca="1" si="56"/>
        <v>0.78001307999999991</v>
      </c>
      <c r="CF271" s="213">
        <f>VLOOKUP(L271,'Impostos e Frete'!$A$3:$C$7,3,0)</f>
        <v>120</v>
      </c>
      <c r="CG271" s="213">
        <f t="shared" si="57"/>
        <v>90</v>
      </c>
      <c r="CH271" s="213">
        <f t="shared" si="58"/>
        <v>-30</v>
      </c>
      <c r="CI271" s="214">
        <f t="shared" ca="1" si="59"/>
        <v>0.1671456599999992</v>
      </c>
      <c r="CJ271" s="215">
        <f t="shared" ca="1" si="60"/>
        <v>11.310189659999999</v>
      </c>
      <c r="CK271" s="216">
        <f t="shared" ca="1" si="61"/>
        <v>0.79171327619999998</v>
      </c>
    </row>
    <row r="272" spans="1:89">
      <c r="A272" s="176">
        <v>18437</v>
      </c>
      <c r="B272" s="186">
        <v>86</v>
      </c>
      <c r="C272" s="178">
        <v>70</v>
      </c>
      <c r="D272" s="178">
        <v>1860</v>
      </c>
      <c r="E272" s="178" t="s">
        <v>49</v>
      </c>
      <c r="F272" s="179" t="s">
        <v>0</v>
      </c>
      <c r="G272" s="180" t="s">
        <v>340</v>
      </c>
      <c r="H272" s="178" t="s">
        <v>43</v>
      </c>
      <c r="I272" s="178" t="s">
        <v>100</v>
      </c>
      <c r="J272" s="178"/>
      <c r="K272" s="178"/>
      <c r="L272" s="178" t="s">
        <v>60</v>
      </c>
      <c r="M272" s="178">
        <v>90</v>
      </c>
      <c r="N272" s="178">
        <v>400</v>
      </c>
      <c r="O272" s="178"/>
      <c r="P272" s="178"/>
      <c r="Q272" s="178"/>
      <c r="R272" s="178" t="s">
        <v>19</v>
      </c>
      <c r="S272" s="181"/>
      <c r="T272" s="181"/>
      <c r="U272" s="182"/>
      <c r="V272" s="182" t="s">
        <v>35</v>
      </c>
      <c r="W272" s="183">
        <v>100</v>
      </c>
      <c r="X272" s="182" t="s">
        <v>51</v>
      </c>
      <c r="Y272" s="184"/>
      <c r="Z272" s="184"/>
      <c r="AA272" s="184"/>
      <c r="AB272" s="184"/>
      <c r="AC272" s="184"/>
      <c r="AD272" s="184"/>
      <c r="AE272" s="184">
        <v>1920</v>
      </c>
      <c r="AF272" s="184">
        <v>1920</v>
      </c>
      <c r="AG272" s="184">
        <v>1920</v>
      </c>
      <c r="AH272" s="184">
        <v>1920</v>
      </c>
      <c r="AI272" s="184">
        <v>1920</v>
      </c>
      <c r="AJ272" s="184">
        <v>1920</v>
      </c>
      <c r="AK272" s="184"/>
      <c r="AL272" s="184"/>
      <c r="AM272" s="184"/>
      <c r="AN272" s="184"/>
      <c r="AO272" s="184"/>
      <c r="AP272" s="184"/>
      <c r="AQ272" s="184"/>
      <c r="AR272" s="184"/>
      <c r="AS272" s="184">
        <v>1723</v>
      </c>
      <c r="AT272" s="184"/>
      <c r="AU272" s="184"/>
      <c r="AV272" s="184"/>
      <c r="AW272" s="184">
        <v>1570</v>
      </c>
      <c r="AX272" s="184">
        <v>1570</v>
      </c>
      <c r="AY272" s="184">
        <v>1570</v>
      </c>
      <c r="AZ272" s="184"/>
      <c r="BA272" s="184"/>
      <c r="BB272" s="184"/>
      <c r="BC272" s="184"/>
      <c r="BD272" s="184">
        <v>1380</v>
      </c>
      <c r="BE272" s="184">
        <v>1380</v>
      </c>
      <c r="BF272" s="184">
        <v>1380</v>
      </c>
      <c r="BG272" s="184"/>
      <c r="BH272" s="184"/>
      <c r="BI272" s="184"/>
      <c r="BJ272" s="184"/>
      <c r="BK272" s="184"/>
      <c r="BL272" s="184"/>
      <c r="BM272" s="184"/>
      <c r="BN272" s="184"/>
      <c r="BO272" s="184"/>
      <c r="BP272" s="184"/>
      <c r="BQ272" s="184"/>
      <c r="BR272" s="184"/>
      <c r="BS272" s="184"/>
      <c r="BT272" s="184"/>
      <c r="BU272" s="146" cm="1">
        <f t="array" ref="BU272">LOOKUP(2,1/(Y272:BT272&lt;&gt;""),Y272:BH272)</f>
        <v>1380</v>
      </c>
      <c r="BV272" s="145" cm="1">
        <f t="array" aca="1" ref="BV272" ca="1">_xlfn.LET(
    _xlpm.last_col_idx, LOOKUP(2, 1/(Y272:BT272&lt;&gt;""), COLUMN(Y272:BT272) - COLUMN(Y272) + 1),
    _xlpm.header_val, INDEX($Y$3:$BT$3, 1, _xlpm.last_col_idx),
    _xlpm.header_date, IF(ISNUMBER(_xlpm.header_val), _xlpm.header_val, DATEVALUE(_xlpm.header_val)),
    IF(_xlpm.header_date &gt; TODAY(), TODAY(), _xlpm.header_date)
)</f>
        <v>45931</v>
      </c>
      <c r="BW272" s="209" t="e" cm="1">
        <f t="array" ref="BW272">(LOOKUP(2,1/(BH272:BT272&lt;&gt;""),BH272:BT272))/(INDEX(BH272:BT272,MATCH(TRUE,INDEX((BH272:BT272&lt;&gt;0),0),0)))-1</f>
        <v>#N/A</v>
      </c>
      <c r="BX272" s="210">
        <f t="shared" si="52"/>
        <v>1.38</v>
      </c>
      <c r="BY272" s="210">
        <f t="shared" si="53"/>
        <v>8.1419999999999995</v>
      </c>
      <c r="BZ272" s="210">
        <f ca="1">IF(L272="BR",'Impostos e Frete'!$F$6,IF(L272="EU",'Impostos e Frete'!$I$3,IF(L272="CN",'Impostos e Frete'!$I$4,IF(L272="JP",'Impostos e Frete'!$I$5,IF(L272="RU",'Impostos e Frete'!$I$7,"ERRO")))))</f>
        <v>1.1330439999999999</v>
      </c>
      <c r="CA272" s="210">
        <f>VLOOKUP(L272,'Impostos e Frete'!$A$3:$B$7,2,0)*'Preços e Condições'!BY272</f>
        <v>1.13988</v>
      </c>
      <c r="CB272" s="147">
        <f t="shared" si="54"/>
        <v>0</v>
      </c>
      <c r="CC272" s="147">
        <f>IF(X272="BRL",'Impostos e Frete'!$B$11,'Impostos e Frete'!$B$12)</f>
        <v>9.1999999999999998E-2</v>
      </c>
      <c r="CD272" s="211">
        <f t="shared" ca="1" si="55"/>
        <v>10.506924</v>
      </c>
      <c r="CE272" s="212">
        <f t="shared" ca="1" si="56"/>
        <v>0.73548467999999989</v>
      </c>
      <c r="CF272" s="213">
        <f>VLOOKUP(L272,'Impostos e Frete'!$A$3:$C$7,3,0)</f>
        <v>120</v>
      </c>
      <c r="CG272" s="213">
        <f t="shared" si="57"/>
        <v>90</v>
      </c>
      <c r="CH272" s="213">
        <f t="shared" si="58"/>
        <v>-30</v>
      </c>
      <c r="CI272" s="214">
        <f t="shared" ca="1" si="59"/>
        <v>0.15760385999999826</v>
      </c>
      <c r="CJ272" s="215">
        <f t="shared" ca="1" si="60"/>
        <v>10.664527859999998</v>
      </c>
      <c r="CK272" s="216">
        <f t="shared" ca="1" si="61"/>
        <v>0.74651695019999986</v>
      </c>
    </row>
    <row r="273" spans="1:89">
      <c r="A273" s="176">
        <v>18443</v>
      </c>
      <c r="B273" s="186">
        <v>244</v>
      </c>
      <c r="C273" s="178">
        <v>65</v>
      </c>
      <c r="D273" s="178">
        <v>1870</v>
      </c>
      <c r="E273" s="178" t="s">
        <v>50</v>
      </c>
      <c r="F273" s="179" t="s">
        <v>0</v>
      </c>
      <c r="G273" s="189" t="s">
        <v>334</v>
      </c>
      <c r="H273" s="178" t="s">
        <v>63</v>
      </c>
      <c r="I273" s="178"/>
      <c r="J273" s="178"/>
      <c r="K273" s="178"/>
      <c r="L273" s="178" t="s">
        <v>60</v>
      </c>
      <c r="M273" s="178">
        <v>90</v>
      </c>
      <c r="N273" s="178">
        <v>3300</v>
      </c>
      <c r="O273" s="178"/>
      <c r="P273" s="178"/>
      <c r="Q273" s="178"/>
      <c r="R273" s="178" t="s">
        <v>19</v>
      </c>
      <c r="S273" s="181"/>
      <c r="T273" s="181"/>
      <c r="U273" s="182"/>
      <c r="V273" s="182" t="s">
        <v>35</v>
      </c>
      <c r="W273" s="183">
        <v>100</v>
      </c>
      <c r="X273" s="182" t="s">
        <v>267</v>
      </c>
      <c r="Y273" s="184"/>
      <c r="Z273" s="184"/>
      <c r="AA273" s="184"/>
      <c r="AB273" s="184"/>
      <c r="AC273" s="184"/>
      <c r="AD273" s="184"/>
      <c r="AE273" s="184"/>
      <c r="AF273" s="184"/>
      <c r="AG273" s="184"/>
      <c r="AH273" s="184"/>
      <c r="AI273" s="184"/>
      <c r="AJ273" s="184"/>
      <c r="AK273" s="184"/>
      <c r="AL273" s="184"/>
      <c r="AM273" s="184"/>
      <c r="AN273" s="184"/>
      <c r="AO273" s="184"/>
      <c r="AP273" s="184"/>
      <c r="AQ273" s="184"/>
      <c r="AR273" s="184"/>
      <c r="AS273" s="184"/>
      <c r="AT273" s="184"/>
      <c r="AU273" s="184"/>
      <c r="AV273" s="184"/>
      <c r="AW273" s="184"/>
      <c r="AX273" s="184"/>
      <c r="AY273" s="184"/>
      <c r="AZ273" s="184"/>
      <c r="BA273" s="184"/>
      <c r="BB273" s="184">
        <v>13800</v>
      </c>
      <c r="BC273" s="184">
        <v>13800</v>
      </c>
      <c r="BD273" s="184">
        <v>13800</v>
      </c>
      <c r="BE273" s="184">
        <v>13800</v>
      </c>
      <c r="BF273" s="184"/>
      <c r="BG273" s="184">
        <v>13000</v>
      </c>
      <c r="BH273" s="184">
        <v>13000</v>
      </c>
      <c r="BI273" s="184"/>
      <c r="BJ273" s="184"/>
      <c r="BK273" s="184"/>
      <c r="BL273" s="184"/>
      <c r="BM273" s="184"/>
      <c r="BN273" s="184"/>
      <c r="BO273" s="184"/>
      <c r="BP273" s="184"/>
      <c r="BQ273" s="184"/>
      <c r="BR273" s="184"/>
      <c r="BS273" s="184"/>
      <c r="BT273" s="184"/>
      <c r="BU273" s="146" cm="1">
        <f t="array" ref="BU273">LOOKUP(2,1/(Y273:BT273&lt;&gt;""),Y273:BH273)</f>
        <v>13000</v>
      </c>
      <c r="BV273" s="145" cm="1">
        <f t="array" aca="1" ref="BV273" ca="1">_xlfn.LET(
    _xlpm.last_col_idx, LOOKUP(2, 1/(Y273:BT273&lt;&gt;""), COLUMN(Y273:BT273) - COLUMN(Y273) + 1),
    _xlpm.header_val, INDEX($Y$3:$BT$3, 1, _xlpm.last_col_idx),
    _xlpm.header_date, IF(ISNUMBER(_xlpm.header_val), _xlpm.header_val, DATEVALUE(_xlpm.header_val)),
    IF(_xlpm.header_date &gt; TODAY(), TODAY(), _xlpm.header_date)
)</f>
        <v>45992</v>
      </c>
      <c r="BW273" s="209" cm="1">
        <f t="array" ref="BW273">(LOOKUP(2,1/(BH273:BT273&lt;&gt;""),BH273:BT273))/(INDEX(BH273:BT273,MATCH(TRUE,INDEX((BH273:BT273&lt;&gt;0),0),0)))-1</f>
        <v>0</v>
      </c>
      <c r="BX273" s="210">
        <f t="shared" si="52"/>
        <v>13</v>
      </c>
      <c r="BY273" s="210">
        <f t="shared" si="53"/>
        <v>9.75</v>
      </c>
      <c r="BZ273" s="210">
        <f ca="1">IF(L273="BR",'Impostos e Frete'!$F$6,IF(L273="EU",'Impostos e Frete'!$I$3,IF(L273="CN",'Impostos e Frete'!$I$4,IF(L273="JP",'Impostos e Frete'!$I$5,IF(L273="RU",'Impostos e Frete'!$I$7,"ERRO")))))</f>
        <v>1.1330439999999999</v>
      </c>
      <c r="CA273" s="210">
        <f>VLOOKUP(L273,'Impostos e Frete'!$A$3:$B$7,2,0)*'Preços e Condições'!BY273</f>
        <v>1.3650000000000002</v>
      </c>
      <c r="CB273" s="147">
        <f t="shared" si="54"/>
        <v>0</v>
      </c>
      <c r="CC273" s="147">
        <f>IF(X273="BRL",'Impostos e Frete'!$B$11,'Impostos e Frete'!$B$12)</f>
        <v>9.1999999999999998E-2</v>
      </c>
      <c r="CD273" s="211">
        <f t="shared" ca="1" si="55"/>
        <v>12.340044000000001</v>
      </c>
      <c r="CE273" s="212">
        <f t="shared" ca="1" si="56"/>
        <v>0.80210286000000008</v>
      </c>
      <c r="CF273" s="213">
        <f>VLOOKUP(L273,'Impostos e Frete'!$A$3:$C$7,3,0)</f>
        <v>120</v>
      </c>
      <c r="CG273" s="213">
        <f t="shared" si="57"/>
        <v>90</v>
      </c>
      <c r="CH273" s="213">
        <f t="shared" si="58"/>
        <v>-30</v>
      </c>
      <c r="CI273" s="214">
        <f t="shared" ca="1" si="59"/>
        <v>0.18510065999999803</v>
      </c>
      <c r="CJ273" s="215">
        <f t="shared" ca="1" si="60"/>
        <v>12.525144659999999</v>
      </c>
      <c r="CK273" s="216">
        <f t="shared" ca="1" si="61"/>
        <v>0.81413440289999994</v>
      </c>
    </row>
    <row r="274" spans="1:89">
      <c r="A274" s="176">
        <v>18444</v>
      </c>
      <c r="B274" s="177" t="s">
        <v>372</v>
      </c>
      <c r="C274" s="178">
        <v>65</v>
      </c>
      <c r="D274" s="178">
        <v>2175</v>
      </c>
      <c r="E274" s="178" t="s">
        <v>50</v>
      </c>
      <c r="F274" s="179" t="s">
        <v>0</v>
      </c>
      <c r="G274" s="180" t="s">
        <v>373</v>
      </c>
      <c r="H274" s="178" t="s">
        <v>43</v>
      </c>
      <c r="I274" s="178"/>
      <c r="J274" s="178"/>
      <c r="K274" s="178"/>
      <c r="L274" s="178" t="s">
        <v>60</v>
      </c>
      <c r="M274" s="178">
        <v>90</v>
      </c>
      <c r="N274" s="178">
        <v>3300</v>
      </c>
      <c r="O274" s="178"/>
      <c r="P274" s="178"/>
      <c r="Q274" s="178"/>
      <c r="R274" s="178" t="s">
        <v>19</v>
      </c>
      <c r="S274" s="181"/>
      <c r="T274" s="181"/>
      <c r="U274" s="182"/>
      <c r="V274" s="182" t="s">
        <v>35</v>
      </c>
      <c r="W274" s="183">
        <v>100</v>
      </c>
      <c r="X274" s="182" t="s">
        <v>267</v>
      </c>
      <c r="Y274" s="184"/>
      <c r="Z274" s="184"/>
      <c r="AA274" s="184"/>
      <c r="AB274" s="184"/>
      <c r="AC274" s="184"/>
      <c r="AD274" s="184"/>
      <c r="AE274" s="184"/>
      <c r="AF274" s="184"/>
      <c r="AG274" s="184"/>
      <c r="AH274" s="184"/>
      <c r="AI274" s="184"/>
      <c r="AJ274" s="184"/>
      <c r="AK274" s="184"/>
      <c r="AL274" s="184"/>
      <c r="AM274" s="184"/>
      <c r="AN274" s="184"/>
      <c r="AO274" s="184"/>
      <c r="AP274" s="184"/>
      <c r="AQ274" s="184"/>
      <c r="AR274" s="184"/>
      <c r="AS274" s="184"/>
      <c r="AT274" s="184"/>
      <c r="AU274" s="184"/>
      <c r="AV274" s="184"/>
      <c r="AW274" s="184"/>
      <c r="AX274" s="184"/>
      <c r="AY274" s="184"/>
      <c r="AZ274" s="184"/>
      <c r="BA274" s="184"/>
      <c r="BB274" s="184"/>
      <c r="BC274" s="184">
        <v>12500</v>
      </c>
      <c r="BD274" s="184">
        <v>11900</v>
      </c>
      <c r="BE274" s="184">
        <v>11900</v>
      </c>
      <c r="BF274" s="184">
        <v>11900</v>
      </c>
      <c r="BG274" s="184">
        <v>10950</v>
      </c>
      <c r="BH274" s="184">
        <v>10950</v>
      </c>
      <c r="BI274" s="184">
        <v>10950</v>
      </c>
      <c r="BJ274" s="184"/>
      <c r="BK274" s="184"/>
      <c r="BL274" s="184"/>
      <c r="BM274" s="184"/>
      <c r="BN274" s="184"/>
      <c r="BO274" s="184"/>
      <c r="BP274" s="184"/>
      <c r="BQ274" s="184"/>
      <c r="BR274" s="184"/>
      <c r="BS274" s="184"/>
      <c r="BT274" s="184"/>
      <c r="BU274" s="146" cm="1">
        <f t="array" ref="BU274">LOOKUP(2,1/(Y274:BT274&lt;&gt;""),Y274:BH274)</f>
        <v>10950</v>
      </c>
      <c r="BV274" s="145" cm="1">
        <f t="array" aca="1" ref="BV274" ca="1">_xlfn.LET(
    _xlpm.last_col_idx, LOOKUP(2, 1/(Y274:BT274&lt;&gt;""), COLUMN(Y274:BT274) - COLUMN(Y274) + 1),
    _xlpm.header_val, INDEX($Y$3:$BT$3, 1, _xlpm.last_col_idx),
    _xlpm.header_date, IF(ISNUMBER(_xlpm.header_val), _xlpm.header_val, DATEVALUE(_xlpm.header_val)),
    IF(_xlpm.header_date &gt; TODAY(), TODAY(), _xlpm.header_date)
)</f>
        <v>46023</v>
      </c>
      <c r="BW274" s="209" cm="1">
        <f t="array" ref="BW274">(LOOKUP(2,1/(BH274:BT274&lt;&gt;""),BH274:BT274))/(INDEX(BH274:BT274,MATCH(TRUE,INDEX((BH274:BT274&lt;&gt;0),0),0)))-1</f>
        <v>0</v>
      </c>
      <c r="BX274" s="210">
        <f t="shared" si="52"/>
        <v>10.95</v>
      </c>
      <c r="BY274" s="210">
        <f t="shared" si="53"/>
        <v>8.2124999999999986</v>
      </c>
      <c r="BZ274" s="210">
        <f ca="1">IF(L274="BR",'Impostos e Frete'!$F$6,IF(L274="EU",'Impostos e Frete'!$I$3,IF(L274="CN",'Impostos e Frete'!$I$4,IF(L274="JP",'Impostos e Frete'!$I$5,IF(L274="RU",'Impostos e Frete'!$I$7,"ERRO")))))</f>
        <v>1.1330439999999999</v>
      </c>
      <c r="CA274" s="210">
        <f>VLOOKUP(L274,'Impostos e Frete'!$A$3:$B$7,2,0)*'Preços e Condições'!BY274</f>
        <v>1.1497499999999998</v>
      </c>
      <c r="CB274" s="147">
        <f t="shared" si="54"/>
        <v>0</v>
      </c>
      <c r="CC274" s="147">
        <f>IF(X274="BRL",'Impostos e Frete'!$B$11,'Impostos e Frete'!$B$12)</f>
        <v>9.1999999999999998E-2</v>
      </c>
      <c r="CD274" s="211">
        <f t="shared" ca="1" si="55"/>
        <v>10.587293999999998</v>
      </c>
      <c r="CE274" s="212">
        <f t="shared" ca="1" si="56"/>
        <v>0.68817410999999995</v>
      </c>
      <c r="CF274" s="213">
        <f>VLOOKUP(L274,'Impostos e Frete'!$A$3:$C$7,3,0)</f>
        <v>120</v>
      </c>
      <c r="CG274" s="213">
        <f t="shared" si="57"/>
        <v>90</v>
      </c>
      <c r="CH274" s="213">
        <f t="shared" si="58"/>
        <v>-30</v>
      </c>
      <c r="CI274" s="214">
        <f t="shared" ca="1" si="59"/>
        <v>0.15880940999999815</v>
      </c>
      <c r="CJ274" s="215">
        <f t="shared" ca="1" si="60"/>
        <v>10.746103409999996</v>
      </c>
      <c r="CK274" s="216">
        <f t="shared" ca="1" si="61"/>
        <v>0.69849672164999976</v>
      </c>
    </row>
    <row r="275" spans="1:89">
      <c r="A275" s="176">
        <v>18505</v>
      </c>
      <c r="B275" s="177">
        <v>104</v>
      </c>
      <c r="C275" s="178">
        <v>80</v>
      </c>
      <c r="D275" s="178">
        <v>1870</v>
      </c>
      <c r="E275" s="178" t="s">
        <v>49</v>
      </c>
      <c r="F275" s="179" t="s">
        <v>240</v>
      </c>
      <c r="G275" s="180" t="s">
        <v>370</v>
      </c>
      <c r="H275" s="178" t="s">
        <v>43</v>
      </c>
      <c r="I275" s="178" t="s">
        <v>241</v>
      </c>
      <c r="J275" s="178"/>
      <c r="K275" s="178"/>
      <c r="L275" s="178" t="s">
        <v>60</v>
      </c>
      <c r="M275" s="178">
        <v>90</v>
      </c>
      <c r="N275" s="178">
        <v>3300</v>
      </c>
      <c r="O275" s="178"/>
      <c r="P275" s="178"/>
      <c r="Q275" s="178"/>
      <c r="R275" s="178" t="s">
        <v>19</v>
      </c>
      <c r="S275" s="181"/>
      <c r="T275" s="181"/>
      <c r="U275" s="182"/>
      <c r="V275" s="182" t="s">
        <v>35</v>
      </c>
      <c r="W275" s="183"/>
      <c r="X275" s="182" t="s">
        <v>267</v>
      </c>
      <c r="Y275" s="184"/>
      <c r="Z275" s="184"/>
      <c r="AA275" s="184"/>
      <c r="AB275" s="184"/>
      <c r="AC275" s="184"/>
      <c r="AD275" s="184"/>
      <c r="AE275" s="184"/>
      <c r="AF275" s="184"/>
      <c r="AG275" s="184"/>
      <c r="AH275" s="184"/>
      <c r="AI275" s="184"/>
      <c r="AJ275" s="184"/>
      <c r="AK275" s="184"/>
      <c r="AL275" s="184"/>
      <c r="AM275" s="184"/>
      <c r="AN275" s="184"/>
      <c r="AO275" s="184"/>
      <c r="AP275" s="184"/>
      <c r="AQ275" s="184"/>
      <c r="AR275" s="184"/>
      <c r="AS275" s="184"/>
      <c r="AT275" s="184"/>
      <c r="AU275" s="184"/>
      <c r="AV275" s="184"/>
      <c r="AW275" s="184"/>
      <c r="AX275" s="184"/>
      <c r="AY275" s="184"/>
      <c r="AZ275" s="184"/>
      <c r="BA275" s="184"/>
      <c r="BB275" s="184">
        <v>12500</v>
      </c>
      <c r="BC275" s="184">
        <v>12500</v>
      </c>
      <c r="BD275" s="184">
        <v>12500</v>
      </c>
      <c r="BE275" s="184">
        <v>12500</v>
      </c>
      <c r="BF275" s="184">
        <v>12500</v>
      </c>
      <c r="BG275" s="184">
        <v>12000</v>
      </c>
      <c r="BH275" s="184">
        <v>12000</v>
      </c>
      <c r="BI275" s="184">
        <v>12000</v>
      </c>
      <c r="BJ275" s="184"/>
      <c r="BK275" s="184"/>
      <c r="BL275" s="184"/>
      <c r="BM275" s="184"/>
      <c r="BN275" s="184"/>
      <c r="BO275" s="184"/>
      <c r="BP275" s="184"/>
      <c r="BQ275" s="184"/>
      <c r="BR275" s="184"/>
      <c r="BS275" s="184"/>
      <c r="BT275" s="184"/>
      <c r="BU275" s="146" cm="1">
        <f t="array" ref="BU275">LOOKUP(2,1/(Y275:BT275&lt;&gt;""),Y275:BH275)</f>
        <v>12000</v>
      </c>
      <c r="BV275" s="145" cm="1">
        <f t="array" aca="1" ref="BV275" ca="1">_xlfn.LET(
    _xlpm.last_col_idx, LOOKUP(2, 1/(Y275:BT275&lt;&gt;""), COLUMN(Y275:BT275) - COLUMN(Y275) + 1),
    _xlpm.header_val, INDEX($Y$3:$BT$3, 1, _xlpm.last_col_idx),
    _xlpm.header_date, IF(ISNUMBER(_xlpm.header_val), _xlpm.header_val, DATEVALUE(_xlpm.header_val)),
    IF(_xlpm.header_date &gt; TODAY(), TODAY(), _xlpm.header_date)
)</f>
        <v>46023</v>
      </c>
      <c r="BW275" s="209" cm="1">
        <f t="array" ref="BW275">(LOOKUP(2,1/(BH275:BT275&lt;&gt;""),BH275:BT275))/(INDEX(BH275:BT275,MATCH(TRUE,INDEX((BH275:BT275&lt;&gt;0),0),0)))-1</f>
        <v>0</v>
      </c>
      <c r="BX275" s="210">
        <f t="shared" si="52"/>
        <v>12</v>
      </c>
      <c r="BY275" s="210">
        <f t="shared" si="53"/>
        <v>9</v>
      </c>
      <c r="BZ275" s="210">
        <f ca="1">IF(L275="BR",'Impostos e Frete'!$F$6,IF(L275="EU",'Impostos e Frete'!$I$3,IF(L275="CN",'Impostos e Frete'!$I$4,IF(L275="JP",'Impostos e Frete'!$I$5,IF(L275="RU",'Impostos e Frete'!$I$7,"ERRO")))))</f>
        <v>1.1330439999999999</v>
      </c>
      <c r="CA275" s="210">
        <f>VLOOKUP(L275,'Impostos e Frete'!$A$3:$B$7,2,0)*'Preços e Condições'!BY275</f>
        <v>1.2600000000000002</v>
      </c>
      <c r="CB275" s="147">
        <f t="shared" si="54"/>
        <v>0</v>
      </c>
      <c r="CC275" s="147">
        <f>IF(X275="BRL",'Impostos e Frete'!$B$11,'Impostos e Frete'!$B$12)</f>
        <v>9.1999999999999998E-2</v>
      </c>
      <c r="CD275" s="211">
        <f t="shared" ca="1" si="55"/>
        <v>11.485044</v>
      </c>
      <c r="CE275" s="212">
        <f t="shared" ca="1" si="56"/>
        <v>0.91880351999999998</v>
      </c>
      <c r="CF275" s="213">
        <f>VLOOKUP(L275,'Impostos e Frete'!$A$3:$C$7,3,0)</f>
        <v>120</v>
      </c>
      <c r="CG275" s="213">
        <f t="shared" si="57"/>
        <v>90</v>
      </c>
      <c r="CH275" s="213">
        <f t="shared" si="58"/>
        <v>-30</v>
      </c>
      <c r="CI275" s="214">
        <f t="shared" ca="1" si="59"/>
        <v>0.17227565999999861</v>
      </c>
      <c r="CJ275" s="215">
        <f t="shared" ca="1" si="60"/>
        <v>11.657319659999999</v>
      </c>
      <c r="CK275" s="216">
        <f t="shared" ca="1" si="61"/>
        <v>0.93258557279999987</v>
      </c>
    </row>
    <row r="276" spans="1:89">
      <c r="A276" s="176">
        <v>18506</v>
      </c>
      <c r="B276" s="177">
        <v>104</v>
      </c>
      <c r="C276" s="178">
        <v>70</v>
      </c>
      <c r="D276" s="178">
        <v>1870</v>
      </c>
      <c r="E276" s="178" t="s">
        <v>50</v>
      </c>
      <c r="F276" s="179" t="s">
        <v>240</v>
      </c>
      <c r="G276" s="180" t="s">
        <v>370</v>
      </c>
      <c r="H276" s="178" t="s">
        <v>43</v>
      </c>
      <c r="I276" s="178" t="s">
        <v>241</v>
      </c>
      <c r="J276" s="178"/>
      <c r="K276" s="178"/>
      <c r="L276" s="178" t="s">
        <v>60</v>
      </c>
      <c r="M276" s="178">
        <v>90</v>
      </c>
      <c r="N276" s="178">
        <v>3300</v>
      </c>
      <c r="O276" s="178"/>
      <c r="P276" s="178"/>
      <c r="Q276" s="178"/>
      <c r="R276" s="178" t="s">
        <v>19</v>
      </c>
      <c r="S276" s="181"/>
      <c r="T276" s="181"/>
      <c r="U276" s="182"/>
      <c r="V276" s="182" t="s">
        <v>35</v>
      </c>
      <c r="W276" s="183"/>
      <c r="X276" s="182" t="s">
        <v>267</v>
      </c>
      <c r="Y276" s="184"/>
      <c r="Z276" s="184"/>
      <c r="AA276" s="184"/>
      <c r="AB276" s="184"/>
      <c r="AC276" s="184"/>
      <c r="AD276" s="184"/>
      <c r="AE276" s="184"/>
      <c r="AF276" s="184"/>
      <c r="AG276" s="184"/>
      <c r="AH276" s="184"/>
      <c r="AI276" s="184"/>
      <c r="AJ276" s="184"/>
      <c r="AK276" s="184"/>
      <c r="AL276" s="184"/>
      <c r="AM276" s="184"/>
      <c r="AN276" s="184"/>
      <c r="AO276" s="184"/>
      <c r="AP276" s="184"/>
      <c r="AQ276" s="184"/>
      <c r="AR276" s="184"/>
      <c r="AS276" s="184"/>
      <c r="AT276" s="184"/>
      <c r="AU276" s="184"/>
      <c r="AV276" s="184"/>
      <c r="AW276" s="184"/>
      <c r="AX276" s="184"/>
      <c r="AY276" s="184"/>
      <c r="AZ276" s="184"/>
      <c r="BA276" s="184"/>
      <c r="BB276" s="184">
        <v>12500</v>
      </c>
      <c r="BC276" s="184">
        <v>12500</v>
      </c>
      <c r="BD276" s="184">
        <v>12500</v>
      </c>
      <c r="BE276" s="184">
        <v>12500</v>
      </c>
      <c r="BF276" s="184">
        <v>12500</v>
      </c>
      <c r="BG276" s="184">
        <v>12000</v>
      </c>
      <c r="BH276" s="184">
        <v>12000</v>
      </c>
      <c r="BI276" s="184">
        <v>12000</v>
      </c>
      <c r="BJ276" s="184"/>
      <c r="BK276" s="184"/>
      <c r="BL276" s="184"/>
      <c r="BM276" s="184"/>
      <c r="BN276" s="184"/>
      <c r="BO276" s="184"/>
      <c r="BP276" s="184"/>
      <c r="BQ276" s="184"/>
      <c r="BR276" s="184"/>
      <c r="BS276" s="184"/>
      <c r="BT276" s="184"/>
      <c r="BU276" s="146" cm="1">
        <f t="array" ref="BU276">LOOKUP(2,1/(Y276:BT276&lt;&gt;""),Y276:BH276)</f>
        <v>12000</v>
      </c>
      <c r="BV276" s="145" cm="1">
        <f t="array" aca="1" ref="BV276" ca="1">_xlfn.LET(
    _xlpm.last_col_idx, LOOKUP(2, 1/(Y276:BT276&lt;&gt;""), COLUMN(Y276:BT276) - COLUMN(Y276) + 1),
    _xlpm.header_val, INDEX($Y$3:$BT$3, 1, _xlpm.last_col_idx),
    _xlpm.header_date, IF(ISNUMBER(_xlpm.header_val), _xlpm.header_val, DATEVALUE(_xlpm.header_val)),
    IF(_xlpm.header_date &gt; TODAY(), TODAY(), _xlpm.header_date)
)</f>
        <v>46023</v>
      </c>
      <c r="BW276" s="209" cm="1">
        <f t="array" ref="BW276">(LOOKUP(2,1/(BH276:BT276&lt;&gt;""),BH276:BT276))/(INDEX(BH276:BT276,MATCH(TRUE,INDEX((BH276:BT276&lt;&gt;0),0),0)))-1</f>
        <v>0</v>
      </c>
      <c r="BX276" s="210">
        <f t="shared" si="52"/>
        <v>12</v>
      </c>
      <c r="BY276" s="210">
        <f t="shared" si="53"/>
        <v>9</v>
      </c>
      <c r="BZ276" s="210">
        <f ca="1">IF(L276="BR",'Impostos e Frete'!$F$6,IF(L276="EU",'Impostos e Frete'!$I$3,IF(L276="CN",'Impostos e Frete'!$I$4,IF(L276="JP",'Impostos e Frete'!$I$5,IF(L276="RU",'Impostos e Frete'!$I$7,"ERRO")))))</f>
        <v>1.1330439999999999</v>
      </c>
      <c r="CA276" s="210">
        <f>VLOOKUP(L276,'Impostos e Frete'!$A$3:$B$7,2,0)*'Preços e Condições'!BY276</f>
        <v>1.2600000000000002</v>
      </c>
      <c r="CB276" s="147">
        <f t="shared" si="54"/>
        <v>0</v>
      </c>
      <c r="CC276" s="147">
        <f>IF(X276="BRL",'Impostos e Frete'!$B$11,'Impostos e Frete'!$B$12)</f>
        <v>9.1999999999999998E-2</v>
      </c>
      <c r="CD276" s="211">
        <f t="shared" ca="1" si="55"/>
        <v>11.485044</v>
      </c>
      <c r="CE276" s="212">
        <f t="shared" ca="1" si="56"/>
        <v>0.80395307999999999</v>
      </c>
      <c r="CF276" s="213">
        <f>VLOOKUP(L276,'Impostos e Frete'!$A$3:$C$7,3,0)</f>
        <v>120</v>
      </c>
      <c r="CG276" s="213">
        <f t="shared" si="57"/>
        <v>90</v>
      </c>
      <c r="CH276" s="213">
        <f t="shared" si="58"/>
        <v>-30</v>
      </c>
      <c r="CI276" s="214">
        <f t="shared" ca="1" si="59"/>
        <v>0.17227565999999861</v>
      </c>
      <c r="CJ276" s="215">
        <f t="shared" ca="1" si="60"/>
        <v>11.657319659999999</v>
      </c>
      <c r="CK276" s="216">
        <f t="shared" ca="1" si="61"/>
        <v>0.81601237619999989</v>
      </c>
    </row>
    <row r="277" spans="1:89">
      <c r="A277" s="176">
        <v>18507</v>
      </c>
      <c r="B277" s="186">
        <v>128</v>
      </c>
      <c r="C277" s="178">
        <v>65</v>
      </c>
      <c r="D277" s="178">
        <v>1870</v>
      </c>
      <c r="E277" s="178" t="s">
        <v>50</v>
      </c>
      <c r="F277" s="179" t="s">
        <v>240</v>
      </c>
      <c r="G277" s="180" t="s">
        <v>304</v>
      </c>
      <c r="H277" s="178" t="s">
        <v>43</v>
      </c>
      <c r="I277" s="178" t="s">
        <v>241</v>
      </c>
      <c r="J277" s="178"/>
      <c r="K277" s="178"/>
      <c r="L277" s="178" t="s">
        <v>60</v>
      </c>
      <c r="M277" s="178">
        <v>90</v>
      </c>
      <c r="N277" s="178">
        <v>3300</v>
      </c>
      <c r="O277" s="178"/>
      <c r="P277" s="178"/>
      <c r="Q277" s="178"/>
      <c r="R277" s="178" t="s">
        <v>19</v>
      </c>
      <c r="S277" s="181"/>
      <c r="T277" s="181"/>
      <c r="U277" s="182"/>
      <c r="V277" s="182" t="s">
        <v>35</v>
      </c>
      <c r="W277" s="183"/>
      <c r="X277" s="182" t="s">
        <v>267</v>
      </c>
      <c r="Y277" s="184"/>
      <c r="Z277" s="184"/>
      <c r="AA277" s="184"/>
      <c r="AB277" s="184"/>
      <c r="AC277" s="184"/>
      <c r="AD277" s="184"/>
      <c r="AE277" s="184"/>
      <c r="AF277" s="184"/>
      <c r="AG277" s="184"/>
      <c r="AH277" s="184"/>
      <c r="AI277" s="184"/>
      <c r="AJ277" s="184"/>
      <c r="AK277" s="184"/>
      <c r="AL277" s="184"/>
      <c r="AM277" s="184"/>
      <c r="AN277" s="184"/>
      <c r="AO277" s="184"/>
      <c r="AP277" s="184"/>
      <c r="AQ277" s="184"/>
      <c r="AR277" s="184"/>
      <c r="AS277" s="184"/>
      <c r="AT277" s="184"/>
      <c r="AU277" s="184"/>
      <c r="AV277" s="184"/>
      <c r="AW277" s="184"/>
      <c r="AX277" s="184"/>
      <c r="AY277" s="184"/>
      <c r="AZ277" s="184"/>
      <c r="BA277" s="184"/>
      <c r="BB277" s="184">
        <v>12000</v>
      </c>
      <c r="BC277" s="184">
        <v>12000</v>
      </c>
      <c r="BD277" s="184">
        <v>12000</v>
      </c>
      <c r="BE277" s="184">
        <v>12000</v>
      </c>
      <c r="BF277" s="184">
        <v>12000</v>
      </c>
      <c r="BG277" s="184">
        <v>11500</v>
      </c>
      <c r="BH277" s="184">
        <v>11500</v>
      </c>
      <c r="BI277" s="184">
        <v>11500</v>
      </c>
      <c r="BJ277" s="184"/>
      <c r="BK277" s="184"/>
      <c r="BL277" s="184"/>
      <c r="BM277" s="184"/>
      <c r="BN277" s="184"/>
      <c r="BO277" s="184"/>
      <c r="BP277" s="184"/>
      <c r="BQ277" s="184"/>
      <c r="BR277" s="184"/>
      <c r="BS277" s="184"/>
      <c r="BT277" s="184"/>
      <c r="BU277" s="146" cm="1">
        <f t="array" ref="BU277">LOOKUP(2,1/(Y277:BT277&lt;&gt;""),Y277:BH277)</f>
        <v>11500</v>
      </c>
      <c r="BV277" s="145" cm="1">
        <f t="array" aca="1" ref="BV277" ca="1">_xlfn.LET(
    _xlpm.last_col_idx, LOOKUP(2, 1/(Y277:BT277&lt;&gt;""), COLUMN(Y277:BT277) - COLUMN(Y277) + 1),
    _xlpm.header_val, INDEX($Y$3:$BT$3, 1, _xlpm.last_col_idx),
    _xlpm.header_date, IF(ISNUMBER(_xlpm.header_val), _xlpm.header_val, DATEVALUE(_xlpm.header_val)),
    IF(_xlpm.header_date &gt; TODAY(), TODAY(), _xlpm.header_date)
)</f>
        <v>46023</v>
      </c>
      <c r="BW277" s="209" cm="1">
        <f t="array" ref="BW277">(LOOKUP(2,1/(BH277:BT277&lt;&gt;""),BH277:BT277))/(INDEX(BH277:BT277,MATCH(TRUE,INDEX((BH277:BT277&lt;&gt;0),0),0)))-1</f>
        <v>0</v>
      </c>
      <c r="BX277" s="210">
        <f t="shared" si="52"/>
        <v>11.5</v>
      </c>
      <c r="BY277" s="210">
        <f t="shared" si="53"/>
        <v>8.625</v>
      </c>
      <c r="BZ277" s="210">
        <f ca="1">IF(L277="BR",'Impostos e Frete'!$F$6,IF(L277="EU",'Impostos e Frete'!$I$3,IF(L277="CN",'Impostos e Frete'!$I$4,IF(L277="JP",'Impostos e Frete'!$I$5,IF(L277="RU",'Impostos e Frete'!$I$7,"ERRO")))))</f>
        <v>1.1330439999999999</v>
      </c>
      <c r="CA277" s="210">
        <f>VLOOKUP(L277,'Impostos e Frete'!$A$3:$B$7,2,0)*'Preços e Condições'!BY277</f>
        <v>1.2075</v>
      </c>
      <c r="CB277" s="147">
        <f t="shared" si="54"/>
        <v>0</v>
      </c>
      <c r="CC277" s="147">
        <f>IF(X277="BRL",'Impostos e Frete'!$B$11,'Impostos e Frete'!$B$12)</f>
        <v>9.1999999999999998E-2</v>
      </c>
      <c r="CD277" s="211">
        <f t="shared" ca="1" si="55"/>
        <v>11.057544</v>
      </c>
      <c r="CE277" s="212">
        <f t="shared" ca="1" si="56"/>
        <v>0.71874036000000008</v>
      </c>
      <c r="CF277" s="213">
        <f>VLOOKUP(L277,'Impostos e Frete'!$A$3:$C$7,3,0)</f>
        <v>120</v>
      </c>
      <c r="CG277" s="213">
        <f t="shared" si="57"/>
        <v>90</v>
      </c>
      <c r="CH277" s="213">
        <f t="shared" si="58"/>
        <v>-30</v>
      </c>
      <c r="CI277" s="214">
        <f t="shared" ca="1" si="59"/>
        <v>0.1658631599999989</v>
      </c>
      <c r="CJ277" s="215">
        <f t="shared" ca="1" si="60"/>
        <v>11.223407159999999</v>
      </c>
      <c r="CK277" s="216">
        <f t="shared" ca="1" si="61"/>
        <v>0.72952146539999996</v>
      </c>
    </row>
    <row r="278" spans="1:89">
      <c r="A278" s="176">
        <v>18508</v>
      </c>
      <c r="B278" s="177">
        <v>9370</v>
      </c>
      <c r="C278" s="178">
        <v>65</v>
      </c>
      <c r="D278" s="178">
        <v>1880</v>
      </c>
      <c r="E278" s="178" t="s">
        <v>209</v>
      </c>
      <c r="F278" s="179" t="s">
        <v>240</v>
      </c>
      <c r="G278" s="180" t="s">
        <v>305</v>
      </c>
      <c r="H278" s="178" t="s">
        <v>43</v>
      </c>
      <c r="I278" s="178" t="s">
        <v>241</v>
      </c>
      <c r="J278" s="178"/>
      <c r="K278" s="178"/>
      <c r="L278" s="178" t="s">
        <v>60</v>
      </c>
      <c r="M278" s="178">
        <v>90</v>
      </c>
      <c r="N278" s="178">
        <v>3300</v>
      </c>
      <c r="O278" s="178"/>
      <c r="P278" s="178"/>
      <c r="Q278" s="178"/>
      <c r="R278" s="178" t="s">
        <v>19</v>
      </c>
      <c r="S278" s="181"/>
      <c r="T278" s="181"/>
      <c r="U278" s="182"/>
      <c r="V278" s="182" t="s">
        <v>35</v>
      </c>
      <c r="W278" s="183">
        <v>100</v>
      </c>
      <c r="X278" s="182" t="s">
        <v>267</v>
      </c>
      <c r="Y278" s="184"/>
      <c r="Z278" s="184"/>
      <c r="AA278" s="184"/>
      <c r="AB278" s="184"/>
      <c r="AC278" s="184"/>
      <c r="AD278" s="184"/>
      <c r="AE278" s="184"/>
      <c r="AF278" s="184"/>
      <c r="AG278" s="184"/>
      <c r="AH278" s="184"/>
      <c r="AI278" s="184"/>
      <c r="AJ278" s="184"/>
      <c r="AK278" s="184"/>
      <c r="AL278" s="184"/>
      <c r="AM278" s="184"/>
      <c r="AN278" s="184"/>
      <c r="AO278" s="184"/>
      <c r="AP278" s="184"/>
      <c r="AQ278" s="184"/>
      <c r="AR278" s="184"/>
      <c r="AS278" s="184"/>
      <c r="AT278" s="184"/>
      <c r="AU278" s="184"/>
      <c r="AV278" s="184"/>
      <c r="AW278" s="184"/>
      <c r="AX278" s="184"/>
      <c r="AY278" s="184"/>
      <c r="AZ278" s="184"/>
      <c r="BA278" s="184"/>
      <c r="BB278" s="184">
        <v>19500</v>
      </c>
      <c r="BC278" s="184">
        <v>19500</v>
      </c>
      <c r="BD278" s="184">
        <v>19500</v>
      </c>
      <c r="BE278" s="184">
        <v>19500</v>
      </c>
      <c r="BF278" s="184">
        <v>19500</v>
      </c>
      <c r="BG278" s="184">
        <v>19500</v>
      </c>
      <c r="BH278" s="184">
        <v>19500</v>
      </c>
      <c r="BI278" s="184">
        <v>19500</v>
      </c>
      <c r="BJ278" s="184"/>
      <c r="BK278" s="184"/>
      <c r="BL278" s="184"/>
      <c r="BM278" s="184"/>
      <c r="BN278" s="184"/>
      <c r="BO278" s="184"/>
      <c r="BP278" s="184"/>
      <c r="BQ278" s="184"/>
      <c r="BR278" s="184"/>
      <c r="BS278" s="184"/>
      <c r="BT278" s="184"/>
      <c r="BU278" s="146" cm="1">
        <f t="array" ref="BU278">LOOKUP(2,1/(Y278:BT278&lt;&gt;""),Y278:BH278)</f>
        <v>19500</v>
      </c>
      <c r="BV278" s="145" cm="1">
        <f t="array" aca="1" ref="BV278" ca="1">_xlfn.LET(
    _xlpm.last_col_idx, LOOKUP(2, 1/(Y278:BT278&lt;&gt;""), COLUMN(Y278:BT278) - COLUMN(Y278) + 1),
    _xlpm.header_val, INDEX($Y$3:$BT$3, 1, _xlpm.last_col_idx),
    _xlpm.header_date, IF(ISNUMBER(_xlpm.header_val), _xlpm.header_val, DATEVALUE(_xlpm.header_val)),
    IF(_xlpm.header_date &gt; TODAY(), TODAY(), _xlpm.header_date)
)</f>
        <v>46023</v>
      </c>
      <c r="BW278" s="209" cm="1">
        <f t="array" ref="BW278">(LOOKUP(2,1/(BH278:BT278&lt;&gt;""),BH278:BT278))/(INDEX(BH278:BT278,MATCH(TRUE,INDEX((BH278:BT278&lt;&gt;0),0),0)))-1</f>
        <v>0</v>
      </c>
      <c r="BX278" s="210">
        <f t="shared" si="52"/>
        <v>19.5</v>
      </c>
      <c r="BY278" s="210">
        <f t="shared" si="53"/>
        <v>14.625</v>
      </c>
      <c r="BZ278" s="210">
        <f ca="1">IF(L278="BR",'Impostos e Frete'!$F$6,IF(L278="EU",'Impostos e Frete'!$I$3,IF(L278="CN",'Impostos e Frete'!$I$4,IF(L278="JP",'Impostos e Frete'!$I$5,IF(L278="RU",'Impostos e Frete'!$I$7,"ERRO")))))</f>
        <v>1.1330439999999999</v>
      </c>
      <c r="CA278" s="210">
        <f>VLOOKUP(L278,'Impostos e Frete'!$A$3:$B$7,2,0)*'Preços e Condições'!BY278</f>
        <v>2.0475000000000003</v>
      </c>
      <c r="CB278" s="147">
        <f t="shared" si="54"/>
        <v>0</v>
      </c>
      <c r="CC278" s="147">
        <f>IF(X278="BRL",'Impostos e Frete'!$B$11,'Impostos e Frete'!$B$12)</f>
        <v>9.1999999999999998E-2</v>
      </c>
      <c r="CD278" s="211">
        <f t="shared" ca="1" si="55"/>
        <v>17.897544</v>
      </c>
      <c r="CE278" s="212">
        <f t="shared" ca="1" si="56"/>
        <v>1.1633403600000001</v>
      </c>
      <c r="CF278" s="213">
        <f>VLOOKUP(L278,'Impostos e Frete'!$A$3:$C$7,3,0)</f>
        <v>120</v>
      </c>
      <c r="CG278" s="213">
        <f t="shared" si="57"/>
        <v>90</v>
      </c>
      <c r="CH278" s="213">
        <f t="shared" si="58"/>
        <v>-30</v>
      </c>
      <c r="CI278" s="214">
        <f t="shared" ca="1" si="59"/>
        <v>0.26846315999999959</v>
      </c>
      <c r="CJ278" s="215">
        <f t="shared" ca="1" si="60"/>
        <v>18.166007159999999</v>
      </c>
      <c r="CK278" s="216">
        <f t="shared" ca="1" si="61"/>
        <v>1.1807904654000001</v>
      </c>
    </row>
    <row r="279" spans="1:89">
      <c r="A279" s="176">
        <v>18509</v>
      </c>
      <c r="B279" s="186">
        <v>9370</v>
      </c>
      <c r="C279" s="178">
        <v>70</v>
      </c>
      <c r="D279" s="178">
        <v>1880</v>
      </c>
      <c r="E279" s="178" t="s">
        <v>209</v>
      </c>
      <c r="F279" s="179" t="s">
        <v>240</v>
      </c>
      <c r="G279" s="189" t="s">
        <v>305</v>
      </c>
      <c r="H279" s="178" t="s">
        <v>43</v>
      </c>
      <c r="I279" s="178" t="s">
        <v>241</v>
      </c>
      <c r="J279" s="178"/>
      <c r="K279" s="178"/>
      <c r="L279" s="178" t="s">
        <v>60</v>
      </c>
      <c r="M279" s="178">
        <v>90</v>
      </c>
      <c r="N279" s="178">
        <v>3300</v>
      </c>
      <c r="O279" s="178"/>
      <c r="P279" s="178"/>
      <c r="Q279" s="178"/>
      <c r="R279" s="178" t="s">
        <v>19</v>
      </c>
      <c r="S279" s="181"/>
      <c r="T279" s="181"/>
      <c r="U279" s="182"/>
      <c r="V279" s="182" t="s">
        <v>35</v>
      </c>
      <c r="W279" s="183">
        <v>100</v>
      </c>
      <c r="X279" s="182" t="s">
        <v>267</v>
      </c>
      <c r="Y279" s="184"/>
      <c r="Z279" s="184"/>
      <c r="AA279" s="184"/>
      <c r="AB279" s="184"/>
      <c r="AC279" s="184"/>
      <c r="AD279" s="184"/>
      <c r="AE279" s="184"/>
      <c r="AF279" s="184"/>
      <c r="AG279" s="184"/>
      <c r="AH279" s="184"/>
      <c r="AI279" s="184"/>
      <c r="AJ279" s="184"/>
      <c r="AK279" s="184"/>
      <c r="AL279" s="184"/>
      <c r="AM279" s="184"/>
      <c r="AN279" s="184"/>
      <c r="AO279" s="184"/>
      <c r="AP279" s="184"/>
      <c r="AQ279" s="184"/>
      <c r="AR279" s="184"/>
      <c r="AS279" s="184"/>
      <c r="AT279" s="184"/>
      <c r="AU279" s="184"/>
      <c r="AV279" s="184"/>
      <c r="AW279" s="184"/>
      <c r="AX279" s="184"/>
      <c r="AY279" s="184"/>
      <c r="AZ279" s="184"/>
      <c r="BA279" s="184"/>
      <c r="BB279" s="184">
        <v>19500</v>
      </c>
      <c r="BC279" s="184">
        <v>19500</v>
      </c>
      <c r="BD279" s="184">
        <v>19500</v>
      </c>
      <c r="BE279" s="184">
        <v>19500</v>
      </c>
      <c r="BF279" s="184">
        <v>19500</v>
      </c>
      <c r="BG279" s="184">
        <v>19500</v>
      </c>
      <c r="BH279" s="184">
        <v>19500</v>
      </c>
      <c r="BI279" s="184">
        <v>19500</v>
      </c>
      <c r="BJ279" s="184"/>
      <c r="BK279" s="184"/>
      <c r="BL279" s="184"/>
      <c r="BM279" s="184"/>
      <c r="BN279" s="184"/>
      <c r="BO279" s="184"/>
      <c r="BP279" s="184"/>
      <c r="BQ279" s="184"/>
      <c r="BR279" s="184"/>
      <c r="BS279" s="184"/>
      <c r="BT279" s="184"/>
      <c r="BU279" s="146" cm="1">
        <f t="array" ref="BU279">LOOKUP(2,1/(Y279:BT279&lt;&gt;""),Y279:BH279)</f>
        <v>19500</v>
      </c>
      <c r="BV279" s="145" cm="1">
        <f t="array" aca="1" ref="BV279" ca="1">_xlfn.LET(
    _xlpm.last_col_idx, LOOKUP(2, 1/(Y279:BT279&lt;&gt;""), COLUMN(Y279:BT279) - COLUMN(Y279) + 1),
    _xlpm.header_val, INDEX($Y$3:$BT$3, 1, _xlpm.last_col_idx),
    _xlpm.header_date, IF(ISNUMBER(_xlpm.header_val), _xlpm.header_val, DATEVALUE(_xlpm.header_val)),
    IF(_xlpm.header_date &gt; TODAY(), TODAY(), _xlpm.header_date)
)</f>
        <v>46023</v>
      </c>
      <c r="BW279" s="209" cm="1">
        <f t="array" ref="BW279">(LOOKUP(2,1/(BH279:BT279&lt;&gt;""),BH279:BT279))/(INDEX(BH279:BT279,MATCH(TRUE,INDEX((BH279:BT279&lt;&gt;0),0),0)))-1</f>
        <v>0</v>
      </c>
      <c r="BX279" s="210">
        <f t="shared" si="52"/>
        <v>19.5</v>
      </c>
      <c r="BY279" s="210">
        <f t="shared" si="53"/>
        <v>14.625</v>
      </c>
      <c r="BZ279" s="210">
        <f ca="1">IF(L279="BR",'Impostos e Frete'!$F$6,IF(L279="EU",'Impostos e Frete'!$I$3,IF(L279="CN",'Impostos e Frete'!$I$4,IF(L279="JP",'Impostos e Frete'!$I$5,IF(L279="RU",'Impostos e Frete'!$I$7,"ERRO")))))</f>
        <v>1.1330439999999999</v>
      </c>
      <c r="CA279" s="210">
        <f>VLOOKUP(L279,'Impostos e Frete'!$A$3:$B$7,2,0)*'Preços e Condições'!BY279</f>
        <v>2.0475000000000003</v>
      </c>
      <c r="CB279" s="147">
        <f t="shared" si="54"/>
        <v>0</v>
      </c>
      <c r="CC279" s="147">
        <f>IF(X279="BRL",'Impostos e Frete'!$B$11,'Impostos e Frete'!$B$12)</f>
        <v>9.1999999999999998E-2</v>
      </c>
      <c r="CD279" s="211">
        <f t="shared" ca="1" si="55"/>
        <v>17.897544</v>
      </c>
      <c r="CE279" s="212">
        <f t="shared" ca="1" si="56"/>
        <v>1.25282808</v>
      </c>
      <c r="CF279" s="213">
        <f>VLOOKUP(L279,'Impostos e Frete'!$A$3:$C$7,3,0)</f>
        <v>120</v>
      </c>
      <c r="CG279" s="213">
        <f t="shared" si="57"/>
        <v>90</v>
      </c>
      <c r="CH279" s="213">
        <f t="shared" si="58"/>
        <v>-30</v>
      </c>
      <c r="CI279" s="214">
        <f t="shared" ca="1" si="59"/>
        <v>0.26846315999999959</v>
      </c>
      <c r="CJ279" s="215">
        <f t="shared" ca="1" si="60"/>
        <v>18.166007159999999</v>
      </c>
      <c r="CK279" s="216">
        <f t="shared" ca="1" si="61"/>
        <v>1.2716205012000001</v>
      </c>
    </row>
    <row r="280" spans="1:89">
      <c r="A280" s="176">
        <v>18509</v>
      </c>
      <c r="B280" s="177">
        <v>9370</v>
      </c>
      <c r="C280" s="178">
        <v>70</v>
      </c>
      <c r="D280" s="178">
        <v>1900</v>
      </c>
      <c r="E280" s="178" t="s">
        <v>209</v>
      </c>
      <c r="F280" s="179" t="s">
        <v>240</v>
      </c>
      <c r="G280" s="180" t="s">
        <v>305</v>
      </c>
      <c r="H280" s="178" t="s">
        <v>43</v>
      </c>
      <c r="I280" s="178" t="s">
        <v>241</v>
      </c>
      <c r="J280" s="178"/>
      <c r="K280" s="178"/>
      <c r="L280" s="178" t="s">
        <v>60</v>
      </c>
      <c r="M280" s="178">
        <v>75</v>
      </c>
      <c r="N280" s="178">
        <v>400</v>
      </c>
      <c r="O280" s="178"/>
      <c r="P280" s="178"/>
      <c r="Q280" s="178"/>
      <c r="R280" s="178" t="s">
        <v>19</v>
      </c>
      <c r="S280" s="181"/>
      <c r="T280" s="181"/>
      <c r="U280" s="182"/>
      <c r="V280" s="182" t="s">
        <v>35</v>
      </c>
      <c r="W280" s="183">
        <v>26</v>
      </c>
      <c r="X280" s="182" t="s">
        <v>51</v>
      </c>
      <c r="Y280" s="184"/>
      <c r="Z280" s="184"/>
      <c r="AA280" s="184"/>
      <c r="AB280" s="184"/>
      <c r="AC280" s="184"/>
      <c r="AD280" s="184"/>
      <c r="AE280" s="184"/>
      <c r="AF280" s="184"/>
      <c r="AG280" s="184"/>
      <c r="AH280" s="184"/>
      <c r="AI280" s="184"/>
      <c r="AJ280" s="184"/>
      <c r="AK280" s="184"/>
      <c r="AL280" s="184"/>
      <c r="AM280" s="184"/>
      <c r="AN280" s="184"/>
      <c r="AO280" s="184"/>
      <c r="AP280" s="184"/>
      <c r="AQ280" s="184"/>
      <c r="AR280" s="184"/>
      <c r="AS280" s="184"/>
      <c r="AT280" s="184"/>
      <c r="AU280" s="184"/>
      <c r="AV280" s="184"/>
      <c r="AW280" s="184"/>
      <c r="AX280" s="184"/>
      <c r="AY280" s="184"/>
      <c r="AZ280" s="184">
        <v>2500</v>
      </c>
      <c r="BA280" s="184">
        <v>2500</v>
      </c>
      <c r="BB280" s="184">
        <v>2500</v>
      </c>
      <c r="BC280" s="184"/>
      <c r="BD280" s="184"/>
      <c r="BE280" s="184"/>
      <c r="BF280" s="184"/>
      <c r="BG280" s="184">
        <v>19500</v>
      </c>
      <c r="BH280" s="184"/>
      <c r="BI280" s="184"/>
      <c r="BJ280" s="184"/>
      <c r="BK280" s="184"/>
      <c r="BL280" s="184"/>
      <c r="BM280" s="184"/>
      <c r="BN280" s="184"/>
      <c r="BO280" s="184"/>
      <c r="BP280" s="184"/>
      <c r="BQ280" s="184"/>
      <c r="BR280" s="184"/>
      <c r="BS280" s="184"/>
      <c r="BT280" s="184"/>
      <c r="BU280" s="146" cm="1">
        <f t="array" ref="BU280">LOOKUP(2,1/(Y280:BT280&lt;&gt;""),Y280:BH280)</f>
        <v>19500</v>
      </c>
      <c r="BV280" s="145" cm="1">
        <f t="array" aca="1" ref="BV280" ca="1">_xlfn.LET(
    _xlpm.last_col_idx, LOOKUP(2, 1/(Y280:BT280&lt;&gt;""), COLUMN(Y280:BT280) - COLUMN(Y280) + 1),
    _xlpm.header_val, INDEX($Y$3:$BT$3, 1, _xlpm.last_col_idx),
    _xlpm.header_date, IF(ISNUMBER(_xlpm.header_val), _xlpm.header_val, DATEVALUE(_xlpm.header_val)),
    IF(_xlpm.header_date &gt; TODAY(), TODAY(), _xlpm.header_date)
)</f>
        <v>45962</v>
      </c>
      <c r="BW280" s="209" t="e" cm="1">
        <f t="array" ref="BW280">(LOOKUP(2,1/(BH280:BT280&lt;&gt;""),BH280:BT280))/(INDEX(BH280:BT280,MATCH(TRUE,INDEX((BH280:BT280&lt;&gt;0),0),0)))-1</f>
        <v>#N/A</v>
      </c>
      <c r="BX280" s="210">
        <f t="shared" si="52"/>
        <v>19.5</v>
      </c>
      <c r="BY280" s="210">
        <f t="shared" si="53"/>
        <v>115.05000000000001</v>
      </c>
      <c r="BZ280" s="210">
        <f ca="1">IF(L280="BR",'Impostos e Frete'!$F$6,IF(L280="EU",'Impostos e Frete'!$I$3,IF(L280="CN",'Impostos e Frete'!$I$4,IF(L280="JP",'Impostos e Frete'!$I$5,IF(L280="RU",'Impostos e Frete'!$I$7,"ERRO")))))</f>
        <v>1.1330439999999999</v>
      </c>
      <c r="CA280" s="210">
        <f>VLOOKUP(L280,'Impostos e Frete'!$A$3:$B$7,2,0)*'Preços e Condições'!BY280</f>
        <v>16.107000000000003</v>
      </c>
      <c r="CB280" s="147">
        <f t="shared" si="54"/>
        <v>0</v>
      </c>
      <c r="CC280" s="147">
        <f>IF(X280="BRL",'Impostos e Frete'!$B$11,'Impostos e Frete'!$B$12)</f>
        <v>9.1999999999999998E-2</v>
      </c>
      <c r="CD280" s="211">
        <f t="shared" ca="1" si="55"/>
        <v>132.38204400000004</v>
      </c>
      <c r="CE280" s="212">
        <f t="shared" ca="1" si="56"/>
        <v>9.266743080000003</v>
      </c>
      <c r="CF280" s="213">
        <f>VLOOKUP(L280,'Impostos e Frete'!$A$3:$C$7,3,0)</f>
        <v>120</v>
      </c>
      <c r="CG280" s="213">
        <f t="shared" si="57"/>
        <v>75</v>
      </c>
      <c r="CH280" s="213">
        <f t="shared" si="58"/>
        <v>-45</v>
      </c>
      <c r="CI280" s="214">
        <f t="shared" ca="1" si="59"/>
        <v>2.9897379565316271</v>
      </c>
      <c r="CJ280" s="215">
        <f t="shared" ca="1" si="60"/>
        <v>135.37178195653166</v>
      </c>
      <c r="CK280" s="216">
        <f t="shared" ca="1" si="61"/>
        <v>9.4760247369572159</v>
      </c>
    </row>
    <row r="281" spans="1:89">
      <c r="A281" s="176">
        <v>18510</v>
      </c>
      <c r="B281" s="177" t="s">
        <v>123</v>
      </c>
      <c r="C281" s="178">
        <v>60</v>
      </c>
      <c r="D281" s="178">
        <v>2080</v>
      </c>
      <c r="E281" s="178" t="s">
        <v>49</v>
      </c>
      <c r="F281" s="179" t="s">
        <v>240</v>
      </c>
      <c r="G281" s="185" t="s">
        <v>310</v>
      </c>
      <c r="H281" s="178" t="s">
        <v>61</v>
      </c>
      <c r="I281" s="178" t="s">
        <v>311</v>
      </c>
      <c r="J281" s="178"/>
      <c r="K281" s="178"/>
      <c r="L281" s="178" t="s">
        <v>60</v>
      </c>
      <c r="M281" s="178">
        <v>90</v>
      </c>
      <c r="N281" s="178">
        <v>3300</v>
      </c>
      <c r="O281" s="178"/>
      <c r="P281" s="178"/>
      <c r="Q281" s="178"/>
      <c r="R281" s="178" t="s">
        <v>19</v>
      </c>
      <c r="S281" s="181"/>
      <c r="T281" s="181"/>
      <c r="U281" s="182"/>
      <c r="V281" s="182" t="s">
        <v>35</v>
      </c>
      <c r="W281" s="183"/>
      <c r="X281" s="182" t="s">
        <v>267</v>
      </c>
      <c r="Y281" s="184"/>
      <c r="Z281" s="184"/>
      <c r="AA281" s="184"/>
      <c r="AB281" s="184"/>
      <c r="AC281" s="184"/>
      <c r="AD281" s="184"/>
      <c r="AE281" s="184"/>
      <c r="AF281" s="184"/>
      <c r="AG281" s="184"/>
      <c r="AH281" s="184"/>
      <c r="AI281" s="184"/>
      <c r="AJ281" s="184"/>
      <c r="AK281" s="184"/>
      <c r="AL281" s="184"/>
      <c r="AM281" s="184"/>
      <c r="AN281" s="184"/>
      <c r="AO281" s="184"/>
      <c r="AP281" s="184"/>
      <c r="AQ281" s="184"/>
      <c r="AR281" s="184"/>
      <c r="AS281" s="184"/>
      <c r="AT281" s="184"/>
      <c r="AU281" s="184"/>
      <c r="AV281" s="184"/>
      <c r="AW281" s="184"/>
      <c r="AX281" s="184"/>
      <c r="AY281" s="184"/>
      <c r="AZ281" s="184"/>
      <c r="BA281" s="184"/>
      <c r="BB281" s="184">
        <v>9000</v>
      </c>
      <c r="BC281" s="184">
        <v>9000</v>
      </c>
      <c r="BD281" s="184">
        <v>9000</v>
      </c>
      <c r="BE281" s="184">
        <v>9000</v>
      </c>
      <c r="BF281" s="184">
        <v>9000</v>
      </c>
      <c r="BG281" s="184">
        <v>9000</v>
      </c>
      <c r="BH281" s="184">
        <v>9000</v>
      </c>
      <c r="BI281" s="184">
        <v>9000</v>
      </c>
      <c r="BJ281" s="184"/>
      <c r="BK281" s="184"/>
      <c r="BL281" s="184"/>
      <c r="BM281" s="184"/>
      <c r="BN281" s="184"/>
      <c r="BO281" s="184"/>
      <c r="BP281" s="184"/>
      <c r="BQ281" s="184"/>
      <c r="BR281" s="184"/>
      <c r="BS281" s="184"/>
      <c r="BT281" s="184"/>
      <c r="BU281" s="146" cm="1">
        <f t="array" ref="BU281">LOOKUP(2,1/(Y281:BT281&lt;&gt;""),Y281:BH281)</f>
        <v>9000</v>
      </c>
      <c r="BV281" s="145" cm="1">
        <f t="array" aca="1" ref="BV281" ca="1">_xlfn.LET(
    _xlpm.last_col_idx, LOOKUP(2, 1/(Y281:BT281&lt;&gt;""), COLUMN(Y281:BT281) - COLUMN(Y281) + 1),
    _xlpm.header_val, INDEX($Y$3:$BT$3, 1, _xlpm.last_col_idx),
    _xlpm.header_date, IF(ISNUMBER(_xlpm.header_val), _xlpm.header_val, DATEVALUE(_xlpm.header_val)),
    IF(_xlpm.header_date &gt; TODAY(), TODAY(), _xlpm.header_date)
)</f>
        <v>46023</v>
      </c>
      <c r="BW281" s="209" cm="1">
        <f t="array" ref="BW281">(LOOKUP(2,1/(BH281:BT281&lt;&gt;""),BH281:BT281))/(INDEX(BH281:BT281,MATCH(TRUE,INDEX((BH281:BT281&lt;&gt;0),0),0)))-1</f>
        <v>0</v>
      </c>
      <c r="BX281" s="210">
        <f t="shared" si="52"/>
        <v>9</v>
      </c>
      <c r="BY281" s="210">
        <f t="shared" si="53"/>
        <v>6.75</v>
      </c>
      <c r="BZ281" s="210">
        <f ca="1">IF(L281="BR",'Impostos e Frete'!$F$6,IF(L281="EU",'Impostos e Frete'!$I$3,IF(L281="CN",'Impostos e Frete'!$I$4,IF(L281="JP",'Impostos e Frete'!$I$5,IF(L281="RU",'Impostos e Frete'!$I$7,"ERRO")))))</f>
        <v>1.1330439999999999</v>
      </c>
      <c r="CA281" s="210">
        <f>VLOOKUP(L281,'Impostos e Frete'!$A$3:$B$7,2,0)*'Preços e Condições'!BY281</f>
        <v>0.94500000000000006</v>
      </c>
      <c r="CB281" s="147">
        <f t="shared" si="54"/>
        <v>0</v>
      </c>
      <c r="CC281" s="147">
        <f>IF(X281="BRL",'Impostos e Frete'!$B$11,'Impostos e Frete'!$B$12)</f>
        <v>9.1999999999999998E-2</v>
      </c>
      <c r="CD281" s="211">
        <f t="shared" ca="1" si="55"/>
        <v>8.9200440000000008</v>
      </c>
      <c r="CE281" s="212">
        <f t="shared" ca="1" si="56"/>
        <v>0.53520264000000006</v>
      </c>
      <c r="CF281" s="213">
        <f>VLOOKUP(L281,'Impostos e Frete'!$A$3:$C$7,3,0)</f>
        <v>120</v>
      </c>
      <c r="CG281" s="213">
        <f t="shared" si="57"/>
        <v>90</v>
      </c>
      <c r="CH281" s="213">
        <f t="shared" si="58"/>
        <v>-30</v>
      </c>
      <c r="CI281" s="214">
        <f t="shared" ca="1" si="59"/>
        <v>0.13380065999999857</v>
      </c>
      <c r="CJ281" s="215">
        <f t="shared" ca="1" si="60"/>
        <v>9.0538446599999993</v>
      </c>
      <c r="CK281" s="216">
        <f t="shared" ca="1" si="61"/>
        <v>0.54323067959999993</v>
      </c>
    </row>
    <row r="282" spans="1:89">
      <c r="A282" s="176">
        <v>18511</v>
      </c>
      <c r="B282" s="177" t="s">
        <v>123</v>
      </c>
      <c r="C282" s="178">
        <v>50</v>
      </c>
      <c r="D282" s="178">
        <v>2080</v>
      </c>
      <c r="E282" s="178" t="s">
        <v>49</v>
      </c>
      <c r="F282" s="179" t="s">
        <v>240</v>
      </c>
      <c r="G282" s="185" t="s">
        <v>328</v>
      </c>
      <c r="H282" s="178" t="s">
        <v>61</v>
      </c>
      <c r="I282" s="178" t="s">
        <v>311</v>
      </c>
      <c r="J282" s="178"/>
      <c r="K282" s="178"/>
      <c r="L282" s="178" t="s">
        <v>60</v>
      </c>
      <c r="M282" s="178">
        <v>90</v>
      </c>
      <c r="N282" s="178">
        <v>3300</v>
      </c>
      <c r="O282" s="178"/>
      <c r="P282" s="178"/>
      <c r="Q282" s="178"/>
      <c r="R282" s="178" t="s">
        <v>19</v>
      </c>
      <c r="S282" s="181"/>
      <c r="T282" s="181"/>
      <c r="U282" s="182"/>
      <c r="V282" s="182" t="s">
        <v>35</v>
      </c>
      <c r="W282" s="183"/>
      <c r="X282" s="182" t="s">
        <v>267</v>
      </c>
      <c r="Y282" s="184"/>
      <c r="Z282" s="184"/>
      <c r="AA282" s="184"/>
      <c r="AB282" s="184"/>
      <c r="AC282" s="184"/>
      <c r="AD282" s="184"/>
      <c r="AE282" s="184"/>
      <c r="AF282" s="184"/>
      <c r="AG282" s="184"/>
      <c r="AH282" s="184"/>
      <c r="AI282" s="184"/>
      <c r="AJ282" s="184"/>
      <c r="AK282" s="184"/>
      <c r="AL282" s="184"/>
      <c r="AM282" s="184"/>
      <c r="AN282" s="184"/>
      <c r="AO282" s="184"/>
      <c r="AP282" s="184"/>
      <c r="AQ282" s="184"/>
      <c r="AR282" s="184"/>
      <c r="AS282" s="184"/>
      <c r="AT282" s="184"/>
      <c r="AU282" s="184"/>
      <c r="AV282" s="184"/>
      <c r="AW282" s="184"/>
      <c r="AX282" s="184"/>
      <c r="AY282" s="184"/>
      <c r="AZ282" s="184"/>
      <c r="BA282" s="184"/>
      <c r="BB282" s="184">
        <v>10000</v>
      </c>
      <c r="BC282" s="184">
        <v>10000</v>
      </c>
      <c r="BD282" s="184">
        <v>10000</v>
      </c>
      <c r="BE282" s="184">
        <v>10000</v>
      </c>
      <c r="BF282" s="184">
        <v>10000</v>
      </c>
      <c r="BG282" s="184">
        <v>9000</v>
      </c>
      <c r="BH282" s="184">
        <v>9000</v>
      </c>
      <c r="BI282" s="184"/>
      <c r="BJ282" s="184"/>
      <c r="BK282" s="184"/>
      <c r="BL282" s="184"/>
      <c r="BM282" s="184"/>
      <c r="BN282" s="184"/>
      <c r="BO282" s="184"/>
      <c r="BP282" s="184"/>
      <c r="BQ282" s="184"/>
      <c r="BR282" s="184"/>
      <c r="BS282" s="184"/>
      <c r="BT282" s="184"/>
      <c r="BU282" s="146" cm="1">
        <f t="array" ref="BU282">LOOKUP(2,1/(Y282:BT282&lt;&gt;""),Y282:BH282)</f>
        <v>9000</v>
      </c>
      <c r="BV282" s="145" cm="1">
        <f t="array" aca="1" ref="BV282" ca="1">_xlfn.LET(
    _xlpm.last_col_idx, LOOKUP(2, 1/(Y282:BT282&lt;&gt;""), COLUMN(Y282:BT282) - COLUMN(Y282) + 1),
    _xlpm.header_val, INDEX($Y$3:$BT$3, 1, _xlpm.last_col_idx),
    _xlpm.header_date, IF(ISNUMBER(_xlpm.header_val), _xlpm.header_val, DATEVALUE(_xlpm.header_val)),
    IF(_xlpm.header_date &gt; TODAY(), TODAY(), _xlpm.header_date)
)</f>
        <v>45992</v>
      </c>
      <c r="BW282" s="209" cm="1">
        <f t="array" ref="BW282">(LOOKUP(2,1/(BH282:BT282&lt;&gt;""),BH282:BT282))/(INDEX(BH282:BT282,MATCH(TRUE,INDEX((BH282:BT282&lt;&gt;0),0),0)))-1</f>
        <v>0</v>
      </c>
      <c r="BX282" s="210">
        <f t="shared" si="52"/>
        <v>9</v>
      </c>
      <c r="BY282" s="210">
        <f t="shared" si="53"/>
        <v>6.75</v>
      </c>
      <c r="BZ282" s="210">
        <f ca="1">IF(L282="BR",'Impostos e Frete'!$F$6,IF(L282="EU",'Impostos e Frete'!$I$3,IF(L282="CN",'Impostos e Frete'!$I$4,IF(L282="JP",'Impostos e Frete'!$I$5,IF(L282="RU",'Impostos e Frete'!$I$7,"ERRO")))))</f>
        <v>1.1330439999999999</v>
      </c>
      <c r="CA282" s="210">
        <f>VLOOKUP(L282,'Impostos e Frete'!$A$3:$B$7,2,0)*'Preços e Condições'!BY282</f>
        <v>0.94500000000000006</v>
      </c>
      <c r="CB282" s="147">
        <f t="shared" si="54"/>
        <v>0</v>
      </c>
      <c r="CC282" s="147">
        <f>IF(X282="BRL",'Impostos e Frete'!$B$11,'Impostos e Frete'!$B$12)</f>
        <v>9.1999999999999998E-2</v>
      </c>
      <c r="CD282" s="211">
        <f t="shared" ca="1" si="55"/>
        <v>8.9200440000000008</v>
      </c>
      <c r="CE282" s="212">
        <f t="shared" ca="1" si="56"/>
        <v>0.44600220000000002</v>
      </c>
      <c r="CF282" s="213">
        <f>VLOOKUP(L282,'Impostos e Frete'!$A$3:$C$7,3,0)</f>
        <v>120</v>
      </c>
      <c r="CG282" s="213">
        <f t="shared" si="57"/>
        <v>90</v>
      </c>
      <c r="CH282" s="213">
        <f t="shared" si="58"/>
        <v>-30</v>
      </c>
      <c r="CI282" s="214">
        <f t="shared" ca="1" si="59"/>
        <v>0.13380065999999857</v>
      </c>
      <c r="CJ282" s="215">
        <f t="shared" ca="1" si="60"/>
        <v>9.0538446599999993</v>
      </c>
      <c r="CK282" s="216">
        <f t="shared" ca="1" si="61"/>
        <v>0.45269223299999994</v>
      </c>
    </row>
    <row r="283" spans="1:89">
      <c r="A283" s="176">
        <v>18854</v>
      </c>
      <c r="B283" s="177">
        <v>244</v>
      </c>
      <c r="C283" s="178">
        <v>65</v>
      </c>
      <c r="D283" s="178">
        <v>1870</v>
      </c>
      <c r="E283" s="178" t="s">
        <v>50</v>
      </c>
      <c r="F283" s="179" t="s">
        <v>3</v>
      </c>
      <c r="G283" s="180" t="s">
        <v>299</v>
      </c>
      <c r="H283" s="178" t="s">
        <v>42</v>
      </c>
      <c r="I283" s="178" t="s">
        <v>105</v>
      </c>
      <c r="J283" s="178"/>
      <c r="K283" s="178"/>
      <c r="L283" s="178" t="s">
        <v>60</v>
      </c>
      <c r="M283" s="178">
        <v>90</v>
      </c>
      <c r="N283" s="178">
        <v>3300</v>
      </c>
      <c r="O283" s="178"/>
      <c r="P283" s="178">
        <v>90</v>
      </c>
      <c r="Q283" s="178"/>
      <c r="R283" s="178" t="s">
        <v>19</v>
      </c>
      <c r="S283" s="181"/>
      <c r="T283" s="181"/>
      <c r="U283" s="182"/>
      <c r="V283" s="182" t="s">
        <v>35</v>
      </c>
      <c r="W283" s="183">
        <v>100</v>
      </c>
      <c r="X283" s="182" t="s">
        <v>267</v>
      </c>
      <c r="Y283" s="184"/>
      <c r="Z283" s="184"/>
      <c r="AA283" s="184"/>
      <c r="AB283" s="184"/>
      <c r="AC283" s="184"/>
      <c r="AD283" s="184"/>
      <c r="AE283" s="184"/>
      <c r="AF283" s="184"/>
      <c r="AG283" s="184"/>
      <c r="AH283" s="184"/>
      <c r="AI283" s="184"/>
      <c r="AJ283" s="184"/>
      <c r="AK283" s="184"/>
      <c r="AL283" s="184"/>
      <c r="AM283" s="184"/>
      <c r="AN283" s="184"/>
      <c r="AO283" s="184"/>
      <c r="AP283" s="184"/>
      <c r="AQ283" s="184"/>
      <c r="AR283" s="184"/>
      <c r="AS283" s="184"/>
      <c r="AT283" s="184"/>
      <c r="AU283" s="184"/>
      <c r="AV283" s="184"/>
      <c r="AW283" s="184"/>
      <c r="AX283" s="184"/>
      <c r="AY283" s="184"/>
      <c r="AZ283" s="184">
        <v>13500</v>
      </c>
      <c r="BA283" s="184">
        <v>13500</v>
      </c>
      <c r="BB283" s="184">
        <v>13500</v>
      </c>
      <c r="BC283" s="184"/>
      <c r="BD283" s="184"/>
      <c r="BE283" s="184"/>
      <c r="BF283" s="184"/>
      <c r="BG283" s="184"/>
      <c r="BH283" s="184"/>
      <c r="BI283" s="184"/>
      <c r="BJ283" s="184"/>
      <c r="BK283" s="184"/>
      <c r="BL283" s="184"/>
      <c r="BM283" s="184"/>
      <c r="BN283" s="184"/>
      <c r="BO283" s="184"/>
      <c r="BP283" s="184"/>
      <c r="BQ283" s="184"/>
      <c r="BR283" s="184"/>
      <c r="BS283" s="184"/>
      <c r="BT283" s="184"/>
      <c r="BU283" s="146" cm="1">
        <f t="array" ref="BU283">LOOKUP(2,1/(Y283:BT283&lt;&gt;""),Y283:BH283)</f>
        <v>13500</v>
      </c>
      <c r="BV283" s="145" cm="1">
        <f t="array" aca="1" ref="BV283" ca="1">_xlfn.LET(
    _xlpm.last_col_idx, LOOKUP(2, 1/(Y283:BT283&lt;&gt;""), COLUMN(Y283:BT283) - COLUMN(Y283) + 1),
    _xlpm.header_val, INDEX($Y$3:$BT$3, 1, _xlpm.last_col_idx),
    _xlpm.header_date, IF(ISNUMBER(_xlpm.header_val), _xlpm.header_val, DATEVALUE(_xlpm.header_val)),
    IF(_xlpm.header_date &gt; TODAY(), TODAY(), _xlpm.header_date)
)</f>
        <v>45809</v>
      </c>
      <c r="BW283" s="209" t="e" cm="1">
        <f t="array" ref="BW283">(LOOKUP(2,1/(BH283:BT283&lt;&gt;""),BH283:BT283))/(INDEX(BH283:BT283,MATCH(TRUE,INDEX((BH283:BT283&lt;&gt;0),0),0)))-1</f>
        <v>#N/A</v>
      </c>
      <c r="BX283" s="210">
        <f t="shared" si="52"/>
        <v>13.5</v>
      </c>
      <c r="BY283" s="210">
        <f t="shared" si="53"/>
        <v>10.125</v>
      </c>
      <c r="BZ283" s="210">
        <f ca="1">IF(L283="BR",'Impostos e Frete'!$F$6,IF(L283="EU",'Impostos e Frete'!$I$3,IF(L283="CN",'Impostos e Frete'!$I$4,IF(L283="JP",'Impostos e Frete'!$I$5,IF(L283="RU",'Impostos e Frete'!$I$7,"ERRO")))))</f>
        <v>1.1330439999999999</v>
      </c>
      <c r="CA283" s="210">
        <f>VLOOKUP(L283,'Impostos e Frete'!$A$3:$B$7,2,0)*'Preços e Condições'!BY283</f>
        <v>1.4175000000000002</v>
      </c>
      <c r="CB283" s="147">
        <f t="shared" si="54"/>
        <v>0</v>
      </c>
      <c r="CC283" s="147">
        <f>IF(X283="BRL",'Impostos e Frete'!$B$11,'Impostos e Frete'!$B$12)</f>
        <v>9.1999999999999998E-2</v>
      </c>
      <c r="CD283" s="211">
        <f t="shared" ca="1" si="55"/>
        <v>12.767544000000001</v>
      </c>
      <c r="CE283" s="212">
        <f t="shared" ca="1" si="56"/>
        <v>0.82989036000000005</v>
      </c>
      <c r="CF283" s="213">
        <f>VLOOKUP(L283,'Impostos e Frete'!$A$3:$C$7,3,0)</f>
        <v>120</v>
      </c>
      <c r="CG283" s="213">
        <f t="shared" si="57"/>
        <v>90</v>
      </c>
      <c r="CH283" s="213">
        <f t="shared" si="58"/>
        <v>-30</v>
      </c>
      <c r="CI283" s="214">
        <f t="shared" ca="1" si="59"/>
        <v>0.19151315999999952</v>
      </c>
      <c r="CJ283" s="215">
        <f t="shared" ca="1" si="60"/>
        <v>12.95905716</v>
      </c>
      <c r="CK283" s="216">
        <f t="shared" ca="1" si="61"/>
        <v>0.84233871540000005</v>
      </c>
    </row>
    <row r="284" spans="1:89">
      <c r="A284" s="176">
        <v>18854</v>
      </c>
      <c r="B284" s="177">
        <v>244</v>
      </c>
      <c r="C284" s="178">
        <v>65</v>
      </c>
      <c r="D284" s="178">
        <v>1870</v>
      </c>
      <c r="E284" s="178" t="s">
        <v>50</v>
      </c>
      <c r="F284" s="179" t="s">
        <v>3</v>
      </c>
      <c r="G284" s="180" t="s">
        <v>299</v>
      </c>
      <c r="H284" s="178" t="s">
        <v>42</v>
      </c>
      <c r="I284" s="178" t="s">
        <v>105</v>
      </c>
      <c r="J284" s="178"/>
      <c r="K284" s="178"/>
      <c r="L284" s="178" t="s">
        <v>60</v>
      </c>
      <c r="M284" s="178">
        <v>90</v>
      </c>
      <c r="N284" s="178">
        <v>400</v>
      </c>
      <c r="O284" s="178"/>
      <c r="P284" s="178">
        <v>90</v>
      </c>
      <c r="Q284" s="178"/>
      <c r="R284" s="178" t="s">
        <v>19</v>
      </c>
      <c r="S284" s="181"/>
      <c r="T284" s="181"/>
      <c r="U284" s="182"/>
      <c r="V284" s="182" t="s">
        <v>35</v>
      </c>
      <c r="W284" s="183">
        <v>100</v>
      </c>
      <c r="X284" s="182" t="s">
        <v>51</v>
      </c>
      <c r="Y284" s="184"/>
      <c r="Z284" s="184"/>
      <c r="AA284" s="184"/>
      <c r="AB284" s="184">
        <v>1800</v>
      </c>
      <c r="AC284" s="184">
        <v>1800</v>
      </c>
      <c r="AD284" s="184">
        <v>1800</v>
      </c>
      <c r="AE284" s="184">
        <v>1800</v>
      </c>
      <c r="AF284" s="184">
        <v>1800</v>
      </c>
      <c r="AG284" s="184">
        <v>1800</v>
      </c>
      <c r="AH284" s="184">
        <v>1800</v>
      </c>
      <c r="AI284" s="184">
        <v>1800</v>
      </c>
      <c r="AJ284" s="184">
        <v>1800</v>
      </c>
      <c r="AK284" s="184">
        <v>1800</v>
      </c>
      <c r="AL284" s="184">
        <v>1800</v>
      </c>
      <c r="AM284" s="184"/>
      <c r="AN284" s="184"/>
      <c r="AO284" s="184"/>
      <c r="AP284" s="184"/>
      <c r="AQ284" s="184"/>
      <c r="AR284" s="184"/>
      <c r="AS284" s="184"/>
      <c r="AT284" s="184"/>
      <c r="AU284" s="184"/>
      <c r="AV284" s="184"/>
      <c r="AW284" s="184"/>
      <c r="AX284" s="184"/>
      <c r="AY284" s="184"/>
      <c r="AZ284" s="184"/>
      <c r="BA284" s="184"/>
      <c r="BB284" s="184"/>
      <c r="BC284" s="184"/>
      <c r="BD284" s="184"/>
      <c r="BE284" s="184"/>
      <c r="BF284" s="184"/>
      <c r="BG284" s="184"/>
      <c r="BH284" s="184"/>
      <c r="BI284" s="184"/>
      <c r="BJ284" s="184"/>
      <c r="BK284" s="184"/>
      <c r="BL284" s="184"/>
      <c r="BM284" s="184"/>
      <c r="BN284" s="184"/>
      <c r="BO284" s="184"/>
      <c r="BP284" s="184"/>
      <c r="BQ284" s="184"/>
      <c r="BR284" s="184"/>
      <c r="BS284" s="184"/>
      <c r="BT284" s="184"/>
      <c r="BU284" s="146" cm="1">
        <f t="array" ref="BU284">LOOKUP(2,1/(Y284:BT284&lt;&gt;""),Y284:BH284)</f>
        <v>1800</v>
      </c>
      <c r="BV284" s="145" cm="1">
        <f t="array" aca="1" ref="BV284" ca="1">_xlfn.LET(
    _xlpm.last_col_idx, LOOKUP(2, 1/(Y284:BT284&lt;&gt;""), COLUMN(Y284:BT284) - COLUMN(Y284) + 1),
    _xlpm.header_val, INDEX($Y$3:$BT$3, 1, _xlpm.last_col_idx),
    _xlpm.header_date, IF(ISNUMBER(_xlpm.header_val), _xlpm.header_val, DATEVALUE(_xlpm.header_val)),
    IF(_xlpm.header_date &gt; TODAY(), TODAY(), _xlpm.header_date)
)</f>
        <v>45323</v>
      </c>
      <c r="BW284" s="209" t="e" cm="1">
        <f t="array" ref="BW284">(LOOKUP(2,1/(BH284:BT284&lt;&gt;""),BH284:BT284))/(INDEX(BH284:BT284,MATCH(TRUE,INDEX((BH284:BT284&lt;&gt;0),0),0)))-1</f>
        <v>#N/A</v>
      </c>
      <c r="BX284" s="210">
        <f t="shared" si="52"/>
        <v>1.8</v>
      </c>
      <c r="BY284" s="210">
        <f t="shared" si="53"/>
        <v>10.620000000000001</v>
      </c>
      <c r="BZ284" s="210">
        <f ca="1">IF(L284="BR",'Impostos e Frete'!$F$6,IF(L284="EU",'Impostos e Frete'!$I$3,IF(L284="CN",'Impostos e Frete'!$I$4,IF(L284="JP",'Impostos e Frete'!$I$5,IF(L284="RU",'Impostos e Frete'!$I$7,"ERRO")))))</f>
        <v>1.1330439999999999</v>
      </c>
      <c r="CA284" s="210">
        <f>VLOOKUP(L284,'Impostos e Frete'!$A$3:$B$7,2,0)*'Preços e Condições'!BY284</f>
        <v>1.4868000000000003</v>
      </c>
      <c r="CB284" s="147">
        <f t="shared" si="54"/>
        <v>0</v>
      </c>
      <c r="CC284" s="147">
        <f>IF(X284="BRL",'Impostos e Frete'!$B$11,'Impostos e Frete'!$B$12)</f>
        <v>9.1999999999999998E-2</v>
      </c>
      <c r="CD284" s="211">
        <f t="shared" ca="1" si="55"/>
        <v>13.331844000000002</v>
      </c>
      <c r="CE284" s="212">
        <f t="shared" ca="1" si="56"/>
        <v>0.86656986000000014</v>
      </c>
      <c r="CF284" s="213">
        <f>VLOOKUP(L284,'Impostos e Frete'!$A$3:$C$7,3,0)</f>
        <v>120</v>
      </c>
      <c r="CG284" s="213">
        <f t="shared" si="57"/>
        <v>90</v>
      </c>
      <c r="CH284" s="213">
        <f t="shared" si="58"/>
        <v>-30</v>
      </c>
      <c r="CI284" s="214">
        <f t="shared" ca="1" si="59"/>
        <v>0.19997765999999828</v>
      </c>
      <c r="CJ284" s="215">
        <f t="shared" ca="1" si="60"/>
        <v>13.53182166</v>
      </c>
      <c r="CK284" s="216">
        <f t="shared" ca="1" si="61"/>
        <v>0.87956840790000002</v>
      </c>
    </row>
    <row r="285" spans="1:89">
      <c r="A285" s="176">
        <v>18855</v>
      </c>
      <c r="B285" s="177">
        <v>483</v>
      </c>
      <c r="C285" s="178">
        <v>68</v>
      </c>
      <c r="D285" s="178">
        <v>1870</v>
      </c>
      <c r="E285" s="178" t="s">
        <v>50</v>
      </c>
      <c r="F285" s="179" t="s">
        <v>3</v>
      </c>
      <c r="G285" s="180" t="s">
        <v>97</v>
      </c>
      <c r="H285" s="178" t="s">
        <v>63</v>
      </c>
      <c r="I285" s="178" t="s">
        <v>98</v>
      </c>
      <c r="J285" s="178"/>
      <c r="K285" s="178"/>
      <c r="L285" s="178" t="s">
        <v>60</v>
      </c>
      <c r="M285" s="178">
        <v>90</v>
      </c>
      <c r="N285" s="178">
        <v>3300</v>
      </c>
      <c r="O285" s="178"/>
      <c r="P285" s="178">
        <v>90</v>
      </c>
      <c r="Q285" s="178"/>
      <c r="R285" s="178" t="s">
        <v>19</v>
      </c>
      <c r="S285" s="181"/>
      <c r="T285" s="181"/>
      <c r="U285" s="182"/>
      <c r="V285" s="182" t="s">
        <v>35</v>
      </c>
      <c r="W285" s="183">
        <v>100</v>
      </c>
      <c r="X285" s="182" t="s">
        <v>267</v>
      </c>
      <c r="Y285" s="184"/>
      <c r="Z285" s="184"/>
      <c r="AA285" s="184"/>
      <c r="AB285" s="184"/>
      <c r="AC285" s="184"/>
      <c r="AD285" s="184"/>
      <c r="AE285" s="184"/>
      <c r="AF285" s="184"/>
      <c r="AG285" s="184"/>
      <c r="AH285" s="184"/>
      <c r="AI285" s="184"/>
      <c r="AJ285" s="184"/>
      <c r="AK285" s="184"/>
      <c r="AL285" s="184"/>
      <c r="AM285" s="184"/>
      <c r="AN285" s="184"/>
      <c r="AO285" s="184"/>
      <c r="AP285" s="184"/>
      <c r="AQ285" s="184"/>
      <c r="AR285" s="184"/>
      <c r="AS285" s="184"/>
      <c r="AT285" s="184"/>
      <c r="AU285" s="184"/>
      <c r="AV285" s="184"/>
      <c r="AW285" s="184"/>
      <c r="AX285" s="184"/>
      <c r="AY285" s="184"/>
      <c r="AZ285" s="184">
        <v>12600</v>
      </c>
      <c r="BA285" s="184">
        <v>12600</v>
      </c>
      <c r="BB285" s="184">
        <v>12600</v>
      </c>
      <c r="BC285" s="184">
        <v>12600</v>
      </c>
      <c r="BD285" s="184">
        <v>12600</v>
      </c>
      <c r="BE285" s="184">
        <v>12600</v>
      </c>
      <c r="BF285" s="184">
        <v>12600</v>
      </c>
      <c r="BG285" s="184">
        <v>12000</v>
      </c>
      <c r="BH285" s="184">
        <v>12000</v>
      </c>
      <c r="BI285" s="184">
        <v>12000</v>
      </c>
      <c r="BJ285" s="184"/>
      <c r="BK285" s="184"/>
      <c r="BL285" s="184"/>
      <c r="BM285" s="184"/>
      <c r="BN285" s="184"/>
      <c r="BO285" s="184"/>
      <c r="BP285" s="184"/>
      <c r="BQ285" s="184"/>
      <c r="BR285" s="184"/>
      <c r="BS285" s="184"/>
      <c r="BT285" s="184"/>
      <c r="BU285" s="146" cm="1">
        <f t="array" ref="BU285">LOOKUP(2,1/(Y285:BT285&lt;&gt;""),Y285:BH285)</f>
        <v>12000</v>
      </c>
      <c r="BV285" s="145" cm="1">
        <f t="array" aca="1" ref="BV285" ca="1">_xlfn.LET(
    _xlpm.last_col_idx, LOOKUP(2, 1/(Y285:BT285&lt;&gt;""), COLUMN(Y285:BT285) - COLUMN(Y285) + 1),
    _xlpm.header_val, INDEX($Y$3:$BT$3, 1, _xlpm.last_col_idx),
    _xlpm.header_date, IF(ISNUMBER(_xlpm.header_val), _xlpm.header_val, DATEVALUE(_xlpm.header_val)),
    IF(_xlpm.header_date &gt; TODAY(), TODAY(), _xlpm.header_date)
)</f>
        <v>46023</v>
      </c>
      <c r="BW285" s="209" cm="1">
        <f t="array" ref="BW285">(LOOKUP(2,1/(BH285:BT285&lt;&gt;""),BH285:BT285))/(INDEX(BH285:BT285,MATCH(TRUE,INDEX((BH285:BT285&lt;&gt;0),0),0)))-1</f>
        <v>0</v>
      </c>
      <c r="BX285" s="210">
        <f t="shared" si="52"/>
        <v>12</v>
      </c>
      <c r="BY285" s="210">
        <f t="shared" si="53"/>
        <v>9</v>
      </c>
      <c r="BZ285" s="210">
        <f ca="1">IF(L285="BR",'Impostos e Frete'!$F$6,IF(L285="EU",'Impostos e Frete'!$I$3,IF(L285="CN",'Impostos e Frete'!$I$4,IF(L285="JP",'Impostos e Frete'!$I$5,IF(L285="RU",'Impostos e Frete'!$I$7,"ERRO")))))</f>
        <v>1.1330439999999999</v>
      </c>
      <c r="CA285" s="210">
        <f>VLOOKUP(L285,'Impostos e Frete'!$A$3:$B$7,2,0)*'Preços e Condições'!BY285</f>
        <v>1.2600000000000002</v>
      </c>
      <c r="CB285" s="147">
        <f t="shared" si="54"/>
        <v>0</v>
      </c>
      <c r="CC285" s="147">
        <f>IF(X285="BRL",'Impostos e Frete'!$B$11,'Impostos e Frete'!$B$12)</f>
        <v>9.1999999999999998E-2</v>
      </c>
      <c r="CD285" s="211">
        <f t="shared" ca="1" si="55"/>
        <v>11.485044</v>
      </c>
      <c r="CE285" s="212">
        <f t="shared" ca="1" si="56"/>
        <v>0.78098299199999999</v>
      </c>
      <c r="CF285" s="213">
        <f>VLOOKUP(L285,'Impostos e Frete'!$A$3:$C$7,3,0)</f>
        <v>120</v>
      </c>
      <c r="CG285" s="213">
        <f t="shared" si="57"/>
        <v>90</v>
      </c>
      <c r="CH285" s="213">
        <f t="shared" si="58"/>
        <v>-30</v>
      </c>
      <c r="CI285" s="214">
        <f t="shared" ca="1" si="59"/>
        <v>0.17227565999999861</v>
      </c>
      <c r="CJ285" s="215">
        <f t="shared" ca="1" si="60"/>
        <v>11.657319659999999</v>
      </c>
      <c r="CK285" s="216">
        <f t="shared" ca="1" si="61"/>
        <v>0.79269773687999989</v>
      </c>
    </row>
    <row r="286" spans="1:89">
      <c r="A286" s="176">
        <v>18855</v>
      </c>
      <c r="B286" s="177">
        <v>483</v>
      </c>
      <c r="C286" s="178">
        <v>68</v>
      </c>
      <c r="D286" s="178">
        <v>1870</v>
      </c>
      <c r="E286" s="178" t="s">
        <v>50</v>
      </c>
      <c r="F286" s="179" t="s">
        <v>3</v>
      </c>
      <c r="G286" s="180" t="s">
        <v>97</v>
      </c>
      <c r="H286" s="178" t="s">
        <v>63</v>
      </c>
      <c r="I286" s="178" t="s">
        <v>98</v>
      </c>
      <c r="J286" s="178"/>
      <c r="K286" s="178"/>
      <c r="L286" s="178" t="s">
        <v>60</v>
      </c>
      <c r="M286" s="178">
        <v>90</v>
      </c>
      <c r="N286" s="178">
        <v>400</v>
      </c>
      <c r="O286" s="178"/>
      <c r="P286" s="178">
        <v>90</v>
      </c>
      <c r="Q286" s="178"/>
      <c r="R286" s="178" t="s">
        <v>19</v>
      </c>
      <c r="S286" s="181"/>
      <c r="T286" s="181"/>
      <c r="U286" s="182"/>
      <c r="V286" s="182" t="s">
        <v>35</v>
      </c>
      <c r="W286" s="183">
        <v>150</v>
      </c>
      <c r="X286" s="182" t="s">
        <v>51</v>
      </c>
      <c r="Y286" s="184"/>
      <c r="Z286" s="184"/>
      <c r="AA286" s="184"/>
      <c r="AB286" s="184">
        <v>1800</v>
      </c>
      <c r="AC286" s="184">
        <v>1800</v>
      </c>
      <c r="AD286" s="184">
        <v>1800</v>
      </c>
      <c r="AE286" s="184">
        <v>1800</v>
      </c>
      <c r="AF286" s="184">
        <v>1800</v>
      </c>
      <c r="AG286" s="184">
        <v>1800</v>
      </c>
      <c r="AH286" s="184">
        <v>1800</v>
      </c>
      <c r="AI286" s="184">
        <v>1800</v>
      </c>
      <c r="AJ286" s="184">
        <v>1800</v>
      </c>
      <c r="AK286" s="184">
        <v>1800</v>
      </c>
      <c r="AL286" s="184">
        <v>1800</v>
      </c>
      <c r="AM286" s="184">
        <v>1650</v>
      </c>
      <c r="AN286" s="184">
        <v>1650</v>
      </c>
      <c r="AO286" s="184">
        <v>1650</v>
      </c>
      <c r="AP286" s="184">
        <v>1650</v>
      </c>
      <c r="AQ286" s="184"/>
      <c r="AR286" s="184"/>
      <c r="AS286" s="184"/>
      <c r="AT286" s="184"/>
      <c r="AU286" s="184"/>
      <c r="AV286" s="184"/>
      <c r="AW286" s="184"/>
      <c r="AX286" s="184"/>
      <c r="AY286" s="184"/>
      <c r="AZ286" s="184"/>
      <c r="BA286" s="184"/>
      <c r="BB286" s="184"/>
      <c r="BC286" s="184"/>
      <c r="BD286" s="184"/>
      <c r="BE286" s="184"/>
      <c r="BF286" s="184"/>
      <c r="BG286" s="184"/>
      <c r="BH286" s="184"/>
      <c r="BI286" s="184"/>
      <c r="BJ286" s="184"/>
      <c r="BK286" s="184"/>
      <c r="BL286" s="184"/>
      <c r="BM286" s="184"/>
      <c r="BN286" s="184"/>
      <c r="BO286" s="184"/>
      <c r="BP286" s="184"/>
      <c r="BQ286" s="184"/>
      <c r="BR286" s="184"/>
      <c r="BS286" s="184"/>
      <c r="BT286" s="184"/>
      <c r="BU286" s="146" cm="1">
        <f t="array" ref="BU286">LOOKUP(2,1/(Y286:BT286&lt;&gt;""),Y286:BH286)</f>
        <v>1650</v>
      </c>
      <c r="BV286" s="145" cm="1">
        <f t="array" aca="1" ref="BV286" ca="1">_xlfn.LET(
    _xlpm.last_col_idx, LOOKUP(2, 1/(Y286:BT286&lt;&gt;""), COLUMN(Y286:BT286) - COLUMN(Y286) + 1),
    _xlpm.header_val, INDEX($Y$3:$BT$3, 1, _xlpm.last_col_idx),
    _xlpm.header_date, IF(ISNUMBER(_xlpm.header_val), _xlpm.header_val, DATEVALUE(_xlpm.header_val)),
    IF(_xlpm.header_date &gt; TODAY(), TODAY(), _xlpm.header_date)
)</f>
        <v>45444</v>
      </c>
      <c r="BW286" s="209" t="e" cm="1">
        <f t="array" ref="BW286">(LOOKUP(2,1/(BH286:BT286&lt;&gt;""),BH286:BT286))/(INDEX(BH286:BT286,MATCH(TRUE,INDEX((BH286:BT286&lt;&gt;0),0),0)))-1</f>
        <v>#N/A</v>
      </c>
      <c r="BX286" s="210">
        <f t="shared" si="52"/>
        <v>1.65</v>
      </c>
      <c r="BY286" s="210">
        <f t="shared" si="53"/>
        <v>9.7349999999999994</v>
      </c>
      <c r="BZ286" s="210">
        <f ca="1">IF(L286="BR",'Impostos e Frete'!$F$6,IF(L286="EU",'Impostos e Frete'!$I$3,IF(L286="CN",'Impostos e Frete'!$I$4,IF(L286="JP",'Impostos e Frete'!$I$5,IF(L286="RU",'Impostos e Frete'!$I$7,"ERRO")))))</f>
        <v>1.1330439999999999</v>
      </c>
      <c r="CA286" s="210">
        <f>VLOOKUP(L286,'Impostos e Frete'!$A$3:$B$7,2,0)*'Preços e Condições'!BY286</f>
        <v>1.3629</v>
      </c>
      <c r="CB286" s="147">
        <f t="shared" si="54"/>
        <v>0</v>
      </c>
      <c r="CC286" s="147">
        <f>IF(X286="BRL",'Impostos e Frete'!$B$11,'Impostos e Frete'!$B$12)</f>
        <v>9.1999999999999998E-2</v>
      </c>
      <c r="CD286" s="211">
        <f t="shared" ca="1" si="55"/>
        <v>12.322944</v>
      </c>
      <c r="CE286" s="212">
        <f t="shared" ca="1" si="56"/>
        <v>0.83796019199999994</v>
      </c>
      <c r="CF286" s="213">
        <f>VLOOKUP(L286,'Impostos e Frete'!$A$3:$C$7,3,0)</f>
        <v>120</v>
      </c>
      <c r="CG286" s="213">
        <f t="shared" si="57"/>
        <v>90</v>
      </c>
      <c r="CH286" s="213">
        <f t="shared" si="58"/>
        <v>-30</v>
      </c>
      <c r="CI286" s="214">
        <f t="shared" ca="1" si="59"/>
        <v>0.18484415999999904</v>
      </c>
      <c r="CJ286" s="215">
        <f t="shared" ca="1" si="60"/>
        <v>12.507788159999999</v>
      </c>
      <c r="CK286" s="216">
        <f t="shared" ca="1" si="61"/>
        <v>0.85052959487999991</v>
      </c>
    </row>
    <row r="287" spans="1:89">
      <c r="A287" s="176">
        <v>18855</v>
      </c>
      <c r="B287" s="177">
        <v>483</v>
      </c>
      <c r="C287" s="178">
        <v>68</v>
      </c>
      <c r="D287" s="178">
        <v>1870</v>
      </c>
      <c r="E287" s="178" t="s">
        <v>50</v>
      </c>
      <c r="F287" s="179" t="s">
        <v>3</v>
      </c>
      <c r="G287" s="180" t="s">
        <v>97</v>
      </c>
      <c r="H287" s="178" t="s">
        <v>63</v>
      </c>
      <c r="I287" s="178" t="s">
        <v>98</v>
      </c>
      <c r="J287" s="178"/>
      <c r="K287" s="178"/>
      <c r="L287" s="178" t="s">
        <v>60</v>
      </c>
      <c r="M287" s="178">
        <v>90</v>
      </c>
      <c r="N287" s="178">
        <v>400</v>
      </c>
      <c r="O287" s="178"/>
      <c r="P287" s="178">
        <v>90</v>
      </c>
      <c r="Q287" s="178"/>
      <c r="R287" s="178" t="s">
        <v>19</v>
      </c>
      <c r="S287" s="181"/>
      <c r="T287" s="181"/>
      <c r="U287" s="182"/>
      <c r="V287" s="182" t="s">
        <v>35</v>
      </c>
      <c r="W287" s="183">
        <v>100</v>
      </c>
      <c r="X287" s="182" t="s">
        <v>51</v>
      </c>
      <c r="Y287" s="184"/>
      <c r="Z287" s="184"/>
      <c r="AA287" s="184"/>
      <c r="AB287" s="184">
        <v>1800</v>
      </c>
      <c r="AC287" s="184">
        <v>1800</v>
      </c>
      <c r="AD287" s="184">
        <v>1800</v>
      </c>
      <c r="AE287" s="184">
        <v>1800</v>
      </c>
      <c r="AF287" s="184">
        <v>1800</v>
      </c>
      <c r="AG287" s="184">
        <v>1800</v>
      </c>
      <c r="AH287" s="184">
        <v>1800</v>
      </c>
      <c r="AI287" s="184">
        <v>1800</v>
      </c>
      <c r="AJ287" s="184">
        <v>1800</v>
      </c>
      <c r="AK287" s="184">
        <v>1800</v>
      </c>
      <c r="AL287" s="184">
        <v>1800</v>
      </c>
      <c r="AM287" s="184"/>
      <c r="AN287" s="184"/>
      <c r="AO287" s="184"/>
      <c r="AP287" s="184"/>
      <c r="AQ287" s="184"/>
      <c r="AR287" s="184"/>
      <c r="AS287" s="184"/>
      <c r="AT287" s="184"/>
      <c r="AU287" s="184"/>
      <c r="AV287" s="184"/>
      <c r="AW287" s="184"/>
      <c r="AX287" s="184"/>
      <c r="AY287" s="184"/>
      <c r="AZ287" s="184"/>
      <c r="BA287" s="184"/>
      <c r="BB287" s="184"/>
      <c r="BC287" s="184"/>
      <c r="BD287" s="184"/>
      <c r="BE287" s="184"/>
      <c r="BF287" s="184"/>
      <c r="BG287" s="184"/>
      <c r="BH287" s="184"/>
      <c r="BI287" s="184"/>
      <c r="BJ287" s="184"/>
      <c r="BK287" s="184"/>
      <c r="BL287" s="202"/>
      <c r="BM287" s="202"/>
      <c r="BN287" s="202"/>
      <c r="BO287" s="184"/>
      <c r="BP287" s="184"/>
      <c r="BQ287" s="184"/>
      <c r="BR287" s="184"/>
      <c r="BS287" s="184"/>
      <c r="BT287" s="184"/>
      <c r="BU287" s="146" cm="1">
        <f t="array" ref="BU287">LOOKUP(2,1/(Y287:BT287&lt;&gt;""),Y287:BH287)</f>
        <v>1800</v>
      </c>
      <c r="BV287" s="145" cm="1">
        <f t="array" aca="1" ref="BV287" ca="1">_xlfn.LET(
    _xlpm.last_col_idx, LOOKUP(2, 1/(Y287:BT287&lt;&gt;""), COLUMN(Y287:BT287) - COLUMN(Y287) + 1),
    _xlpm.header_val, INDEX($Y$3:$BT$3, 1, _xlpm.last_col_idx),
    _xlpm.header_date, IF(ISNUMBER(_xlpm.header_val), _xlpm.header_val, DATEVALUE(_xlpm.header_val)),
    IF(_xlpm.header_date &gt; TODAY(), TODAY(), _xlpm.header_date)
)</f>
        <v>45323</v>
      </c>
      <c r="BW287" s="209" t="e" cm="1">
        <f t="array" ref="BW287">(LOOKUP(2,1/(BH287:BT287&lt;&gt;""),BH287:BT287))/(INDEX(BH287:BT287,MATCH(TRUE,INDEX((BH287:BT287&lt;&gt;0),0),0)))-1</f>
        <v>#N/A</v>
      </c>
      <c r="BX287" s="210">
        <f t="shared" si="52"/>
        <v>1.8</v>
      </c>
      <c r="BY287" s="210">
        <f t="shared" si="53"/>
        <v>10.620000000000001</v>
      </c>
      <c r="BZ287" s="210">
        <f ca="1">IF(L287="BR",'Impostos e Frete'!$F$6,IF(L287="EU",'Impostos e Frete'!$I$3,IF(L287="CN",'Impostos e Frete'!$I$4,IF(L287="JP",'Impostos e Frete'!$I$5,IF(L287="RU",'Impostos e Frete'!$I$7,"ERRO")))))</f>
        <v>1.1330439999999999</v>
      </c>
      <c r="CA287" s="210">
        <f>VLOOKUP(L287,'Impostos e Frete'!$A$3:$B$7,2,0)*'Preços e Condições'!BY287</f>
        <v>1.4868000000000003</v>
      </c>
      <c r="CB287" s="147">
        <f t="shared" si="54"/>
        <v>0</v>
      </c>
      <c r="CC287" s="147">
        <f>IF(X287="BRL",'Impostos e Frete'!$B$11,'Impostos e Frete'!$B$12)</f>
        <v>9.1999999999999998E-2</v>
      </c>
      <c r="CD287" s="211">
        <f t="shared" ca="1" si="55"/>
        <v>13.331844000000002</v>
      </c>
      <c r="CE287" s="212">
        <f t="shared" ca="1" si="56"/>
        <v>0.90656539200000019</v>
      </c>
      <c r="CF287" s="213">
        <f>VLOOKUP(L287,'Impostos e Frete'!$A$3:$C$7,3,0)</f>
        <v>120</v>
      </c>
      <c r="CG287" s="213">
        <f t="shared" si="57"/>
        <v>90</v>
      </c>
      <c r="CH287" s="213">
        <f t="shared" si="58"/>
        <v>-30</v>
      </c>
      <c r="CI287" s="214">
        <f t="shared" ca="1" si="59"/>
        <v>0.19997765999999828</v>
      </c>
      <c r="CJ287" s="215">
        <f t="shared" ca="1" si="60"/>
        <v>13.53182166</v>
      </c>
      <c r="CK287" s="216">
        <f t="shared" ca="1" si="61"/>
        <v>0.92016387288000001</v>
      </c>
    </row>
    <row r="288" spans="1:89">
      <c r="A288" s="176">
        <v>18856</v>
      </c>
      <c r="B288" s="177">
        <v>689</v>
      </c>
      <c r="C288" s="178">
        <v>68</v>
      </c>
      <c r="D288" s="178">
        <v>1870</v>
      </c>
      <c r="E288" s="178" t="s">
        <v>50</v>
      </c>
      <c r="F288" s="179" t="s">
        <v>3</v>
      </c>
      <c r="G288" s="180" t="s">
        <v>101</v>
      </c>
      <c r="H288" s="178" t="s">
        <v>63</v>
      </c>
      <c r="I288" s="178" t="s">
        <v>102</v>
      </c>
      <c r="J288" s="178"/>
      <c r="K288" s="178"/>
      <c r="L288" s="178" t="s">
        <v>60</v>
      </c>
      <c r="M288" s="178">
        <v>90</v>
      </c>
      <c r="N288" s="178">
        <v>3300</v>
      </c>
      <c r="O288" s="178"/>
      <c r="P288" s="178">
        <v>90</v>
      </c>
      <c r="Q288" s="178"/>
      <c r="R288" s="178" t="s">
        <v>19</v>
      </c>
      <c r="S288" s="181"/>
      <c r="T288" s="181"/>
      <c r="U288" s="182"/>
      <c r="V288" s="182" t="s">
        <v>35</v>
      </c>
      <c r="W288" s="183">
        <v>100</v>
      </c>
      <c r="X288" s="182" t="s">
        <v>267</v>
      </c>
      <c r="Y288" s="184"/>
      <c r="Z288" s="184"/>
      <c r="AA288" s="184"/>
      <c r="AB288" s="184"/>
      <c r="AC288" s="184"/>
      <c r="AD288" s="184"/>
      <c r="AE288" s="184"/>
      <c r="AF288" s="184"/>
      <c r="AG288" s="184"/>
      <c r="AH288" s="184"/>
      <c r="AI288" s="184"/>
      <c r="AJ288" s="184"/>
      <c r="AK288" s="184"/>
      <c r="AL288" s="184"/>
      <c r="AM288" s="184"/>
      <c r="AN288" s="184"/>
      <c r="AO288" s="184"/>
      <c r="AP288" s="184"/>
      <c r="AQ288" s="184"/>
      <c r="AR288" s="184"/>
      <c r="AS288" s="184"/>
      <c r="AT288" s="184"/>
      <c r="AU288" s="184"/>
      <c r="AV288" s="184"/>
      <c r="AW288" s="184"/>
      <c r="AX288" s="184"/>
      <c r="AY288" s="184"/>
      <c r="AZ288" s="184">
        <v>12600</v>
      </c>
      <c r="BA288" s="184">
        <v>12600</v>
      </c>
      <c r="BB288" s="184">
        <v>12600</v>
      </c>
      <c r="BC288" s="184">
        <v>12600</v>
      </c>
      <c r="BD288" s="184">
        <v>12600</v>
      </c>
      <c r="BE288" s="184">
        <v>12600</v>
      </c>
      <c r="BF288" s="184">
        <v>12600</v>
      </c>
      <c r="BG288" s="184">
        <v>12000</v>
      </c>
      <c r="BH288" s="184">
        <v>12000</v>
      </c>
      <c r="BI288" s="184">
        <v>12000</v>
      </c>
      <c r="BJ288" s="184"/>
      <c r="BK288" s="184"/>
      <c r="BL288" s="202"/>
      <c r="BM288" s="202"/>
      <c r="BN288" s="202"/>
      <c r="BO288" s="184"/>
      <c r="BP288" s="184"/>
      <c r="BQ288" s="184"/>
      <c r="BR288" s="184"/>
      <c r="BS288" s="184"/>
      <c r="BT288" s="184"/>
      <c r="BU288" s="146" cm="1">
        <f t="array" ref="BU288">LOOKUP(2,1/(Y288:BT288&lt;&gt;""),Y288:BH288)</f>
        <v>12000</v>
      </c>
      <c r="BV288" s="145" cm="1">
        <f t="array" aca="1" ref="BV288" ca="1">_xlfn.LET(
    _xlpm.last_col_idx, LOOKUP(2, 1/(Y288:BT288&lt;&gt;""), COLUMN(Y288:BT288) - COLUMN(Y288) + 1),
    _xlpm.header_val, INDEX($Y$3:$BT$3, 1, _xlpm.last_col_idx),
    _xlpm.header_date, IF(ISNUMBER(_xlpm.header_val), _xlpm.header_val, DATEVALUE(_xlpm.header_val)),
    IF(_xlpm.header_date &gt; TODAY(), TODAY(), _xlpm.header_date)
)</f>
        <v>46023</v>
      </c>
      <c r="BW288" s="209" cm="1">
        <f t="array" ref="BW288">(LOOKUP(2,1/(BH288:BT288&lt;&gt;""),BH288:BT288))/(INDEX(BH288:BT288,MATCH(TRUE,INDEX((BH288:BT288&lt;&gt;0),0),0)))-1</f>
        <v>0</v>
      </c>
      <c r="BX288" s="210">
        <f t="shared" si="52"/>
        <v>12</v>
      </c>
      <c r="BY288" s="210">
        <f t="shared" si="53"/>
        <v>9</v>
      </c>
      <c r="BZ288" s="210">
        <f ca="1">IF(L288="BR",'Impostos e Frete'!$F$6,IF(L288="EU",'Impostos e Frete'!$I$3,IF(L288="CN",'Impostos e Frete'!$I$4,IF(L288="JP",'Impostos e Frete'!$I$5,IF(L288="RU",'Impostos e Frete'!$I$7,"ERRO")))))</f>
        <v>1.1330439999999999</v>
      </c>
      <c r="CA288" s="210">
        <f>VLOOKUP(L288,'Impostos e Frete'!$A$3:$B$7,2,0)*'Preços e Condições'!BY288</f>
        <v>1.2600000000000002</v>
      </c>
      <c r="CB288" s="147">
        <f t="shared" si="54"/>
        <v>0</v>
      </c>
      <c r="CC288" s="147">
        <f>IF(X288="BRL",'Impostos e Frete'!$B$11,'Impostos e Frete'!$B$12)</f>
        <v>9.1999999999999998E-2</v>
      </c>
      <c r="CD288" s="211">
        <f t="shared" ca="1" si="55"/>
        <v>11.485044</v>
      </c>
      <c r="CE288" s="212">
        <f t="shared" ca="1" si="56"/>
        <v>0.78098299199999999</v>
      </c>
      <c r="CF288" s="213">
        <f>VLOOKUP(L288,'Impostos e Frete'!$A$3:$C$7,3,0)</f>
        <v>120</v>
      </c>
      <c r="CG288" s="213">
        <f t="shared" si="57"/>
        <v>90</v>
      </c>
      <c r="CH288" s="213">
        <f t="shared" si="58"/>
        <v>-30</v>
      </c>
      <c r="CI288" s="214">
        <f t="shared" ca="1" si="59"/>
        <v>0.17227565999999861</v>
      </c>
      <c r="CJ288" s="215">
        <f t="shared" ca="1" si="60"/>
        <v>11.657319659999999</v>
      </c>
      <c r="CK288" s="216">
        <f t="shared" ca="1" si="61"/>
        <v>0.79269773687999989</v>
      </c>
    </row>
    <row r="289" spans="1:89">
      <c r="A289" s="176">
        <v>18856</v>
      </c>
      <c r="B289" s="177">
        <v>689</v>
      </c>
      <c r="C289" s="178">
        <v>68</v>
      </c>
      <c r="D289" s="178">
        <v>1870</v>
      </c>
      <c r="E289" s="178" t="s">
        <v>50</v>
      </c>
      <c r="F289" s="179" t="s">
        <v>3</v>
      </c>
      <c r="G289" s="180" t="s">
        <v>101</v>
      </c>
      <c r="H289" s="178" t="s">
        <v>63</v>
      </c>
      <c r="I289" s="178" t="s">
        <v>102</v>
      </c>
      <c r="J289" s="178"/>
      <c r="K289" s="178"/>
      <c r="L289" s="178" t="s">
        <v>60</v>
      </c>
      <c r="M289" s="178">
        <v>90</v>
      </c>
      <c r="N289" s="178">
        <v>400</v>
      </c>
      <c r="O289" s="178"/>
      <c r="P289" s="178">
        <v>90</v>
      </c>
      <c r="Q289" s="178"/>
      <c r="R289" s="178" t="s">
        <v>19</v>
      </c>
      <c r="S289" s="181"/>
      <c r="T289" s="181"/>
      <c r="U289" s="182"/>
      <c r="V289" s="182" t="s">
        <v>35</v>
      </c>
      <c r="W289" s="183">
        <v>150</v>
      </c>
      <c r="X289" s="182" t="s">
        <v>51</v>
      </c>
      <c r="Y289" s="184"/>
      <c r="Z289" s="184"/>
      <c r="AA289" s="184"/>
      <c r="AB289" s="184">
        <v>1800</v>
      </c>
      <c r="AC289" s="184">
        <v>1800</v>
      </c>
      <c r="AD289" s="184">
        <v>1800</v>
      </c>
      <c r="AE289" s="184">
        <v>1800</v>
      </c>
      <c r="AF289" s="184">
        <v>1800</v>
      </c>
      <c r="AG289" s="184">
        <v>1800</v>
      </c>
      <c r="AH289" s="184">
        <v>1800</v>
      </c>
      <c r="AI289" s="184">
        <v>1800</v>
      </c>
      <c r="AJ289" s="184">
        <v>1800</v>
      </c>
      <c r="AK289" s="184">
        <v>1800</v>
      </c>
      <c r="AL289" s="184">
        <v>1800</v>
      </c>
      <c r="AM289" s="184">
        <v>1650</v>
      </c>
      <c r="AN289" s="184">
        <v>1650</v>
      </c>
      <c r="AO289" s="184">
        <v>1650</v>
      </c>
      <c r="AP289" s="184">
        <v>1650</v>
      </c>
      <c r="AQ289" s="184"/>
      <c r="AR289" s="184"/>
      <c r="AS289" s="184"/>
      <c r="AT289" s="184"/>
      <c r="AU289" s="184"/>
      <c r="AV289" s="184"/>
      <c r="AW289" s="184"/>
      <c r="AX289" s="184"/>
      <c r="AY289" s="184"/>
      <c r="AZ289" s="184"/>
      <c r="BA289" s="184"/>
      <c r="BB289" s="184"/>
      <c r="BC289" s="184"/>
      <c r="BD289" s="184"/>
      <c r="BE289" s="184"/>
      <c r="BF289" s="184"/>
      <c r="BG289" s="184"/>
      <c r="BH289" s="184"/>
      <c r="BI289" s="184"/>
      <c r="BJ289" s="184"/>
      <c r="BK289" s="184"/>
      <c r="BL289" s="202"/>
      <c r="BM289" s="202"/>
      <c r="BN289" s="202"/>
      <c r="BO289" s="184"/>
      <c r="BP289" s="184"/>
      <c r="BQ289" s="184"/>
      <c r="BR289" s="184"/>
      <c r="BS289" s="184"/>
      <c r="BT289" s="184"/>
      <c r="BU289" s="146" cm="1">
        <f t="array" ref="BU289">LOOKUP(2,1/(Y289:BT289&lt;&gt;""),Y289:BH289)</f>
        <v>1650</v>
      </c>
      <c r="BV289" s="145" cm="1">
        <f t="array" aca="1" ref="BV289" ca="1">_xlfn.LET(
    _xlpm.last_col_idx, LOOKUP(2, 1/(Y289:BT289&lt;&gt;""), COLUMN(Y289:BT289) - COLUMN(Y289) + 1),
    _xlpm.header_val, INDEX($Y$3:$BT$3, 1, _xlpm.last_col_idx),
    _xlpm.header_date, IF(ISNUMBER(_xlpm.header_val), _xlpm.header_val, DATEVALUE(_xlpm.header_val)),
    IF(_xlpm.header_date &gt; TODAY(), TODAY(), _xlpm.header_date)
)</f>
        <v>45444</v>
      </c>
      <c r="BW289" s="209" t="e" cm="1">
        <f t="array" ref="BW289">(LOOKUP(2,1/(BH289:BT289&lt;&gt;""),BH289:BT289))/(INDEX(BH289:BT289,MATCH(TRUE,INDEX((BH289:BT289&lt;&gt;0),0),0)))-1</f>
        <v>#N/A</v>
      </c>
      <c r="BX289" s="210">
        <f t="shared" si="52"/>
        <v>1.65</v>
      </c>
      <c r="BY289" s="210">
        <f t="shared" si="53"/>
        <v>9.7349999999999994</v>
      </c>
      <c r="BZ289" s="210">
        <f ca="1">IF(L289="BR",'Impostos e Frete'!$F$6,IF(L289="EU",'Impostos e Frete'!$I$3,IF(L289="CN",'Impostos e Frete'!$I$4,IF(L289="JP",'Impostos e Frete'!$I$5,IF(L289="RU",'Impostos e Frete'!$I$7,"ERRO")))))</f>
        <v>1.1330439999999999</v>
      </c>
      <c r="CA289" s="210">
        <f>VLOOKUP(L289,'Impostos e Frete'!$A$3:$B$7,2,0)*'Preços e Condições'!BY289</f>
        <v>1.3629</v>
      </c>
      <c r="CB289" s="147">
        <f t="shared" si="54"/>
        <v>0</v>
      </c>
      <c r="CC289" s="147">
        <f>IF(X289="BRL",'Impostos e Frete'!$B$11,'Impostos e Frete'!$B$12)</f>
        <v>9.1999999999999998E-2</v>
      </c>
      <c r="CD289" s="211">
        <f t="shared" ca="1" si="55"/>
        <v>12.322944</v>
      </c>
      <c r="CE289" s="212">
        <f t="shared" ca="1" si="56"/>
        <v>0.83796019199999994</v>
      </c>
      <c r="CF289" s="213">
        <f>VLOOKUP(L289,'Impostos e Frete'!$A$3:$C$7,3,0)</f>
        <v>120</v>
      </c>
      <c r="CG289" s="213">
        <f t="shared" si="57"/>
        <v>90</v>
      </c>
      <c r="CH289" s="213">
        <f t="shared" si="58"/>
        <v>-30</v>
      </c>
      <c r="CI289" s="214">
        <f t="shared" ca="1" si="59"/>
        <v>0.18484415999999904</v>
      </c>
      <c r="CJ289" s="215">
        <f t="shared" ca="1" si="60"/>
        <v>12.507788159999999</v>
      </c>
      <c r="CK289" s="216">
        <f t="shared" ca="1" si="61"/>
        <v>0.85052959487999991</v>
      </c>
    </row>
    <row r="290" spans="1:89">
      <c r="A290" s="176">
        <v>18856</v>
      </c>
      <c r="B290" s="177">
        <v>689</v>
      </c>
      <c r="C290" s="178">
        <v>68</v>
      </c>
      <c r="D290" s="178">
        <v>1870</v>
      </c>
      <c r="E290" s="178" t="s">
        <v>50</v>
      </c>
      <c r="F290" s="179" t="s">
        <v>3</v>
      </c>
      <c r="G290" s="180" t="s">
        <v>101</v>
      </c>
      <c r="H290" s="178" t="s">
        <v>63</v>
      </c>
      <c r="I290" s="178" t="s">
        <v>102</v>
      </c>
      <c r="J290" s="178"/>
      <c r="K290" s="178"/>
      <c r="L290" s="178" t="s">
        <v>60</v>
      </c>
      <c r="M290" s="178">
        <v>90</v>
      </c>
      <c r="N290" s="178">
        <v>400</v>
      </c>
      <c r="O290" s="178"/>
      <c r="P290" s="178">
        <v>90</v>
      </c>
      <c r="Q290" s="178"/>
      <c r="R290" s="178" t="s">
        <v>19</v>
      </c>
      <c r="S290" s="181"/>
      <c r="T290" s="181"/>
      <c r="U290" s="182"/>
      <c r="V290" s="182" t="s">
        <v>35</v>
      </c>
      <c r="W290" s="183">
        <v>100</v>
      </c>
      <c r="X290" s="182" t="s">
        <v>51</v>
      </c>
      <c r="Y290" s="184"/>
      <c r="Z290" s="184"/>
      <c r="AA290" s="184"/>
      <c r="AB290" s="184">
        <v>1800</v>
      </c>
      <c r="AC290" s="184">
        <v>1800</v>
      </c>
      <c r="AD290" s="184">
        <v>1800</v>
      </c>
      <c r="AE290" s="184">
        <v>1800</v>
      </c>
      <c r="AF290" s="184">
        <v>1800</v>
      </c>
      <c r="AG290" s="184">
        <v>1800</v>
      </c>
      <c r="AH290" s="184">
        <v>1800</v>
      </c>
      <c r="AI290" s="184">
        <v>1800</v>
      </c>
      <c r="AJ290" s="184">
        <v>1800</v>
      </c>
      <c r="AK290" s="184">
        <v>1800</v>
      </c>
      <c r="AL290" s="184">
        <v>1800</v>
      </c>
      <c r="AM290" s="184"/>
      <c r="AN290" s="184"/>
      <c r="AO290" s="184"/>
      <c r="AP290" s="184"/>
      <c r="AQ290" s="184"/>
      <c r="AR290" s="184"/>
      <c r="AS290" s="184"/>
      <c r="AT290" s="184"/>
      <c r="AU290" s="184"/>
      <c r="AV290" s="184"/>
      <c r="AW290" s="184"/>
      <c r="AX290" s="184"/>
      <c r="AY290" s="184"/>
      <c r="AZ290" s="184"/>
      <c r="BA290" s="184"/>
      <c r="BB290" s="184"/>
      <c r="BC290" s="184"/>
      <c r="BD290" s="184"/>
      <c r="BE290" s="184"/>
      <c r="BF290" s="184"/>
      <c r="BG290" s="184"/>
      <c r="BH290" s="184"/>
      <c r="BI290" s="184"/>
      <c r="BJ290" s="184"/>
      <c r="BK290" s="184"/>
      <c r="BL290" s="202"/>
      <c r="BM290" s="202"/>
      <c r="BN290" s="202"/>
      <c r="BO290" s="184"/>
      <c r="BP290" s="184"/>
      <c r="BQ290" s="184"/>
      <c r="BR290" s="184"/>
      <c r="BS290" s="184"/>
      <c r="BT290" s="184"/>
      <c r="BU290" s="146" cm="1">
        <f t="array" ref="BU290">LOOKUP(2,1/(Y290:BT290&lt;&gt;""),Y290:BH290)</f>
        <v>1800</v>
      </c>
      <c r="BV290" s="145" cm="1">
        <f t="array" aca="1" ref="BV290" ca="1">_xlfn.LET(
    _xlpm.last_col_idx, LOOKUP(2, 1/(Y290:BT290&lt;&gt;""), COLUMN(Y290:BT290) - COLUMN(Y290) + 1),
    _xlpm.header_val, INDEX($Y$3:$BT$3, 1, _xlpm.last_col_idx),
    _xlpm.header_date, IF(ISNUMBER(_xlpm.header_val), _xlpm.header_val, DATEVALUE(_xlpm.header_val)),
    IF(_xlpm.header_date &gt; TODAY(), TODAY(), _xlpm.header_date)
)</f>
        <v>45323</v>
      </c>
      <c r="BW290" s="209" t="e" cm="1">
        <f t="array" ref="BW290">(LOOKUP(2,1/(BH290:BT290&lt;&gt;""),BH290:BT290))/(INDEX(BH290:BT290,MATCH(TRUE,INDEX((BH290:BT290&lt;&gt;0),0),0)))-1</f>
        <v>#N/A</v>
      </c>
      <c r="BX290" s="210">
        <f t="shared" si="52"/>
        <v>1.8</v>
      </c>
      <c r="BY290" s="210">
        <f t="shared" si="53"/>
        <v>10.620000000000001</v>
      </c>
      <c r="BZ290" s="210">
        <f ca="1">IF(L290="BR",'Impostos e Frete'!$F$6,IF(L290="EU",'Impostos e Frete'!$I$3,IF(L290="CN",'Impostos e Frete'!$I$4,IF(L290="JP",'Impostos e Frete'!$I$5,IF(L290="RU",'Impostos e Frete'!$I$7,"ERRO")))))</f>
        <v>1.1330439999999999</v>
      </c>
      <c r="CA290" s="210">
        <f>VLOOKUP(L290,'Impostos e Frete'!$A$3:$B$7,2,0)*'Preços e Condições'!BY290</f>
        <v>1.4868000000000003</v>
      </c>
      <c r="CB290" s="147">
        <f t="shared" si="54"/>
        <v>0</v>
      </c>
      <c r="CC290" s="147">
        <f>IF(X290="BRL",'Impostos e Frete'!$B$11,'Impostos e Frete'!$B$12)</f>
        <v>9.1999999999999998E-2</v>
      </c>
      <c r="CD290" s="211">
        <f t="shared" ca="1" si="55"/>
        <v>13.331844000000002</v>
      </c>
      <c r="CE290" s="212">
        <f t="shared" ca="1" si="56"/>
        <v>0.90656539200000019</v>
      </c>
      <c r="CF290" s="213">
        <f>VLOOKUP(L290,'Impostos e Frete'!$A$3:$C$7,3,0)</f>
        <v>120</v>
      </c>
      <c r="CG290" s="213">
        <f t="shared" si="57"/>
        <v>90</v>
      </c>
      <c r="CH290" s="213">
        <f t="shared" si="58"/>
        <v>-30</v>
      </c>
      <c r="CI290" s="214">
        <f t="shared" ca="1" si="59"/>
        <v>0.19997765999999828</v>
      </c>
      <c r="CJ290" s="215">
        <f t="shared" ca="1" si="60"/>
        <v>13.53182166</v>
      </c>
      <c r="CK290" s="216">
        <f t="shared" ca="1" si="61"/>
        <v>0.92016387288000001</v>
      </c>
    </row>
    <row r="291" spans="1:89">
      <c r="A291" s="176">
        <v>18857</v>
      </c>
      <c r="B291" s="177">
        <v>128</v>
      </c>
      <c r="C291" s="178">
        <v>65</v>
      </c>
      <c r="D291" s="178">
        <v>1870</v>
      </c>
      <c r="E291" s="178" t="s">
        <v>50</v>
      </c>
      <c r="F291" s="179" t="s">
        <v>3</v>
      </c>
      <c r="G291" s="180" t="s">
        <v>298</v>
      </c>
      <c r="H291" s="178" t="s">
        <v>43</v>
      </c>
      <c r="I291" s="178" t="s">
        <v>337</v>
      </c>
      <c r="J291" s="178"/>
      <c r="K291" s="178"/>
      <c r="L291" s="178" t="s">
        <v>60</v>
      </c>
      <c r="M291" s="178">
        <v>90</v>
      </c>
      <c r="N291" s="178">
        <v>3300</v>
      </c>
      <c r="O291" s="178"/>
      <c r="P291" s="178">
        <v>90</v>
      </c>
      <c r="Q291" s="178"/>
      <c r="R291" s="178" t="s">
        <v>19</v>
      </c>
      <c r="S291" s="181"/>
      <c r="T291" s="181"/>
      <c r="U291" s="182"/>
      <c r="V291" s="182" t="s">
        <v>35</v>
      </c>
      <c r="W291" s="183">
        <v>100</v>
      </c>
      <c r="X291" s="182" t="s">
        <v>267</v>
      </c>
      <c r="Y291" s="184"/>
      <c r="Z291" s="184"/>
      <c r="AA291" s="184"/>
      <c r="AB291" s="184"/>
      <c r="AC291" s="184"/>
      <c r="AD291" s="184"/>
      <c r="AE291" s="184"/>
      <c r="AF291" s="184"/>
      <c r="AG291" s="184"/>
      <c r="AH291" s="184"/>
      <c r="AI291" s="184"/>
      <c r="AJ291" s="184"/>
      <c r="AK291" s="184"/>
      <c r="AL291" s="184"/>
      <c r="AM291" s="184"/>
      <c r="AN291" s="184"/>
      <c r="AO291" s="184"/>
      <c r="AP291" s="184"/>
      <c r="AQ291" s="184"/>
      <c r="AR291" s="184"/>
      <c r="AS291" s="184"/>
      <c r="AT291" s="184"/>
      <c r="AU291" s="184"/>
      <c r="AV291" s="184"/>
      <c r="AW291" s="184"/>
      <c r="AX291" s="184"/>
      <c r="AY291" s="184"/>
      <c r="AZ291" s="184">
        <v>12100</v>
      </c>
      <c r="BA291" s="184">
        <v>12100</v>
      </c>
      <c r="BB291" s="184">
        <v>12100</v>
      </c>
      <c r="BC291" s="184"/>
      <c r="BD291" s="184"/>
      <c r="BE291" s="184"/>
      <c r="BF291" s="184"/>
      <c r="BG291" s="184"/>
      <c r="BH291" s="184"/>
      <c r="BI291" s="184"/>
      <c r="BJ291" s="184"/>
      <c r="BK291" s="184"/>
      <c r="BL291" s="202"/>
      <c r="BM291" s="202"/>
      <c r="BN291" s="202"/>
      <c r="BO291" s="184"/>
      <c r="BP291" s="184"/>
      <c r="BQ291" s="184"/>
      <c r="BR291" s="184"/>
      <c r="BS291" s="184"/>
      <c r="BT291" s="184"/>
      <c r="BU291" s="146" cm="1">
        <f t="array" ref="BU291">LOOKUP(2,1/(Y291:BT291&lt;&gt;""),Y291:BH291)</f>
        <v>12100</v>
      </c>
      <c r="BV291" s="145" cm="1">
        <f t="array" aca="1" ref="BV291" ca="1">_xlfn.LET(
    _xlpm.last_col_idx, LOOKUP(2, 1/(Y291:BT291&lt;&gt;""), COLUMN(Y291:BT291) - COLUMN(Y291) + 1),
    _xlpm.header_val, INDEX($Y$3:$BT$3, 1, _xlpm.last_col_idx),
    _xlpm.header_date, IF(ISNUMBER(_xlpm.header_val), _xlpm.header_val, DATEVALUE(_xlpm.header_val)),
    IF(_xlpm.header_date &gt; TODAY(), TODAY(), _xlpm.header_date)
)</f>
        <v>45809</v>
      </c>
      <c r="BW291" s="209" t="e" cm="1">
        <f t="array" ref="BW291">(LOOKUP(2,1/(BH291:BT291&lt;&gt;""),BH291:BT291))/(INDEX(BH291:BT291,MATCH(TRUE,INDEX((BH291:BT291&lt;&gt;0),0),0)))-1</f>
        <v>#N/A</v>
      </c>
      <c r="BX291" s="210">
        <f t="shared" si="52"/>
        <v>12.1</v>
      </c>
      <c r="BY291" s="210">
        <f t="shared" si="53"/>
        <v>9.0749999999999993</v>
      </c>
      <c r="BZ291" s="210">
        <f ca="1">IF(L291="BR",'Impostos e Frete'!$F$6,IF(L291="EU",'Impostos e Frete'!$I$3,IF(L291="CN",'Impostos e Frete'!$I$4,IF(L291="JP",'Impostos e Frete'!$I$5,IF(L291="RU",'Impostos e Frete'!$I$7,"ERRO")))))</f>
        <v>1.1330439999999999</v>
      </c>
      <c r="CA291" s="210">
        <f>VLOOKUP(L291,'Impostos e Frete'!$A$3:$B$7,2,0)*'Preços e Condições'!BY291</f>
        <v>1.2705</v>
      </c>
      <c r="CB291" s="147">
        <f t="shared" si="54"/>
        <v>0</v>
      </c>
      <c r="CC291" s="147">
        <f>IF(X291="BRL",'Impostos e Frete'!$B$11,'Impostos e Frete'!$B$12)</f>
        <v>9.1999999999999998E-2</v>
      </c>
      <c r="CD291" s="211">
        <f t="shared" ca="1" si="55"/>
        <v>11.570544</v>
      </c>
      <c r="CE291" s="212">
        <f t="shared" ca="1" si="56"/>
        <v>0.75208536000000004</v>
      </c>
      <c r="CF291" s="213">
        <f>VLOOKUP(L291,'Impostos e Frete'!$A$3:$C$7,3,0)</f>
        <v>120</v>
      </c>
      <c r="CG291" s="213">
        <f t="shared" si="57"/>
        <v>90</v>
      </c>
      <c r="CH291" s="213">
        <f t="shared" si="58"/>
        <v>-30</v>
      </c>
      <c r="CI291" s="214">
        <f t="shared" ca="1" si="59"/>
        <v>0.17355815999999891</v>
      </c>
      <c r="CJ291" s="215">
        <f t="shared" ca="1" si="60"/>
        <v>11.744102159999999</v>
      </c>
      <c r="CK291" s="216">
        <f t="shared" ca="1" si="61"/>
        <v>0.76336664039999991</v>
      </c>
    </row>
    <row r="292" spans="1:89">
      <c r="A292" s="176">
        <v>18857</v>
      </c>
      <c r="B292" s="177">
        <v>128</v>
      </c>
      <c r="C292" s="178">
        <v>65</v>
      </c>
      <c r="D292" s="178">
        <v>1870</v>
      </c>
      <c r="E292" s="178" t="s">
        <v>50</v>
      </c>
      <c r="F292" s="179" t="s">
        <v>3</v>
      </c>
      <c r="G292" s="180" t="s">
        <v>298</v>
      </c>
      <c r="H292" s="178" t="s">
        <v>43</v>
      </c>
      <c r="I292" s="178" t="s">
        <v>337</v>
      </c>
      <c r="J292" s="178"/>
      <c r="K292" s="178"/>
      <c r="L292" s="178" t="s">
        <v>60</v>
      </c>
      <c r="M292" s="178">
        <v>90</v>
      </c>
      <c r="N292" s="178">
        <v>400</v>
      </c>
      <c r="O292" s="178"/>
      <c r="P292" s="178">
        <v>90</v>
      </c>
      <c r="Q292" s="178"/>
      <c r="R292" s="178" t="s">
        <v>19</v>
      </c>
      <c r="S292" s="181"/>
      <c r="T292" s="181"/>
      <c r="U292" s="182"/>
      <c r="V292" s="182" t="s">
        <v>35</v>
      </c>
      <c r="W292" s="183">
        <v>100</v>
      </c>
      <c r="X292" s="182" t="s">
        <v>51</v>
      </c>
      <c r="Y292" s="184"/>
      <c r="Z292" s="184"/>
      <c r="AA292" s="184"/>
      <c r="AB292" s="184">
        <v>1750</v>
      </c>
      <c r="AC292" s="184">
        <v>1750</v>
      </c>
      <c r="AD292" s="184">
        <v>1750</v>
      </c>
      <c r="AE292" s="184">
        <v>1750</v>
      </c>
      <c r="AF292" s="184">
        <v>1750</v>
      </c>
      <c r="AG292" s="184">
        <v>1750</v>
      </c>
      <c r="AH292" s="184">
        <v>1750</v>
      </c>
      <c r="AI292" s="184">
        <v>1750</v>
      </c>
      <c r="AJ292" s="184">
        <v>1750</v>
      </c>
      <c r="AK292" s="184">
        <v>1750</v>
      </c>
      <c r="AL292" s="184">
        <v>1750</v>
      </c>
      <c r="AM292" s="184">
        <v>1600</v>
      </c>
      <c r="AN292" s="184">
        <v>1600</v>
      </c>
      <c r="AO292" s="184">
        <v>1600</v>
      </c>
      <c r="AP292" s="184">
        <v>1600</v>
      </c>
      <c r="AQ292" s="184"/>
      <c r="AR292" s="184"/>
      <c r="AS292" s="184"/>
      <c r="AT292" s="184"/>
      <c r="AU292" s="184"/>
      <c r="AV292" s="184"/>
      <c r="AW292" s="184"/>
      <c r="AX292" s="184"/>
      <c r="AY292" s="184"/>
      <c r="AZ292" s="184"/>
      <c r="BA292" s="184"/>
      <c r="BB292" s="184"/>
      <c r="BC292" s="184"/>
      <c r="BD292" s="184"/>
      <c r="BE292" s="184"/>
      <c r="BF292" s="184"/>
      <c r="BG292" s="184"/>
      <c r="BH292" s="184"/>
      <c r="BI292" s="184"/>
      <c r="BJ292" s="184"/>
      <c r="BK292" s="184"/>
      <c r="BL292" s="202"/>
      <c r="BM292" s="202"/>
      <c r="BN292" s="202"/>
      <c r="BO292" s="184"/>
      <c r="BP292" s="184"/>
      <c r="BQ292" s="184"/>
      <c r="BR292" s="184"/>
      <c r="BS292" s="184"/>
      <c r="BT292" s="184"/>
      <c r="BU292" s="146" cm="1">
        <f t="array" ref="BU292">LOOKUP(2,1/(Y292:BT292&lt;&gt;""),Y292:BH292)</f>
        <v>1600</v>
      </c>
      <c r="BV292" s="145" cm="1">
        <f t="array" aca="1" ref="BV292" ca="1">_xlfn.LET(
    _xlpm.last_col_idx, LOOKUP(2, 1/(Y292:BT292&lt;&gt;""), COLUMN(Y292:BT292) - COLUMN(Y292) + 1),
    _xlpm.header_val, INDEX($Y$3:$BT$3, 1, _xlpm.last_col_idx),
    _xlpm.header_date, IF(ISNUMBER(_xlpm.header_val), _xlpm.header_val, DATEVALUE(_xlpm.header_val)),
    IF(_xlpm.header_date &gt; TODAY(), TODAY(), _xlpm.header_date)
)</f>
        <v>45444</v>
      </c>
      <c r="BW292" s="209" t="e" cm="1">
        <f t="array" ref="BW292">(LOOKUP(2,1/(BH292:BT292&lt;&gt;""),BH292:BT292))/(INDEX(BH292:BT292,MATCH(TRUE,INDEX((BH292:BT292&lt;&gt;0),0),0)))-1</f>
        <v>#N/A</v>
      </c>
      <c r="BX292" s="210">
        <f t="shared" si="52"/>
        <v>1.6</v>
      </c>
      <c r="BY292" s="210">
        <f t="shared" si="53"/>
        <v>9.4400000000000013</v>
      </c>
      <c r="BZ292" s="210">
        <f ca="1">IF(L292="BR",'Impostos e Frete'!$F$6,IF(L292="EU",'Impostos e Frete'!$I$3,IF(L292="CN",'Impostos e Frete'!$I$4,IF(L292="JP",'Impostos e Frete'!$I$5,IF(L292="RU",'Impostos e Frete'!$I$7,"ERRO")))))</f>
        <v>1.1330439999999999</v>
      </c>
      <c r="CA292" s="210">
        <f>VLOOKUP(L292,'Impostos e Frete'!$A$3:$B$7,2,0)*'Preços e Condições'!BY292</f>
        <v>1.3216000000000003</v>
      </c>
      <c r="CB292" s="147">
        <f t="shared" si="54"/>
        <v>0</v>
      </c>
      <c r="CC292" s="147">
        <f>IF(X292="BRL",'Impostos e Frete'!$B$11,'Impostos e Frete'!$B$12)</f>
        <v>9.1999999999999998E-2</v>
      </c>
      <c r="CD292" s="211">
        <f t="shared" ca="1" si="55"/>
        <v>11.986644000000002</v>
      </c>
      <c r="CE292" s="212">
        <f t="shared" ca="1" si="56"/>
        <v>0.77913186000000012</v>
      </c>
      <c r="CF292" s="213">
        <f>VLOOKUP(L292,'Impostos e Frete'!$A$3:$C$7,3,0)</f>
        <v>120</v>
      </c>
      <c r="CG292" s="213">
        <f t="shared" si="57"/>
        <v>90</v>
      </c>
      <c r="CH292" s="213">
        <f t="shared" si="58"/>
        <v>-30</v>
      </c>
      <c r="CI292" s="214">
        <f t="shared" ca="1" si="59"/>
        <v>0.1797996599999987</v>
      </c>
      <c r="CJ292" s="215">
        <f t="shared" ca="1" si="60"/>
        <v>12.166443660000001</v>
      </c>
      <c r="CK292" s="216">
        <f t="shared" ca="1" si="61"/>
        <v>0.79081883789999996</v>
      </c>
    </row>
    <row r="293" spans="1:89">
      <c r="A293" s="176">
        <v>18858</v>
      </c>
      <c r="B293" s="177">
        <v>301</v>
      </c>
      <c r="C293" s="178">
        <v>65</v>
      </c>
      <c r="D293" s="178">
        <v>1870</v>
      </c>
      <c r="E293" s="178" t="s">
        <v>50</v>
      </c>
      <c r="F293" s="179" t="s">
        <v>3</v>
      </c>
      <c r="G293" s="180" t="s">
        <v>104</v>
      </c>
      <c r="H293" s="178" t="s">
        <v>345</v>
      </c>
      <c r="I293" s="178" t="s">
        <v>103</v>
      </c>
      <c r="J293" s="178"/>
      <c r="K293" s="178"/>
      <c r="L293" s="178" t="s">
        <v>60</v>
      </c>
      <c r="M293" s="178">
        <v>90</v>
      </c>
      <c r="N293" s="178">
        <v>3300</v>
      </c>
      <c r="O293" s="178"/>
      <c r="P293" s="178">
        <v>90</v>
      </c>
      <c r="Q293" s="178"/>
      <c r="R293" s="178" t="s">
        <v>19</v>
      </c>
      <c r="S293" s="181"/>
      <c r="T293" s="181"/>
      <c r="U293" s="182"/>
      <c r="V293" s="182" t="s">
        <v>35</v>
      </c>
      <c r="W293" s="183">
        <v>100</v>
      </c>
      <c r="X293" s="182" t="s">
        <v>267</v>
      </c>
      <c r="Y293" s="184"/>
      <c r="Z293" s="184"/>
      <c r="AA293" s="184"/>
      <c r="AB293" s="184"/>
      <c r="AC293" s="184"/>
      <c r="AD293" s="184"/>
      <c r="AE293" s="184"/>
      <c r="AF293" s="184"/>
      <c r="AG293" s="184"/>
      <c r="AH293" s="184"/>
      <c r="AI293" s="184"/>
      <c r="AJ293" s="184"/>
      <c r="AK293" s="184"/>
      <c r="AL293" s="184"/>
      <c r="AM293" s="184"/>
      <c r="AN293" s="184"/>
      <c r="AO293" s="184"/>
      <c r="AP293" s="184"/>
      <c r="AQ293" s="184"/>
      <c r="AR293" s="184"/>
      <c r="AS293" s="184"/>
      <c r="AT293" s="184"/>
      <c r="AU293" s="184"/>
      <c r="AV293" s="184"/>
      <c r="AW293" s="184"/>
      <c r="AX293" s="184"/>
      <c r="AY293" s="184"/>
      <c r="AZ293" s="184">
        <v>13650</v>
      </c>
      <c r="BA293" s="184">
        <v>13650</v>
      </c>
      <c r="BB293" s="184">
        <v>13650</v>
      </c>
      <c r="BC293" s="184"/>
      <c r="BD293" s="184"/>
      <c r="BE293" s="184"/>
      <c r="BF293" s="184"/>
      <c r="BG293" s="184"/>
      <c r="BH293" s="184"/>
      <c r="BI293" s="184"/>
      <c r="BJ293" s="184"/>
      <c r="BK293" s="184"/>
      <c r="BL293" s="202"/>
      <c r="BM293" s="202"/>
      <c r="BN293" s="202"/>
      <c r="BO293" s="184"/>
      <c r="BP293" s="184"/>
      <c r="BQ293" s="184"/>
      <c r="BR293" s="184"/>
      <c r="BS293" s="184"/>
      <c r="BT293" s="184"/>
      <c r="BU293" s="146" cm="1">
        <f t="array" ref="BU293">LOOKUP(2,1/(Y293:BT293&lt;&gt;""),Y293:BH293)</f>
        <v>13650</v>
      </c>
      <c r="BV293" s="145" cm="1">
        <f t="array" aca="1" ref="BV293" ca="1">_xlfn.LET(
    _xlpm.last_col_idx, LOOKUP(2, 1/(Y293:BT293&lt;&gt;""), COLUMN(Y293:BT293) - COLUMN(Y293) + 1),
    _xlpm.header_val, INDEX($Y$3:$BT$3, 1, _xlpm.last_col_idx),
    _xlpm.header_date, IF(ISNUMBER(_xlpm.header_val), _xlpm.header_val, DATEVALUE(_xlpm.header_val)),
    IF(_xlpm.header_date &gt; TODAY(), TODAY(), _xlpm.header_date)
)</f>
        <v>45809</v>
      </c>
      <c r="BW293" s="209" t="e" cm="1">
        <f t="array" ref="BW293">(LOOKUP(2,1/(BH293:BT293&lt;&gt;""),BH293:BT293))/(INDEX(BH293:BT293,MATCH(TRUE,INDEX((BH293:BT293&lt;&gt;0),0),0)))-1</f>
        <v>#N/A</v>
      </c>
      <c r="BX293" s="210">
        <f t="shared" si="52"/>
        <v>13.65</v>
      </c>
      <c r="BY293" s="210">
        <f t="shared" si="53"/>
        <v>10.237500000000001</v>
      </c>
      <c r="BZ293" s="210">
        <f ca="1">IF(L293="BR",'Impostos e Frete'!$F$6,IF(L293="EU",'Impostos e Frete'!$I$3,IF(L293="CN",'Impostos e Frete'!$I$4,IF(L293="JP",'Impostos e Frete'!$I$5,IF(L293="RU",'Impostos e Frete'!$I$7,"ERRO")))))</f>
        <v>1.1330439999999999</v>
      </c>
      <c r="CA293" s="210">
        <f>VLOOKUP(L293,'Impostos e Frete'!$A$3:$B$7,2,0)*'Preços e Condições'!BY293</f>
        <v>1.4332500000000001</v>
      </c>
      <c r="CB293" s="147">
        <f t="shared" si="54"/>
        <v>0</v>
      </c>
      <c r="CC293" s="147">
        <f>IF(X293="BRL",'Impostos e Frete'!$B$11,'Impostos e Frete'!$B$12)</f>
        <v>9.1999999999999998E-2</v>
      </c>
      <c r="CD293" s="211">
        <f t="shared" ca="1" si="55"/>
        <v>12.895794</v>
      </c>
      <c r="CE293" s="212">
        <f t="shared" ca="1" si="56"/>
        <v>0.83822660999999998</v>
      </c>
      <c r="CF293" s="213">
        <f>VLOOKUP(L293,'Impostos e Frete'!$A$3:$C$7,3,0)</f>
        <v>120</v>
      </c>
      <c r="CG293" s="213">
        <f t="shared" si="57"/>
        <v>90</v>
      </c>
      <c r="CH293" s="213">
        <f t="shared" si="58"/>
        <v>-30</v>
      </c>
      <c r="CI293" s="214">
        <f t="shared" ca="1" si="59"/>
        <v>0.19343690999999907</v>
      </c>
      <c r="CJ293" s="215">
        <f t="shared" ca="1" si="60"/>
        <v>13.089230909999999</v>
      </c>
      <c r="CK293" s="216">
        <f t="shared" ca="1" si="61"/>
        <v>0.85080000914999998</v>
      </c>
    </row>
    <row r="294" spans="1:89">
      <c r="A294" s="176">
        <v>18858</v>
      </c>
      <c r="B294" s="177">
        <v>301</v>
      </c>
      <c r="C294" s="178">
        <v>65</v>
      </c>
      <c r="D294" s="178">
        <v>1870</v>
      </c>
      <c r="E294" s="178" t="s">
        <v>50</v>
      </c>
      <c r="F294" s="179" t="s">
        <v>3</v>
      </c>
      <c r="G294" s="180" t="s">
        <v>104</v>
      </c>
      <c r="H294" s="178" t="s">
        <v>345</v>
      </c>
      <c r="I294" s="178" t="s">
        <v>103</v>
      </c>
      <c r="J294" s="178"/>
      <c r="K294" s="178"/>
      <c r="L294" s="178" t="s">
        <v>60</v>
      </c>
      <c r="M294" s="178">
        <v>90</v>
      </c>
      <c r="N294" s="178">
        <v>400</v>
      </c>
      <c r="O294" s="178"/>
      <c r="P294" s="178">
        <v>90</v>
      </c>
      <c r="Q294" s="178"/>
      <c r="R294" s="178" t="s">
        <v>19</v>
      </c>
      <c r="S294" s="181"/>
      <c r="T294" s="181"/>
      <c r="U294" s="182"/>
      <c r="V294" s="182" t="s">
        <v>35</v>
      </c>
      <c r="W294" s="183">
        <v>100</v>
      </c>
      <c r="X294" s="182" t="s">
        <v>51</v>
      </c>
      <c r="Y294" s="184"/>
      <c r="Z294" s="184"/>
      <c r="AA294" s="184"/>
      <c r="AB294" s="184">
        <v>1800</v>
      </c>
      <c r="AC294" s="184">
        <v>1800</v>
      </c>
      <c r="AD294" s="184">
        <v>1800</v>
      </c>
      <c r="AE294" s="184">
        <v>1800</v>
      </c>
      <c r="AF294" s="184">
        <v>1800</v>
      </c>
      <c r="AG294" s="184">
        <v>1800</v>
      </c>
      <c r="AH294" s="184">
        <v>1800</v>
      </c>
      <c r="AI294" s="184">
        <v>1800</v>
      </c>
      <c r="AJ294" s="184">
        <v>1800</v>
      </c>
      <c r="AK294" s="184">
        <v>1800</v>
      </c>
      <c r="AL294" s="184">
        <v>1800</v>
      </c>
      <c r="AM294" s="184"/>
      <c r="AN294" s="184"/>
      <c r="AO294" s="184"/>
      <c r="AP294" s="184"/>
      <c r="AQ294" s="184"/>
      <c r="AR294" s="184"/>
      <c r="AS294" s="184"/>
      <c r="AT294" s="184"/>
      <c r="AU294" s="184"/>
      <c r="AV294" s="184"/>
      <c r="AW294" s="184"/>
      <c r="AX294" s="184"/>
      <c r="AY294" s="184"/>
      <c r="AZ294" s="184"/>
      <c r="BA294" s="184"/>
      <c r="BB294" s="184"/>
      <c r="BC294" s="184"/>
      <c r="BD294" s="184"/>
      <c r="BE294" s="184"/>
      <c r="BF294" s="184"/>
      <c r="BG294" s="184"/>
      <c r="BH294" s="184"/>
      <c r="BI294" s="184"/>
      <c r="BJ294" s="184"/>
      <c r="BK294" s="184"/>
      <c r="BL294" s="202"/>
      <c r="BM294" s="202"/>
      <c r="BN294" s="202"/>
      <c r="BO294" s="184"/>
      <c r="BP294" s="184"/>
      <c r="BQ294" s="184"/>
      <c r="BR294" s="184"/>
      <c r="BS294" s="184"/>
      <c r="BT294" s="184"/>
      <c r="BU294" s="146" cm="1">
        <f t="array" ref="BU294">LOOKUP(2,1/(Y294:BT294&lt;&gt;""),Y294:BH294)</f>
        <v>1800</v>
      </c>
      <c r="BV294" s="145" cm="1">
        <f t="array" aca="1" ref="BV294" ca="1">_xlfn.LET(
    _xlpm.last_col_idx, LOOKUP(2, 1/(Y294:BT294&lt;&gt;""), COLUMN(Y294:BT294) - COLUMN(Y294) + 1),
    _xlpm.header_val, INDEX($Y$3:$BT$3, 1, _xlpm.last_col_idx),
    _xlpm.header_date, IF(ISNUMBER(_xlpm.header_val), _xlpm.header_val, DATEVALUE(_xlpm.header_val)),
    IF(_xlpm.header_date &gt; TODAY(), TODAY(), _xlpm.header_date)
)</f>
        <v>45323</v>
      </c>
      <c r="BW294" s="209" t="e" cm="1">
        <f t="array" ref="BW294">(LOOKUP(2,1/(BH294:BT294&lt;&gt;""),BH294:BT294))/(INDEX(BH294:BT294,MATCH(TRUE,INDEX((BH294:BT294&lt;&gt;0),0),0)))-1</f>
        <v>#N/A</v>
      </c>
      <c r="BX294" s="210">
        <f t="shared" si="52"/>
        <v>1.8</v>
      </c>
      <c r="BY294" s="210">
        <f t="shared" si="53"/>
        <v>10.620000000000001</v>
      </c>
      <c r="BZ294" s="210">
        <f ca="1">IF(L294="BR",'Impostos e Frete'!$F$6,IF(L294="EU",'Impostos e Frete'!$I$3,IF(L294="CN",'Impostos e Frete'!$I$4,IF(L294="JP",'Impostos e Frete'!$I$5,IF(L294="RU",'Impostos e Frete'!$I$7,"ERRO")))))</f>
        <v>1.1330439999999999</v>
      </c>
      <c r="CA294" s="210">
        <f>VLOOKUP(L294,'Impostos e Frete'!$A$3:$B$7,2,0)*'Preços e Condições'!BY294</f>
        <v>1.4868000000000003</v>
      </c>
      <c r="CB294" s="147">
        <f t="shared" si="54"/>
        <v>0</v>
      </c>
      <c r="CC294" s="147">
        <f>IF(X294="BRL",'Impostos e Frete'!$B$11,'Impostos e Frete'!$B$12)</f>
        <v>9.1999999999999998E-2</v>
      </c>
      <c r="CD294" s="211">
        <f t="shared" ca="1" si="55"/>
        <v>13.331844000000002</v>
      </c>
      <c r="CE294" s="212">
        <f t="shared" ca="1" si="56"/>
        <v>0.86656986000000014</v>
      </c>
      <c r="CF294" s="213">
        <f>VLOOKUP(L294,'Impostos e Frete'!$A$3:$C$7,3,0)</f>
        <v>120</v>
      </c>
      <c r="CG294" s="213">
        <f t="shared" si="57"/>
        <v>90</v>
      </c>
      <c r="CH294" s="213">
        <f t="shared" si="58"/>
        <v>-30</v>
      </c>
      <c r="CI294" s="214">
        <f t="shared" ca="1" si="59"/>
        <v>0.19997765999999828</v>
      </c>
      <c r="CJ294" s="215">
        <f t="shared" ca="1" si="60"/>
        <v>13.53182166</v>
      </c>
      <c r="CK294" s="216">
        <f t="shared" ca="1" si="61"/>
        <v>0.87956840790000002</v>
      </c>
    </row>
    <row r="295" spans="1:89">
      <c r="A295" s="176">
        <v>18860</v>
      </c>
      <c r="B295" s="177">
        <v>689</v>
      </c>
      <c r="C295" s="178">
        <v>68</v>
      </c>
      <c r="D295" s="178">
        <v>1270</v>
      </c>
      <c r="E295" s="178" t="s">
        <v>50</v>
      </c>
      <c r="F295" s="179" t="s">
        <v>3</v>
      </c>
      <c r="G295" s="180" t="s">
        <v>101</v>
      </c>
      <c r="H295" s="178" t="s">
        <v>63</v>
      </c>
      <c r="I295" s="178" t="s">
        <v>102</v>
      </c>
      <c r="J295" s="178"/>
      <c r="K295" s="178"/>
      <c r="L295" s="178" t="s">
        <v>60</v>
      </c>
      <c r="M295" s="178">
        <v>90</v>
      </c>
      <c r="N295" s="178">
        <v>3300</v>
      </c>
      <c r="O295" s="178"/>
      <c r="P295" s="178">
        <v>90</v>
      </c>
      <c r="Q295" s="178"/>
      <c r="R295" s="178" t="s">
        <v>19</v>
      </c>
      <c r="S295" s="181"/>
      <c r="T295" s="181"/>
      <c r="U295" s="182"/>
      <c r="V295" s="182" t="s">
        <v>35</v>
      </c>
      <c r="W295" s="183">
        <v>100</v>
      </c>
      <c r="X295" s="182" t="s">
        <v>267</v>
      </c>
      <c r="Y295" s="184"/>
      <c r="Z295" s="184"/>
      <c r="AA295" s="184"/>
      <c r="AB295" s="184"/>
      <c r="AC295" s="184"/>
      <c r="AD295" s="184"/>
      <c r="AE295" s="184"/>
      <c r="AF295" s="184"/>
      <c r="AG295" s="184"/>
      <c r="AH295" s="184"/>
      <c r="AI295" s="184"/>
      <c r="AJ295" s="184"/>
      <c r="AK295" s="184"/>
      <c r="AL295" s="184"/>
      <c r="AM295" s="184"/>
      <c r="AN295" s="184"/>
      <c r="AO295" s="184"/>
      <c r="AP295" s="184"/>
      <c r="AQ295" s="184"/>
      <c r="AR295" s="184"/>
      <c r="AS295" s="184"/>
      <c r="AT295" s="184"/>
      <c r="AU295" s="184"/>
      <c r="AV295" s="184"/>
      <c r="AW295" s="184"/>
      <c r="AX295" s="184"/>
      <c r="AY295" s="184"/>
      <c r="AZ295" s="184">
        <v>12600</v>
      </c>
      <c r="BA295" s="184">
        <v>12600</v>
      </c>
      <c r="BB295" s="184">
        <v>12600</v>
      </c>
      <c r="BC295" s="184">
        <v>12600</v>
      </c>
      <c r="BD295" s="184">
        <v>12600</v>
      </c>
      <c r="BE295" s="184">
        <v>12600</v>
      </c>
      <c r="BF295" s="184">
        <v>12600</v>
      </c>
      <c r="BG295" s="184">
        <v>12000</v>
      </c>
      <c r="BH295" s="184">
        <v>12000</v>
      </c>
      <c r="BI295" s="184">
        <v>12000</v>
      </c>
      <c r="BJ295" s="184"/>
      <c r="BK295" s="184"/>
      <c r="BL295" s="202"/>
      <c r="BM295" s="202"/>
      <c r="BN295" s="202"/>
      <c r="BO295" s="184"/>
      <c r="BP295" s="184"/>
      <c r="BQ295" s="184"/>
      <c r="BR295" s="184"/>
      <c r="BS295" s="184"/>
      <c r="BT295" s="184"/>
      <c r="BU295" s="146" cm="1">
        <f t="array" ref="BU295">LOOKUP(2,1/(Y295:BT295&lt;&gt;""),Y295:BH295)</f>
        <v>12000</v>
      </c>
      <c r="BV295" s="145" cm="1">
        <f t="array" aca="1" ref="BV295" ca="1">_xlfn.LET(
    _xlpm.last_col_idx, LOOKUP(2, 1/(Y295:BT295&lt;&gt;""), COLUMN(Y295:BT295) - COLUMN(Y295) + 1),
    _xlpm.header_val, INDEX($Y$3:$BT$3, 1, _xlpm.last_col_idx),
    _xlpm.header_date, IF(ISNUMBER(_xlpm.header_val), _xlpm.header_val, DATEVALUE(_xlpm.header_val)),
    IF(_xlpm.header_date &gt; TODAY(), TODAY(), _xlpm.header_date)
)</f>
        <v>46023</v>
      </c>
      <c r="BW295" s="209" cm="1">
        <f t="array" ref="BW295">(LOOKUP(2,1/(BH295:BT295&lt;&gt;""),BH295:BT295))/(INDEX(BH295:BT295,MATCH(TRUE,INDEX((BH295:BT295&lt;&gt;0),0),0)))-1</f>
        <v>0</v>
      </c>
      <c r="BX295" s="210">
        <f t="shared" si="52"/>
        <v>12</v>
      </c>
      <c r="BY295" s="210">
        <f t="shared" si="53"/>
        <v>9</v>
      </c>
      <c r="BZ295" s="210">
        <f ca="1">IF(L295="BR",'Impostos e Frete'!$F$6,IF(L295="EU",'Impostos e Frete'!$I$3,IF(L295="CN",'Impostos e Frete'!$I$4,IF(L295="JP",'Impostos e Frete'!$I$5,IF(L295="RU",'Impostos e Frete'!$I$7,"ERRO")))))</f>
        <v>1.1330439999999999</v>
      </c>
      <c r="CA295" s="210">
        <f>VLOOKUP(L295,'Impostos e Frete'!$A$3:$B$7,2,0)*'Preços e Condições'!BY295</f>
        <v>1.2600000000000002</v>
      </c>
      <c r="CB295" s="147">
        <f t="shared" si="54"/>
        <v>0</v>
      </c>
      <c r="CC295" s="147">
        <f>IF(X295="BRL",'Impostos e Frete'!$B$11,'Impostos e Frete'!$B$12)</f>
        <v>9.1999999999999998E-2</v>
      </c>
      <c r="CD295" s="211">
        <f t="shared" ca="1" si="55"/>
        <v>11.485044</v>
      </c>
      <c r="CE295" s="212">
        <f t="shared" ca="1" si="56"/>
        <v>0.78098299199999999</v>
      </c>
      <c r="CF295" s="213">
        <f>VLOOKUP(L295,'Impostos e Frete'!$A$3:$C$7,3,0)</f>
        <v>120</v>
      </c>
      <c r="CG295" s="213">
        <f t="shared" si="57"/>
        <v>90</v>
      </c>
      <c r="CH295" s="213">
        <f t="shared" si="58"/>
        <v>-30</v>
      </c>
      <c r="CI295" s="214">
        <f t="shared" ca="1" si="59"/>
        <v>0.17227565999999861</v>
      </c>
      <c r="CJ295" s="215">
        <f t="shared" ca="1" si="60"/>
        <v>11.657319659999999</v>
      </c>
      <c r="CK295" s="216">
        <f t="shared" ca="1" si="61"/>
        <v>0.79269773687999989</v>
      </c>
    </row>
    <row r="296" spans="1:89">
      <c r="A296" s="176">
        <v>18860</v>
      </c>
      <c r="B296" s="177">
        <v>689</v>
      </c>
      <c r="C296" s="178">
        <v>68</v>
      </c>
      <c r="D296" s="178">
        <v>1270</v>
      </c>
      <c r="E296" s="178" t="s">
        <v>50</v>
      </c>
      <c r="F296" s="179" t="s">
        <v>3</v>
      </c>
      <c r="G296" s="180" t="s">
        <v>101</v>
      </c>
      <c r="H296" s="178" t="s">
        <v>63</v>
      </c>
      <c r="I296" s="178" t="s">
        <v>102</v>
      </c>
      <c r="J296" s="178"/>
      <c r="K296" s="178"/>
      <c r="L296" s="178" t="s">
        <v>60</v>
      </c>
      <c r="M296" s="178">
        <v>90</v>
      </c>
      <c r="N296" s="178">
        <v>400</v>
      </c>
      <c r="O296" s="178"/>
      <c r="P296" s="178">
        <v>90</v>
      </c>
      <c r="Q296" s="178"/>
      <c r="R296" s="178" t="s">
        <v>19</v>
      </c>
      <c r="S296" s="181"/>
      <c r="T296" s="181"/>
      <c r="U296" s="182"/>
      <c r="V296" s="182" t="s">
        <v>35</v>
      </c>
      <c r="W296" s="183">
        <v>100</v>
      </c>
      <c r="X296" s="182" t="s">
        <v>51</v>
      </c>
      <c r="Y296" s="184"/>
      <c r="Z296" s="184"/>
      <c r="AA296" s="184"/>
      <c r="AB296" s="184"/>
      <c r="AC296" s="184"/>
      <c r="AD296" s="184"/>
      <c r="AE296" s="184"/>
      <c r="AF296" s="184"/>
      <c r="AG296" s="184"/>
      <c r="AH296" s="184"/>
      <c r="AI296" s="184"/>
      <c r="AJ296" s="184"/>
      <c r="AK296" s="184">
        <v>1800</v>
      </c>
      <c r="AL296" s="184">
        <v>1800</v>
      </c>
      <c r="AM296" s="184">
        <v>1650</v>
      </c>
      <c r="AN296" s="184">
        <v>1650</v>
      </c>
      <c r="AO296" s="184">
        <v>1650</v>
      </c>
      <c r="AP296" s="184">
        <v>1650</v>
      </c>
      <c r="AQ296" s="184"/>
      <c r="AR296" s="184"/>
      <c r="AS296" s="184"/>
      <c r="AT296" s="184"/>
      <c r="AU296" s="184"/>
      <c r="AV296" s="184"/>
      <c r="AW296" s="184"/>
      <c r="AX296" s="184"/>
      <c r="AY296" s="184"/>
      <c r="AZ296" s="184"/>
      <c r="BA296" s="184"/>
      <c r="BB296" s="184"/>
      <c r="BC296" s="184"/>
      <c r="BD296" s="184"/>
      <c r="BE296" s="184"/>
      <c r="BF296" s="184"/>
      <c r="BG296" s="184"/>
      <c r="BH296" s="184"/>
      <c r="BI296" s="184"/>
      <c r="BJ296" s="184"/>
      <c r="BK296" s="184"/>
      <c r="BL296" s="202"/>
      <c r="BM296" s="202"/>
      <c r="BN296" s="202"/>
      <c r="BO296" s="184"/>
      <c r="BP296" s="184"/>
      <c r="BQ296" s="184"/>
      <c r="BR296" s="184"/>
      <c r="BS296" s="184"/>
      <c r="BT296" s="184"/>
      <c r="BU296" s="146" cm="1">
        <f t="array" ref="BU296">LOOKUP(2,1/(Y296:BT296&lt;&gt;""),Y296:BH296)</f>
        <v>1650</v>
      </c>
      <c r="BV296" s="145" cm="1">
        <f t="array" aca="1" ref="BV296" ca="1">_xlfn.LET(
    _xlpm.last_col_idx, LOOKUP(2, 1/(Y296:BT296&lt;&gt;""), COLUMN(Y296:BT296) - COLUMN(Y296) + 1),
    _xlpm.header_val, INDEX($Y$3:$BT$3, 1, _xlpm.last_col_idx),
    _xlpm.header_date, IF(ISNUMBER(_xlpm.header_val), _xlpm.header_val, DATEVALUE(_xlpm.header_val)),
    IF(_xlpm.header_date &gt; TODAY(), TODAY(), _xlpm.header_date)
)</f>
        <v>45444</v>
      </c>
      <c r="BW296" s="209" t="e" cm="1">
        <f t="array" ref="BW296">(LOOKUP(2,1/(BH296:BT296&lt;&gt;""),BH296:BT296))/(INDEX(BH296:BT296,MATCH(TRUE,INDEX((BH296:BT296&lt;&gt;0),0),0)))-1</f>
        <v>#N/A</v>
      </c>
      <c r="BX296" s="210">
        <f t="shared" si="52"/>
        <v>1.65</v>
      </c>
      <c r="BY296" s="210">
        <f t="shared" si="53"/>
        <v>9.7349999999999994</v>
      </c>
      <c r="BZ296" s="210">
        <f ca="1">IF(L296="BR",'Impostos e Frete'!$F$6,IF(L296="EU",'Impostos e Frete'!$I$3,IF(L296="CN",'Impostos e Frete'!$I$4,IF(L296="JP",'Impostos e Frete'!$I$5,IF(L296="RU",'Impostos e Frete'!$I$7,"ERRO")))))</f>
        <v>1.1330439999999999</v>
      </c>
      <c r="CA296" s="210">
        <f>VLOOKUP(L296,'Impostos e Frete'!$A$3:$B$7,2,0)*'Preços e Condições'!BY296</f>
        <v>1.3629</v>
      </c>
      <c r="CB296" s="147">
        <f t="shared" si="54"/>
        <v>0</v>
      </c>
      <c r="CC296" s="147">
        <f>IF(X296="BRL",'Impostos e Frete'!$B$11,'Impostos e Frete'!$B$12)</f>
        <v>9.1999999999999998E-2</v>
      </c>
      <c r="CD296" s="211">
        <f t="shared" ca="1" si="55"/>
        <v>12.322944</v>
      </c>
      <c r="CE296" s="212">
        <f t="shared" ca="1" si="56"/>
        <v>0.83796019199999994</v>
      </c>
      <c r="CF296" s="213">
        <f>VLOOKUP(L296,'Impostos e Frete'!$A$3:$C$7,3,0)</f>
        <v>120</v>
      </c>
      <c r="CG296" s="213">
        <f t="shared" si="57"/>
        <v>90</v>
      </c>
      <c r="CH296" s="213">
        <f t="shared" si="58"/>
        <v>-30</v>
      </c>
      <c r="CI296" s="214">
        <f t="shared" ca="1" si="59"/>
        <v>0.18484415999999904</v>
      </c>
      <c r="CJ296" s="215">
        <f t="shared" ca="1" si="60"/>
        <v>12.507788159999999</v>
      </c>
      <c r="CK296" s="216">
        <f t="shared" ca="1" si="61"/>
        <v>0.85052959487999991</v>
      </c>
    </row>
    <row r="297" spans="1:89">
      <c r="A297" s="176">
        <v>18861</v>
      </c>
      <c r="B297" s="177">
        <v>689</v>
      </c>
      <c r="C297" s="178">
        <v>68</v>
      </c>
      <c r="D297" s="178">
        <v>2175</v>
      </c>
      <c r="E297" s="178" t="s">
        <v>50</v>
      </c>
      <c r="F297" s="179" t="s">
        <v>3</v>
      </c>
      <c r="G297" s="180" t="s">
        <v>101</v>
      </c>
      <c r="H297" s="178" t="s">
        <v>63</v>
      </c>
      <c r="I297" s="178" t="s">
        <v>102</v>
      </c>
      <c r="J297" s="178"/>
      <c r="K297" s="178"/>
      <c r="L297" s="178" t="s">
        <v>60</v>
      </c>
      <c r="M297" s="178">
        <v>90</v>
      </c>
      <c r="N297" s="178">
        <v>3300</v>
      </c>
      <c r="O297" s="178"/>
      <c r="P297" s="178">
        <v>90</v>
      </c>
      <c r="Q297" s="178"/>
      <c r="R297" s="178" t="s">
        <v>19</v>
      </c>
      <c r="S297" s="181"/>
      <c r="T297" s="181"/>
      <c r="U297" s="182"/>
      <c r="V297" s="182" t="s">
        <v>35</v>
      </c>
      <c r="W297" s="183">
        <v>100</v>
      </c>
      <c r="X297" s="182" t="s">
        <v>267</v>
      </c>
      <c r="Y297" s="184"/>
      <c r="Z297" s="184"/>
      <c r="AA297" s="184"/>
      <c r="AB297" s="184"/>
      <c r="AC297" s="184"/>
      <c r="AD297" s="184"/>
      <c r="AE297" s="184"/>
      <c r="AF297" s="184"/>
      <c r="AG297" s="184"/>
      <c r="AH297" s="184"/>
      <c r="AI297" s="184"/>
      <c r="AJ297" s="184"/>
      <c r="AK297" s="184"/>
      <c r="AL297" s="184"/>
      <c r="AM297" s="184"/>
      <c r="AN297" s="184"/>
      <c r="AO297" s="184"/>
      <c r="AP297" s="184"/>
      <c r="AQ297" s="184"/>
      <c r="AR297" s="184"/>
      <c r="AS297" s="184"/>
      <c r="AT297" s="184"/>
      <c r="AU297" s="184"/>
      <c r="AV297" s="184"/>
      <c r="AW297" s="184"/>
      <c r="AX297" s="184"/>
      <c r="AY297" s="184"/>
      <c r="AZ297" s="184">
        <v>12600</v>
      </c>
      <c r="BA297" s="184">
        <v>12600</v>
      </c>
      <c r="BB297" s="184">
        <v>12600</v>
      </c>
      <c r="BC297" s="184">
        <v>12600</v>
      </c>
      <c r="BD297" s="184">
        <v>12600</v>
      </c>
      <c r="BE297" s="184">
        <v>12600</v>
      </c>
      <c r="BF297" s="184">
        <v>12600</v>
      </c>
      <c r="BG297" s="184">
        <v>12000</v>
      </c>
      <c r="BH297" s="184">
        <v>12000</v>
      </c>
      <c r="BI297" s="184">
        <v>12000</v>
      </c>
      <c r="BJ297" s="184"/>
      <c r="BK297" s="184"/>
      <c r="BL297" s="202"/>
      <c r="BM297" s="202"/>
      <c r="BN297" s="202"/>
      <c r="BO297" s="184"/>
      <c r="BP297" s="184"/>
      <c r="BQ297" s="184"/>
      <c r="BR297" s="184"/>
      <c r="BS297" s="184"/>
      <c r="BT297" s="184"/>
      <c r="BU297" s="146" cm="1">
        <f t="array" ref="BU297">LOOKUP(2,1/(Y297:BT297&lt;&gt;""),Y297:BH297)</f>
        <v>12000</v>
      </c>
      <c r="BV297" s="145" cm="1">
        <f t="array" aca="1" ref="BV297" ca="1">_xlfn.LET(
    _xlpm.last_col_idx, LOOKUP(2, 1/(Y297:BT297&lt;&gt;""), COLUMN(Y297:BT297) - COLUMN(Y297) + 1),
    _xlpm.header_val, INDEX($Y$3:$BT$3, 1, _xlpm.last_col_idx),
    _xlpm.header_date, IF(ISNUMBER(_xlpm.header_val), _xlpm.header_val, DATEVALUE(_xlpm.header_val)),
    IF(_xlpm.header_date &gt; TODAY(), TODAY(), _xlpm.header_date)
)</f>
        <v>46023</v>
      </c>
      <c r="BW297" s="209" cm="1">
        <f t="array" ref="BW297">(LOOKUP(2,1/(BH297:BT297&lt;&gt;""),BH297:BT297))/(INDEX(BH297:BT297,MATCH(TRUE,INDEX((BH297:BT297&lt;&gt;0),0),0)))-1</f>
        <v>0</v>
      </c>
      <c r="BX297" s="210">
        <f t="shared" si="52"/>
        <v>12</v>
      </c>
      <c r="BY297" s="210">
        <f t="shared" si="53"/>
        <v>9</v>
      </c>
      <c r="BZ297" s="210">
        <f ca="1">IF(L297="BR",'Impostos e Frete'!$F$6,IF(L297="EU",'Impostos e Frete'!$I$3,IF(L297="CN",'Impostos e Frete'!$I$4,IF(L297="JP",'Impostos e Frete'!$I$5,IF(L297="RU",'Impostos e Frete'!$I$7,"ERRO")))))</f>
        <v>1.1330439999999999</v>
      </c>
      <c r="CA297" s="210">
        <f>VLOOKUP(L297,'Impostos e Frete'!$A$3:$B$7,2,0)*'Preços e Condições'!BY297</f>
        <v>1.2600000000000002</v>
      </c>
      <c r="CB297" s="147">
        <f t="shared" si="54"/>
        <v>0</v>
      </c>
      <c r="CC297" s="147">
        <f>IF(X297="BRL",'Impostos e Frete'!$B$11,'Impostos e Frete'!$B$12)</f>
        <v>9.1999999999999998E-2</v>
      </c>
      <c r="CD297" s="211">
        <f t="shared" ca="1" si="55"/>
        <v>11.485044</v>
      </c>
      <c r="CE297" s="212">
        <f t="shared" ca="1" si="56"/>
        <v>0.78098299199999999</v>
      </c>
      <c r="CF297" s="213">
        <f>VLOOKUP(L297,'Impostos e Frete'!$A$3:$C$7,3,0)</f>
        <v>120</v>
      </c>
      <c r="CG297" s="213">
        <f t="shared" si="57"/>
        <v>90</v>
      </c>
      <c r="CH297" s="213">
        <f t="shared" si="58"/>
        <v>-30</v>
      </c>
      <c r="CI297" s="214">
        <f t="shared" ca="1" si="59"/>
        <v>0.17227565999999861</v>
      </c>
      <c r="CJ297" s="215">
        <f t="shared" ca="1" si="60"/>
        <v>11.657319659999999</v>
      </c>
      <c r="CK297" s="216">
        <f t="shared" ca="1" si="61"/>
        <v>0.79269773687999989</v>
      </c>
    </row>
    <row r="298" spans="1:89">
      <c r="A298" s="176">
        <v>18861</v>
      </c>
      <c r="B298" s="177">
        <v>689</v>
      </c>
      <c r="C298" s="178">
        <v>68</v>
      </c>
      <c r="D298" s="178">
        <v>2175</v>
      </c>
      <c r="E298" s="178" t="s">
        <v>50</v>
      </c>
      <c r="F298" s="179" t="s">
        <v>3</v>
      </c>
      <c r="G298" s="180" t="s">
        <v>101</v>
      </c>
      <c r="H298" s="178" t="s">
        <v>63</v>
      </c>
      <c r="I298" s="178" t="s">
        <v>102</v>
      </c>
      <c r="J298" s="178"/>
      <c r="K298" s="178"/>
      <c r="L298" s="178" t="s">
        <v>60</v>
      </c>
      <c r="M298" s="178">
        <v>90</v>
      </c>
      <c r="N298" s="178">
        <v>400</v>
      </c>
      <c r="O298" s="178"/>
      <c r="P298" s="178">
        <v>90</v>
      </c>
      <c r="Q298" s="178"/>
      <c r="R298" s="178" t="s">
        <v>19</v>
      </c>
      <c r="S298" s="181"/>
      <c r="T298" s="181"/>
      <c r="U298" s="182"/>
      <c r="V298" s="182" t="s">
        <v>35</v>
      </c>
      <c r="W298" s="183">
        <v>100</v>
      </c>
      <c r="X298" s="182" t="s">
        <v>51</v>
      </c>
      <c r="Y298" s="184"/>
      <c r="Z298" s="184"/>
      <c r="AA298" s="184"/>
      <c r="AB298" s="184"/>
      <c r="AC298" s="184"/>
      <c r="AD298" s="184"/>
      <c r="AE298" s="184"/>
      <c r="AF298" s="184"/>
      <c r="AG298" s="184"/>
      <c r="AH298" s="184"/>
      <c r="AI298" s="184"/>
      <c r="AJ298" s="184"/>
      <c r="AK298" s="184">
        <v>1800</v>
      </c>
      <c r="AL298" s="184">
        <v>1800</v>
      </c>
      <c r="AM298" s="184">
        <v>1650</v>
      </c>
      <c r="AN298" s="184">
        <v>1650</v>
      </c>
      <c r="AO298" s="184">
        <v>1650</v>
      </c>
      <c r="AP298" s="184">
        <v>1650</v>
      </c>
      <c r="AQ298" s="184"/>
      <c r="AR298" s="184"/>
      <c r="AS298" s="184"/>
      <c r="AT298" s="184"/>
      <c r="AU298" s="184"/>
      <c r="AV298" s="184"/>
      <c r="AW298" s="184"/>
      <c r="AX298" s="184"/>
      <c r="AY298" s="184"/>
      <c r="AZ298" s="184"/>
      <c r="BA298" s="184"/>
      <c r="BB298" s="184"/>
      <c r="BC298" s="184"/>
      <c r="BD298" s="184"/>
      <c r="BE298" s="184"/>
      <c r="BF298" s="184"/>
      <c r="BG298" s="184"/>
      <c r="BH298" s="184"/>
      <c r="BI298" s="184"/>
      <c r="BJ298" s="184"/>
      <c r="BK298" s="184"/>
      <c r="BL298" s="202"/>
      <c r="BM298" s="202"/>
      <c r="BN298" s="202"/>
      <c r="BO298" s="184"/>
      <c r="BP298" s="184"/>
      <c r="BQ298" s="184"/>
      <c r="BR298" s="184"/>
      <c r="BS298" s="184"/>
      <c r="BT298" s="184"/>
      <c r="BU298" s="146" cm="1">
        <f t="array" ref="BU298">LOOKUP(2,1/(Y298:BT298&lt;&gt;""),Y298:BH298)</f>
        <v>1650</v>
      </c>
      <c r="BV298" s="145" cm="1">
        <f t="array" aca="1" ref="BV298" ca="1">_xlfn.LET(
    _xlpm.last_col_idx, LOOKUP(2, 1/(Y298:BT298&lt;&gt;""), COLUMN(Y298:BT298) - COLUMN(Y298) + 1),
    _xlpm.header_val, INDEX($Y$3:$BT$3, 1, _xlpm.last_col_idx),
    _xlpm.header_date, IF(ISNUMBER(_xlpm.header_val), _xlpm.header_val, DATEVALUE(_xlpm.header_val)),
    IF(_xlpm.header_date &gt; TODAY(), TODAY(), _xlpm.header_date)
)</f>
        <v>45444</v>
      </c>
      <c r="BW298" s="209" t="e" cm="1">
        <f t="array" ref="BW298">(LOOKUP(2,1/(BH298:BT298&lt;&gt;""),BH298:BT298))/(INDEX(BH298:BT298,MATCH(TRUE,INDEX((BH298:BT298&lt;&gt;0),0),0)))-1</f>
        <v>#N/A</v>
      </c>
      <c r="BX298" s="210">
        <f t="shared" si="52"/>
        <v>1.65</v>
      </c>
      <c r="BY298" s="210">
        <f t="shared" si="53"/>
        <v>9.7349999999999994</v>
      </c>
      <c r="BZ298" s="210">
        <f ca="1">IF(L298="BR",'Impostos e Frete'!$F$6,IF(L298="EU",'Impostos e Frete'!$I$3,IF(L298="CN",'Impostos e Frete'!$I$4,IF(L298="JP",'Impostos e Frete'!$I$5,IF(L298="RU",'Impostos e Frete'!$I$7,"ERRO")))))</f>
        <v>1.1330439999999999</v>
      </c>
      <c r="CA298" s="210">
        <f>VLOOKUP(L298,'Impostos e Frete'!$A$3:$B$7,2,0)*'Preços e Condições'!BY298</f>
        <v>1.3629</v>
      </c>
      <c r="CB298" s="147">
        <f t="shared" si="54"/>
        <v>0</v>
      </c>
      <c r="CC298" s="147">
        <f>IF(X298="BRL",'Impostos e Frete'!$B$11,'Impostos e Frete'!$B$12)</f>
        <v>9.1999999999999998E-2</v>
      </c>
      <c r="CD298" s="211">
        <f t="shared" ca="1" si="55"/>
        <v>12.322944</v>
      </c>
      <c r="CE298" s="212">
        <f t="shared" ca="1" si="56"/>
        <v>0.83796019199999994</v>
      </c>
      <c r="CF298" s="213">
        <f>VLOOKUP(L298,'Impostos e Frete'!$A$3:$C$7,3,0)</f>
        <v>120</v>
      </c>
      <c r="CG298" s="213">
        <f t="shared" si="57"/>
        <v>90</v>
      </c>
      <c r="CH298" s="213">
        <f t="shared" si="58"/>
        <v>-30</v>
      </c>
      <c r="CI298" s="214">
        <f t="shared" ca="1" si="59"/>
        <v>0.18484415999999904</v>
      </c>
      <c r="CJ298" s="215">
        <f t="shared" ca="1" si="60"/>
        <v>12.507788159999999</v>
      </c>
      <c r="CK298" s="216">
        <f t="shared" ca="1" si="61"/>
        <v>0.85052959487999991</v>
      </c>
    </row>
    <row r="299" spans="1:89">
      <c r="A299" s="176">
        <v>18864</v>
      </c>
      <c r="B299" s="177">
        <v>248</v>
      </c>
      <c r="C299" s="178">
        <v>65</v>
      </c>
      <c r="D299" s="178">
        <v>1870</v>
      </c>
      <c r="E299" s="178" t="s">
        <v>50</v>
      </c>
      <c r="F299" s="179" t="s">
        <v>3</v>
      </c>
      <c r="G299" s="180" t="s">
        <v>107</v>
      </c>
      <c r="H299" s="178" t="s">
        <v>63</v>
      </c>
      <c r="I299" s="178" t="s">
        <v>106</v>
      </c>
      <c r="J299" s="178"/>
      <c r="K299" s="178"/>
      <c r="L299" s="178" t="s">
        <v>60</v>
      </c>
      <c r="M299" s="178">
        <v>90</v>
      </c>
      <c r="N299" s="178">
        <v>400</v>
      </c>
      <c r="O299" s="178"/>
      <c r="P299" s="178">
        <v>90</v>
      </c>
      <c r="Q299" s="178"/>
      <c r="R299" s="178" t="s">
        <v>19</v>
      </c>
      <c r="S299" s="181"/>
      <c r="T299" s="181"/>
      <c r="U299" s="182"/>
      <c r="V299" s="182" t="s">
        <v>35</v>
      </c>
      <c r="W299" s="183">
        <v>100</v>
      </c>
      <c r="X299" s="182" t="s">
        <v>51</v>
      </c>
      <c r="Y299" s="184"/>
      <c r="Z299" s="184"/>
      <c r="AA299" s="184"/>
      <c r="AB299" s="184">
        <v>1800</v>
      </c>
      <c r="AC299" s="184">
        <v>1800</v>
      </c>
      <c r="AD299" s="184">
        <v>1800</v>
      </c>
      <c r="AE299" s="184">
        <v>1800</v>
      </c>
      <c r="AF299" s="184">
        <v>1800</v>
      </c>
      <c r="AG299" s="184">
        <v>1800</v>
      </c>
      <c r="AH299" s="184">
        <v>1800</v>
      </c>
      <c r="AI299" s="184">
        <v>1800</v>
      </c>
      <c r="AJ299" s="184">
        <v>1800</v>
      </c>
      <c r="AK299" s="184">
        <v>1800</v>
      </c>
      <c r="AL299" s="184">
        <v>1800</v>
      </c>
      <c r="AM299" s="184"/>
      <c r="AN299" s="184"/>
      <c r="AO299" s="184"/>
      <c r="AP299" s="184"/>
      <c r="AQ299" s="184"/>
      <c r="AR299" s="184"/>
      <c r="AS299" s="184"/>
      <c r="AT299" s="184"/>
      <c r="AU299" s="184"/>
      <c r="AV299" s="184"/>
      <c r="AW299" s="184"/>
      <c r="AX299" s="184"/>
      <c r="AY299" s="184"/>
      <c r="AZ299" s="184">
        <v>1530</v>
      </c>
      <c r="BA299" s="184">
        <v>1530</v>
      </c>
      <c r="BB299" s="184">
        <v>1530</v>
      </c>
      <c r="BC299" s="184"/>
      <c r="BD299" s="184"/>
      <c r="BE299" s="184"/>
      <c r="BF299" s="184"/>
      <c r="BG299" s="184"/>
      <c r="BH299" s="184"/>
      <c r="BI299" s="184"/>
      <c r="BJ299" s="184"/>
      <c r="BK299" s="184"/>
      <c r="BL299" s="184"/>
      <c r="BM299" s="184"/>
      <c r="BN299" s="184"/>
      <c r="BO299" s="184"/>
      <c r="BP299" s="184"/>
      <c r="BQ299" s="184"/>
      <c r="BR299" s="184"/>
      <c r="BS299" s="184"/>
      <c r="BT299" s="184"/>
      <c r="BU299" s="146" cm="1">
        <f t="array" ref="BU299">LOOKUP(2,1/(Y299:BT299&lt;&gt;""),Y299:BH299)</f>
        <v>1530</v>
      </c>
      <c r="BV299" s="145" cm="1">
        <f t="array" aca="1" ref="BV299" ca="1">_xlfn.LET(
    _xlpm.last_col_idx, LOOKUP(2, 1/(Y299:BT299&lt;&gt;""), COLUMN(Y299:BT299) - COLUMN(Y299) + 1),
    _xlpm.header_val, INDEX($Y$3:$BT$3, 1, _xlpm.last_col_idx),
    _xlpm.header_date, IF(ISNUMBER(_xlpm.header_val), _xlpm.header_val, DATEVALUE(_xlpm.header_val)),
    IF(_xlpm.header_date &gt; TODAY(), TODAY(), _xlpm.header_date)
)</f>
        <v>45809</v>
      </c>
      <c r="BW299" s="209" t="e" cm="1">
        <f t="array" ref="BW299">(LOOKUP(2,1/(BH299:BT299&lt;&gt;""),BH299:BT299))/(INDEX(BH299:BT299,MATCH(TRUE,INDEX((BH299:BT299&lt;&gt;0),0),0)))-1</f>
        <v>#N/A</v>
      </c>
      <c r="BX299" s="210">
        <f t="shared" si="52"/>
        <v>1.53</v>
      </c>
      <c r="BY299" s="210">
        <f t="shared" si="53"/>
        <v>9.027000000000001</v>
      </c>
      <c r="BZ299" s="210">
        <f ca="1">IF(L299="BR",'Impostos e Frete'!$F$6,IF(L299="EU",'Impostos e Frete'!$I$3,IF(L299="CN",'Impostos e Frete'!$I$4,IF(L299="JP",'Impostos e Frete'!$I$5,IF(L299="RU",'Impostos e Frete'!$I$7,"ERRO")))))</f>
        <v>1.1330439999999999</v>
      </c>
      <c r="CA299" s="210">
        <f>VLOOKUP(L299,'Impostos e Frete'!$A$3:$B$7,2,0)*'Preços e Condições'!BY299</f>
        <v>1.2637800000000003</v>
      </c>
      <c r="CB299" s="147">
        <f t="shared" si="54"/>
        <v>0</v>
      </c>
      <c r="CC299" s="147">
        <f>IF(X299="BRL",'Impostos e Frete'!$B$11,'Impostos e Frete'!$B$12)</f>
        <v>9.1999999999999998E-2</v>
      </c>
      <c r="CD299" s="211">
        <f t="shared" ca="1" si="55"/>
        <v>11.515824000000002</v>
      </c>
      <c r="CE299" s="212">
        <f t="shared" ca="1" si="56"/>
        <v>0.74852856000000012</v>
      </c>
      <c r="CF299" s="213">
        <f>VLOOKUP(L299,'Impostos e Frete'!$A$3:$C$7,3,0)</f>
        <v>120</v>
      </c>
      <c r="CG299" s="213">
        <f t="shared" si="57"/>
        <v>90</v>
      </c>
      <c r="CH299" s="213">
        <f t="shared" si="58"/>
        <v>-30</v>
      </c>
      <c r="CI299" s="214">
        <f t="shared" ca="1" si="59"/>
        <v>0.17273735999999928</v>
      </c>
      <c r="CJ299" s="215">
        <f t="shared" ca="1" si="60"/>
        <v>11.688561360000001</v>
      </c>
      <c r="CK299" s="216">
        <f t="shared" ca="1" si="61"/>
        <v>0.7597564884000001</v>
      </c>
    </row>
    <row r="300" spans="1:89">
      <c r="A300" s="176">
        <v>18864</v>
      </c>
      <c r="B300" s="177">
        <v>248</v>
      </c>
      <c r="C300" s="178">
        <v>65</v>
      </c>
      <c r="D300" s="178">
        <v>1870</v>
      </c>
      <c r="E300" s="178" t="s">
        <v>50</v>
      </c>
      <c r="F300" s="179" t="s">
        <v>3</v>
      </c>
      <c r="G300" s="180" t="s">
        <v>107</v>
      </c>
      <c r="H300" s="178" t="s">
        <v>63</v>
      </c>
      <c r="I300" s="178" t="s">
        <v>106</v>
      </c>
      <c r="J300" s="178"/>
      <c r="K300" s="178"/>
      <c r="L300" s="178" t="s">
        <v>60</v>
      </c>
      <c r="M300" s="178">
        <v>90</v>
      </c>
      <c r="N300" s="178">
        <v>3300</v>
      </c>
      <c r="O300" s="178"/>
      <c r="P300" s="178">
        <v>90</v>
      </c>
      <c r="Q300" s="178"/>
      <c r="R300" s="178" t="s">
        <v>19</v>
      </c>
      <c r="S300" s="181"/>
      <c r="T300" s="181"/>
      <c r="U300" s="182"/>
      <c r="V300" s="182" t="s">
        <v>35</v>
      </c>
      <c r="W300" s="183">
        <v>100</v>
      </c>
      <c r="X300" s="182" t="s">
        <v>267</v>
      </c>
      <c r="Y300" s="184"/>
      <c r="Z300" s="184"/>
      <c r="AA300" s="184"/>
      <c r="AB300" s="184"/>
      <c r="AC300" s="184"/>
      <c r="AD300" s="184"/>
      <c r="AE300" s="184"/>
      <c r="AF300" s="184"/>
      <c r="AG300" s="184"/>
      <c r="AH300" s="184"/>
      <c r="AI300" s="184"/>
      <c r="AJ300" s="184"/>
      <c r="AK300" s="184"/>
      <c r="AL300" s="184"/>
      <c r="AM300" s="184"/>
      <c r="AN300" s="184"/>
      <c r="AO300" s="184"/>
      <c r="AP300" s="184"/>
      <c r="AQ300" s="184"/>
      <c r="AR300" s="184"/>
      <c r="AS300" s="184"/>
      <c r="AT300" s="184"/>
      <c r="AU300" s="184"/>
      <c r="AV300" s="184"/>
      <c r="AW300" s="184"/>
      <c r="AX300" s="184"/>
      <c r="AY300" s="184"/>
      <c r="AZ300" s="184">
        <v>12300</v>
      </c>
      <c r="BA300" s="184">
        <v>12300</v>
      </c>
      <c r="BB300" s="184">
        <v>12300</v>
      </c>
      <c r="BC300" s="184">
        <v>12300</v>
      </c>
      <c r="BD300" s="184">
        <v>12300</v>
      </c>
      <c r="BE300" s="184">
        <v>12300</v>
      </c>
      <c r="BF300" s="184">
        <v>12300</v>
      </c>
      <c r="BG300" s="184">
        <v>12300</v>
      </c>
      <c r="BH300" s="184">
        <v>12300</v>
      </c>
      <c r="BI300" s="184">
        <v>12300</v>
      </c>
      <c r="BJ300" s="184"/>
      <c r="BK300" s="184"/>
      <c r="BL300" s="184"/>
      <c r="BM300" s="184"/>
      <c r="BN300" s="184"/>
      <c r="BO300" s="184"/>
      <c r="BP300" s="184"/>
      <c r="BQ300" s="184"/>
      <c r="BR300" s="184"/>
      <c r="BS300" s="184"/>
      <c r="BT300" s="184"/>
      <c r="BU300" s="146" cm="1">
        <f t="array" ref="BU300">LOOKUP(2,1/(Y300:BT300&lt;&gt;""),Y300:BH300)</f>
        <v>12300</v>
      </c>
      <c r="BV300" s="145" cm="1">
        <f t="array" aca="1" ref="BV300" ca="1">_xlfn.LET(
    _xlpm.last_col_idx, LOOKUP(2, 1/(Y300:BT300&lt;&gt;""), COLUMN(Y300:BT300) - COLUMN(Y300) + 1),
    _xlpm.header_val, INDEX($Y$3:$BT$3, 1, _xlpm.last_col_idx),
    _xlpm.header_date, IF(ISNUMBER(_xlpm.header_val), _xlpm.header_val, DATEVALUE(_xlpm.header_val)),
    IF(_xlpm.header_date &gt; TODAY(), TODAY(), _xlpm.header_date)
)</f>
        <v>46023</v>
      </c>
      <c r="BW300" s="209" cm="1">
        <f t="array" ref="BW300">(LOOKUP(2,1/(BH300:BT300&lt;&gt;""),BH300:BT300))/(INDEX(BH300:BT300,MATCH(TRUE,INDEX((BH300:BT300&lt;&gt;0),0),0)))-1</f>
        <v>0</v>
      </c>
      <c r="BX300" s="210">
        <f t="shared" si="52"/>
        <v>12.3</v>
      </c>
      <c r="BY300" s="210">
        <f t="shared" si="53"/>
        <v>9.2250000000000014</v>
      </c>
      <c r="BZ300" s="210">
        <f ca="1">IF(L300="BR",'Impostos e Frete'!$F$6,IF(L300="EU",'Impostos e Frete'!$I$3,IF(L300="CN",'Impostos e Frete'!$I$4,IF(L300="JP",'Impostos e Frete'!$I$5,IF(L300="RU",'Impostos e Frete'!$I$7,"ERRO")))))</f>
        <v>1.1330439999999999</v>
      </c>
      <c r="CA300" s="210">
        <f>VLOOKUP(L300,'Impostos e Frete'!$A$3:$B$7,2,0)*'Preços e Condições'!BY300</f>
        <v>1.2915000000000003</v>
      </c>
      <c r="CB300" s="147">
        <f t="shared" si="54"/>
        <v>0</v>
      </c>
      <c r="CC300" s="147">
        <f>IF(X300="BRL",'Impostos e Frete'!$B$11,'Impostos e Frete'!$B$12)</f>
        <v>9.1999999999999998E-2</v>
      </c>
      <c r="CD300" s="211">
        <f t="shared" ca="1" si="55"/>
        <v>11.741544000000003</v>
      </c>
      <c r="CE300" s="212">
        <f t="shared" ca="1" si="56"/>
        <v>0.76320036000000024</v>
      </c>
      <c r="CF300" s="213">
        <f>VLOOKUP(L300,'Impostos e Frete'!$A$3:$C$7,3,0)</f>
        <v>120</v>
      </c>
      <c r="CG300" s="213">
        <f t="shared" si="57"/>
        <v>90</v>
      </c>
      <c r="CH300" s="213">
        <f t="shared" si="58"/>
        <v>-30</v>
      </c>
      <c r="CI300" s="214">
        <f t="shared" ca="1" si="59"/>
        <v>0.1761231599999995</v>
      </c>
      <c r="CJ300" s="215">
        <f t="shared" ca="1" si="60"/>
        <v>11.917667160000002</v>
      </c>
      <c r="CK300" s="216">
        <f t="shared" ca="1" si="61"/>
        <v>0.77464836540000015</v>
      </c>
    </row>
    <row r="301" spans="1:89">
      <c r="A301" s="176">
        <v>18865</v>
      </c>
      <c r="B301" s="177">
        <v>248</v>
      </c>
      <c r="C301" s="178">
        <v>65</v>
      </c>
      <c r="D301" s="178">
        <v>1270</v>
      </c>
      <c r="E301" s="178" t="s">
        <v>50</v>
      </c>
      <c r="F301" s="179" t="s">
        <v>3</v>
      </c>
      <c r="G301" s="180" t="s">
        <v>107</v>
      </c>
      <c r="H301" s="178" t="s">
        <v>63</v>
      </c>
      <c r="I301" s="178" t="s">
        <v>106</v>
      </c>
      <c r="J301" s="178"/>
      <c r="K301" s="178"/>
      <c r="L301" s="178" t="s">
        <v>60</v>
      </c>
      <c r="M301" s="178">
        <v>90</v>
      </c>
      <c r="N301" s="178">
        <v>400</v>
      </c>
      <c r="O301" s="178"/>
      <c r="P301" s="178">
        <v>90</v>
      </c>
      <c r="Q301" s="178"/>
      <c r="R301" s="178" t="s">
        <v>19</v>
      </c>
      <c r="S301" s="181"/>
      <c r="T301" s="181"/>
      <c r="U301" s="182"/>
      <c r="V301" s="182" t="s">
        <v>35</v>
      </c>
      <c r="W301" s="183">
        <v>100</v>
      </c>
      <c r="X301" s="182" t="s">
        <v>51</v>
      </c>
      <c r="Y301" s="184"/>
      <c r="Z301" s="184"/>
      <c r="AA301" s="184"/>
      <c r="AB301" s="184">
        <v>1800</v>
      </c>
      <c r="AC301" s="184">
        <v>1800</v>
      </c>
      <c r="AD301" s="184">
        <v>1800</v>
      </c>
      <c r="AE301" s="184">
        <v>1800</v>
      </c>
      <c r="AF301" s="184">
        <v>1800</v>
      </c>
      <c r="AG301" s="184">
        <v>1800</v>
      </c>
      <c r="AH301" s="184">
        <v>1800</v>
      </c>
      <c r="AI301" s="184">
        <v>1800</v>
      </c>
      <c r="AJ301" s="184">
        <v>1800</v>
      </c>
      <c r="AK301" s="184">
        <v>1800</v>
      </c>
      <c r="AL301" s="184">
        <v>1800</v>
      </c>
      <c r="AM301" s="184"/>
      <c r="AN301" s="184"/>
      <c r="AO301" s="184"/>
      <c r="AP301" s="184"/>
      <c r="AQ301" s="184"/>
      <c r="AR301" s="184"/>
      <c r="AS301" s="184"/>
      <c r="AT301" s="184"/>
      <c r="AU301" s="184"/>
      <c r="AV301" s="184"/>
      <c r="AW301" s="184"/>
      <c r="AX301" s="184"/>
      <c r="AY301" s="184"/>
      <c r="AZ301" s="184">
        <v>1530</v>
      </c>
      <c r="BA301" s="184">
        <v>1530</v>
      </c>
      <c r="BB301" s="184">
        <v>1530</v>
      </c>
      <c r="BC301" s="184"/>
      <c r="BD301" s="184"/>
      <c r="BE301" s="184"/>
      <c r="BF301" s="184"/>
      <c r="BG301" s="184"/>
      <c r="BH301" s="184"/>
      <c r="BI301" s="184"/>
      <c r="BJ301" s="184"/>
      <c r="BK301" s="184"/>
      <c r="BL301" s="184"/>
      <c r="BM301" s="184"/>
      <c r="BN301" s="184"/>
      <c r="BO301" s="184"/>
      <c r="BP301" s="184"/>
      <c r="BQ301" s="184"/>
      <c r="BR301" s="184"/>
      <c r="BS301" s="184"/>
      <c r="BT301" s="184"/>
      <c r="BU301" s="146" cm="1">
        <f t="array" ref="BU301">LOOKUP(2,1/(Y301:BT301&lt;&gt;""),Y301:BH301)</f>
        <v>1530</v>
      </c>
      <c r="BV301" s="145" cm="1">
        <f t="array" aca="1" ref="BV301" ca="1">_xlfn.LET(
    _xlpm.last_col_idx, LOOKUP(2, 1/(Y301:BT301&lt;&gt;""), COLUMN(Y301:BT301) - COLUMN(Y301) + 1),
    _xlpm.header_val, INDEX($Y$3:$BT$3, 1, _xlpm.last_col_idx),
    _xlpm.header_date, IF(ISNUMBER(_xlpm.header_val), _xlpm.header_val, DATEVALUE(_xlpm.header_val)),
    IF(_xlpm.header_date &gt; TODAY(), TODAY(), _xlpm.header_date)
)</f>
        <v>45809</v>
      </c>
      <c r="BW301" s="209" t="e" cm="1">
        <f t="array" ref="BW301">(LOOKUP(2,1/(BH301:BT301&lt;&gt;""),BH301:BT301))/(INDEX(BH301:BT301,MATCH(TRUE,INDEX((BH301:BT301&lt;&gt;0),0),0)))-1</f>
        <v>#N/A</v>
      </c>
      <c r="BX301" s="210">
        <f t="shared" si="52"/>
        <v>1.53</v>
      </c>
      <c r="BY301" s="210">
        <f t="shared" si="53"/>
        <v>9.027000000000001</v>
      </c>
      <c r="BZ301" s="210">
        <f ca="1">IF(L301="BR",'Impostos e Frete'!$F$6,IF(L301="EU",'Impostos e Frete'!$I$3,IF(L301="CN",'Impostos e Frete'!$I$4,IF(L301="JP",'Impostos e Frete'!$I$5,IF(L301="RU",'Impostos e Frete'!$I$7,"ERRO")))))</f>
        <v>1.1330439999999999</v>
      </c>
      <c r="CA301" s="210">
        <f>VLOOKUP(L301,'Impostos e Frete'!$A$3:$B$7,2,0)*'Preços e Condições'!BY301</f>
        <v>1.2637800000000003</v>
      </c>
      <c r="CB301" s="147">
        <f t="shared" si="54"/>
        <v>0</v>
      </c>
      <c r="CC301" s="147">
        <f>IF(X301="BRL",'Impostos e Frete'!$B$11,'Impostos e Frete'!$B$12)</f>
        <v>9.1999999999999998E-2</v>
      </c>
      <c r="CD301" s="211">
        <f t="shared" ca="1" si="55"/>
        <v>11.515824000000002</v>
      </c>
      <c r="CE301" s="212">
        <f t="shared" ca="1" si="56"/>
        <v>0.74852856000000012</v>
      </c>
      <c r="CF301" s="213">
        <f>VLOOKUP(L301,'Impostos e Frete'!$A$3:$C$7,3,0)</f>
        <v>120</v>
      </c>
      <c r="CG301" s="213">
        <f t="shared" si="57"/>
        <v>90</v>
      </c>
      <c r="CH301" s="213">
        <f t="shared" si="58"/>
        <v>-30</v>
      </c>
      <c r="CI301" s="214">
        <f t="shared" ca="1" si="59"/>
        <v>0.17273735999999928</v>
      </c>
      <c r="CJ301" s="215">
        <f t="shared" ca="1" si="60"/>
        <v>11.688561360000001</v>
      </c>
      <c r="CK301" s="216">
        <f t="shared" ca="1" si="61"/>
        <v>0.7597564884000001</v>
      </c>
    </row>
    <row r="302" spans="1:89">
      <c r="A302" s="176">
        <v>18871</v>
      </c>
      <c r="B302" s="188">
        <v>1833</v>
      </c>
      <c r="C302" s="178">
        <v>70</v>
      </c>
      <c r="D302" s="178">
        <v>1870</v>
      </c>
      <c r="E302" s="178" t="s">
        <v>50</v>
      </c>
      <c r="F302" s="179" t="s">
        <v>3</v>
      </c>
      <c r="G302" s="180" t="s">
        <v>250</v>
      </c>
      <c r="H302" s="178" t="s">
        <v>43</v>
      </c>
      <c r="I302" s="178" t="s">
        <v>251</v>
      </c>
      <c r="J302" s="178"/>
      <c r="K302" s="178"/>
      <c r="L302" s="178" t="s">
        <v>60</v>
      </c>
      <c r="M302" s="178">
        <v>90</v>
      </c>
      <c r="N302" s="178">
        <v>400</v>
      </c>
      <c r="O302" s="178"/>
      <c r="P302" s="178">
        <v>90</v>
      </c>
      <c r="Q302" s="178"/>
      <c r="R302" s="178" t="s">
        <v>19</v>
      </c>
      <c r="S302" s="181"/>
      <c r="T302" s="181"/>
      <c r="U302" s="182"/>
      <c r="V302" s="182" t="s">
        <v>35</v>
      </c>
      <c r="W302" s="183">
        <v>100</v>
      </c>
      <c r="X302" s="182" t="s">
        <v>51</v>
      </c>
      <c r="Y302" s="184"/>
      <c r="Z302" s="184"/>
      <c r="AA302" s="184"/>
      <c r="AB302" s="184"/>
      <c r="AC302" s="184"/>
      <c r="AD302" s="184"/>
      <c r="AE302" s="184"/>
      <c r="AF302" s="184"/>
      <c r="AG302" s="184"/>
      <c r="AH302" s="184"/>
      <c r="AI302" s="184"/>
      <c r="AJ302" s="184"/>
      <c r="AK302" s="184"/>
      <c r="AL302" s="184"/>
      <c r="AM302" s="184"/>
      <c r="AN302" s="184"/>
      <c r="AO302" s="184"/>
      <c r="AP302" s="184"/>
      <c r="AQ302" s="184"/>
      <c r="AR302" s="184"/>
      <c r="AS302" s="184"/>
      <c r="AT302" s="184"/>
      <c r="AU302" s="184"/>
      <c r="AV302" s="184"/>
      <c r="AW302" s="184"/>
      <c r="AX302" s="184"/>
      <c r="AY302" s="184"/>
      <c r="AZ302" s="184">
        <v>1080</v>
      </c>
      <c r="BA302" s="184">
        <v>1080</v>
      </c>
      <c r="BB302" s="184">
        <v>1080</v>
      </c>
      <c r="BC302" s="184"/>
      <c r="BD302" s="184"/>
      <c r="BE302" s="184"/>
      <c r="BF302" s="184"/>
      <c r="BG302" s="184"/>
      <c r="BH302" s="184"/>
      <c r="BI302" s="184"/>
      <c r="BJ302" s="184"/>
      <c r="BK302" s="184"/>
      <c r="BL302" s="184"/>
      <c r="BM302" s="184"/>
      <c r="BN302" s="184"/>
      <c r="BO302" s="184"/>
      <c r="BP302" s="184"/>
      <c r="BQ302" s="184"/>
      <c r="BR302" s="184"/>
      <c r="BS302" s="184"/>
      <c r="BT302" s="184"/>
      <c r="BU302" s="146" cm="1">
        <f t="array" ref="BU302">LOOKUP(2,1/(Y302:BT302&lt;&gt;""),Y302:BH302)</f>
        <v>1080</v>
      </c>
      <c r="BV302" s="145" cm="1">
        <f t="array" aca="1" ref="BV302" ca="1">_xlfn.LET(
    _xlpm.last_col_idx, LOOKUP(2, 1/(Y302:BT302&lt;&gt;""), COLUMN(Y302:BT302) - COLUMN(Y302) + 1),
    _xlpm.header_val, INDEX($Y$3:$BT$3, 1, _xlpm.last_col_idx),
    _xlpm.header_date, IF(ISNUMBER(_xlpm.header_val), _xlpm.header_val, DATEVALUE(_xlpm.header_val)),
    IF(_xlpm.header_date &gt; TODAY(), TODAY(), _xlpm.header_date)
)</f>
        <v>45809</v>
      </c>
      <c r="BW302" s="209" t="e" cm="1">
        <f t="array" ref="BW302">(LOOKUP(2,1/(BH302:BT302&lt;&gt;""),BH302:BT302))/(INDEX(BH302:BT302,MATCH(TRUE,INDEX((BH302:BT302&lt;&gt;0),0),0)))-1</f>
        <v>#N/A</v>
      </c>
      <c r="BX302" s="210">
        <f t="shared" si="52"/>
        <v>1.08</v>
      </c>
      <c r="BY302" s="210">
        <f t="shared" si="53"/>
        <v>6.3720000000000008</v>
      </c>
      <c r="BZ302" s="210">
        <f ca="1">IF(L302="BR",'Impostos e Frete'!$F$6,IF(L302="EU",'Impostos e Frete'!$I$3,IF(L302="CN",'Impostos e Frete'!$I$4,IF(L302="JP",'Impostos e Frete'!$I$5,IF(L302="RU",'Impostos e Frete'!$I$7,"ERRO")))))</f>
        <v>1.1330439999999999</v>
      </c>
      <c r="CA302" s="210">
        <f>VLOOKUP(L302,'Impostos e Frete'!$A$3:$B$7,2,0)*'Preços e Condições'!BY302</f>
        <v>0.89208000000000021</v>
      </c>
      <c r="CB302" s="147">
        <f t="shared" si="54"/>
        <v>0</v>
      </c>
      <c r="CC302" s="147">
        <f>IF(X302="BRL",'Impostos e Frete'!$B$11,'Impostos e Frete'!$B$12)</f>
        <v>9.1999999999999998E-2</v>
      </c>
      <c r="CD302" s="211">
        <f t="shared" ca="1" si="55"/>
        <v>8.4891240000000021</v>
      </c>
      <c r="CE302" s="212">
        <f t="shared" ca="1" si="56"/>
        <v>0.59423868000000013</v>
      </c>
      <c r="CF302" s="213">
        <f>VLOOKUP(L302,'Impostos e Frete'!$A$3:$C$7,3,0)</f>
        <v>120</v>
      </c>
      <c r="CG302" s="213">
        <f t="shared" si="57"/>
        <v>90</v>
      </c>
      <c r="CH302" s="213">
        <f t="shared" si="58"/>
        <v>-30</v>
      </c>
      <c r="CI302" s="214">
        <f t="shared" ca="1" si="59"/>
        <v>0.12733685999999977</v>
      </c>
      <c r="CJ302" s="215">
        <f t="shared" ca="1" si="60"/>
        <v>8.6164608600000019</v>
      </c>
      <c r="CK302" s="216">
        <f t="shared" ca="1" si="61"/>
        <v>0.60315226020000012</v>
      </c>
    </row>
    <row r="303" spans="1:89">
      <c r="A303" s="176">
        <v>18871</v>
      </c>
      <c r="B303" s="188">
        <v>1833</v>
      </c>
      <c r="C303" s="178">
        <v>70</v>
      </c>
      <c r="D303" s="178">
        <v>1870</v>
      </c>
      <c r="E303" s="178" t="s">
        <v>50</v>
      </c>
      <c r="F303" s="179" t="s">
        <v>3</v>
      </c>
      <c r="G303" s="180" t="s">
        <v>250</v>
      </c>
      <c r="H303" s="178" t="s">
        <v>43</v>
      </c>
      <c r="I303" s="178" t="s">
        <v>251</v>
      </c>
      <c r="J303" s="178"/>
      <c r="K303" s="178"/>
      <c r="L303" s="178" t="s">
        <v>60</v>
      </c>
      <c r="M303" s="178">
        <v>90</v>
      </c>
      <c r="N303" s="178">
        <v>3300</v>
      </c>
      <c r="O303" s="178"/>
      <c r="P303" s="178">
        <v>90</v>
      </c>
      <c r="Q303" s="178"/>
      <c r="R303" s="178" t="s">
        <v>19</v>
      </c>
      <c r="S303" s="181"/>
      <c r="T303" s="181"/>
      <c r="U303" s="182"/>
      <c r="V303" s="182" t="s">
        <v>35</v>
      </c>
      <c r="W303" s="183">
        <v>100</v>
      </c>
      <c r="X303" s="182" t="s">
        <v>267</v>
      </c>
      <c r="Y303" s="184"/>
      <c r="Z303" s="184"/>
      <c r="AA303" s="184"/>
      <c r="AB303" s="184"/>
      <c r="AC303" s="184"/>
      <c r="AD303" s="184"/>
      <c r="AE303" s="184"/>
      <c r="AF303" s="184"/>
      <c r="AG303" s="184"/>
      <c r="AH303" s="184"/>
      <c r="AI303" s="184"/>
      <c r="AJ303" s="184"/>
      <c r="AK303" s="184"/>
      <c r="AL303" s="184"/>
      <c r="AM303" s="184"/>
      <c r="AN303" s="184"/>
      <c r="AO303" s="184"/>
      <c r="AP303" s="184"/>
      <c r="AQ303" s="184"/>
      <c r="AR303" s="184"/>
      <c r="AS303" s="184"/>
      <c r="AT303" s="184"/>
      <c r="AU303" s="184"/>
      <c r="AV303" s="184"/>
      <c r="AW303" s="184"/>
      <c r="AX303" s="184"/>
      <c r="AY303" s="184"/>
      <c r="AZ303" s="184">
        <v>8300</v>
      </c>
      <c r="BA303" s="184">
        <v>8300</v>
      </c>
      <c r="BB303" s="184">
        <v>8300</v>
      </c>
      <c r="BC303" s="184">
        <v>8300</v>
      </c>
      <c r="BD303" s="184">
        <v>8300</v>
      </c>
      <c r="BE303" s="184">
        <v>8300</v>
      </c>
      <c r="BF303" s="184">
        <v>8300</v>
      </c>
      <c r="BG303" s="184">
        <v>8300</v>
      </c>
      <c r="BH303" s="184">
        <v>8300</v>
      </c>
      <c r="BI303" s="184">
        <v>8300</v>
      </c>
      <c r="BJ303" s="184"/>
      <c r="BK303" s="184"/>
      <c r="BL303" s="184"/>
      <c r="BM303" s="184"/>
      <c r="BN303" s="184"/>
      <c r="BO303" s="184"/>
      <c r="BP303" s="184"/>
      <c r="BQ303" s="184"/>
      <c r="BR303" s="184"/>
      <c r="BS303" s="184"/>
      <c r="BT303" s="184"/>
      <c r="BU303" s="146" cm="1">
        <f t="array" ref="BU303">LOOKUP(2,1/(Y303:BT303&lt;&gt;""),Y303:BH303)</f>
        <v>8300</v>
      </c>
      <c r="BV303" s="145" cm="1">
        <f t="array" aca="1" ref="BV303" ca="1">_xlfn.LET(
    _xlpm.last_col_idx, LOOKUP(2, 1/(Y303:BT303&lt;&gt;""), COLUMN(Y303:BT303) - COLUMN(Y303) + 1),
    _xlpm.header_val, INDEX($Y$3:$BT$3, 1, _xlpm.last_col_idx),
    _xlpm.header_date, IF(ISNUMBER(_xlpm.header_val), _xlpm.header_val, DATEVALUE(_xlpm.header_val)),
    IF(_xlpm.header_date &gt; TODAY(), TODAY(), _xlpm.header_date)
)</f>
        <v>46023</v>
      </c>
      <c r="BW303" s="209" cm="1">
        <f t="array" ref="BW303">(LOOKUP(2,1/(BH303:BT303&lt;&gt;""),BH303:BT303))/(INDEX(BH303:BT303,MATCH(TRUE,INDEX((BH303:BT303&lt;&gt;0),0),0)))-1</f>
        <v>0</v>
      </c>
      <c r="BX303" s="210">
        <f t="shared" si="52"/>
        <v>8.3000000000000007</v>
      </c>
      <c r="BY303" s="210">
        <f t="shared" si="53"/>
        <v>6.2250000000000005</v>
      </c>
      <c r="BZ303" s="210">
        <f ca="1">IF(L303="BR",'Impostos e Frete'!$F$6,IF(L303="EU",'Impostos e Frete'!$I$3,IF(L303="CN",'Impostos e Frete'!$I$4,IF(L303="JP",'Impostos e Frete'!$I$5,IF(L303="RU",'Impostos e Frete'!$I$7,"ERRO")))))</f>
        <v>1.1330439999999999</v>
      </c>
      <c r="CA303" s="210">
        <f>VLOOKUP(L303,'Impostos e Frete'!$A$3:$B$7,2,0)*'Preços e Condições'!BY303</f>
        <v>0.87150000000000016</v>
      </c>
      <c r="CB303" s="147">
        <f t="shared" si="54"/>
        <v>0</v>
      </c>
      <c r="CC303" s="147">
        <f>IF(X303="BRL",'Impostos e Frete'!$B$11,'Impostos e Frete'!$B$12)</f>
        <v>9.1999999999999998E-2</v>
      </c>
      <c r="CD303" s="211">
        <f t="shared" ca="1" si="55"/>
        <v>8.3215440000000012</v>
      </c>
      <c r="CE303" s="212">
        <f t="shared" ca="1" si="56"/>
        <v>0.58250808000000009</v>
      </c>
      <c r="CF303" s="213">
        <f>VLOOKUP(L303,'Impostos e Frete'!$A$3:$C$7,3,0)</f>
        <v>120</v>
      </c>
      <c r="CG303" s="213">
        <f t="shared" si="57"/>
        <v>90</v>
      </c>
      <c r="CH303" s="213">
        <f t="shared" si="58"/>
        <v>-30</v>
      </c>
      <c r="CI303" s="214">
        <f t="shared" ca="1" si="59"/>
        <v>0.12482316000000004</v>
      </c>
      <c r="CJ303" s="215">
        <f t="shared" ca="1" si="60"/>
        <v>8.4463671600000012</v>
      </c>
      <c r="CK303" s="216">
        <f t="shared" ca="1" si="61"/>
        <v>0.59124570120000008</v>
      </c>
    </row>
    <row r="304" spans="1:89">
      <c r="A304" s="176">
        <v>18872</v>
      </c>
      <c r="B304" s="177">
        <v>80</v>
      </c>
      <c r="C304" s="178">
        <v>65</v>
      </c>
      <c r="D304" s="178">
        <v>1830</v>
      </c>
      <c r="E304" s="178" t="s">
        <v>49</v>
      </c>
      <c r="F304" s="179" t="s">
        <v>3</v>
      </c>
      <c r="G304" s="180" t="s">
        <v>236</v>
      </c>
      <c r="H304" s="178" t="s">
        <v>66</v>
      </c>
      <c r="I304" s="178" t="s">
        <v>338</v>
      </c>
      <c r="J304" s="178"/>
      <c r="K304" s="178"/>
      <c r="L304" s="178" t="s">
        <v>60</v>
      </c>
      <c r="M304" s="178">
        <v>90</v>
      </c>
      <c r="N304" s="178">
        <v>3300</v>
      </c>
      <c r="O304" s="178"/>
      <c r="P304" s="178">
        <v>90</v>
      </c>
      <c r="Q304" s="178"/>
      <c r="R304" s="178" t="s">
        <v>19</v>
      </c>
      <c r="S304" s="181"/>
      <c r="T304" s="181"/>
      <c r="U304" s="182"/>
      <c r="V304" s="182" t="s">
        <v>35</v>
      </c>
      <c r="W304" s="183">
        <v>100</v>
      </c>
      <c r="X304" s="182" t="s">
        <v>267</v>
      </c>
      <c r="Y304" s="184"/>
      <c r="Z304" s="184"/>
      <c r="AA304" s="184"/>
      <c r="AB304" s="184"/>
      <c r="AC304" s="184"/>
      <c r="AD304" s="184"/>
      <c r="AE304" s="184"/>
      <c r="AF304" s="184"/>
      <c r="AG304" s="184"/>
      <c r="AH304" s="184"/>
      <c r="AI304" s="184"/>
      <c r="AJ304" s="184"/>
      <c r="AK304" s="184"/>
      <c r="AL304" s="184"/>
      <c r="AM304" s="184"/>
      <c r="AN304" s="184"/>
      <c r="AO304" s="184"/>
      <c r="AP304" s="184"/>
      <c r="AQ304" s="184"/>
      <c r="AR304" s="184"/>
      <c r="AS304" s="184"/>
      <c r="AT304" s="184"/>
      <c r="AU304" s="184"/>
      <c r="AV304" s="184"/>
      <c r="AW304" s="184"/>
      <c r="AX304" s="184"/>
      <c r="AY304" s="184"/>
      <c r="AZ304" s="184">
        <v>12300</v>
      </c>
      <c r="BA304" s="184">
        <v>12300</v>
      </c>
      <c r="BB304" s="184">
        <v>12300</v>
      </c>
      <c r="BC304" s="184"/>
      <c r="BD304" s="184"/>
      <c r="BE304" s="184"/>
      <c r="BF304" s="184"/>
      <c r="BG304" s="184">
        <v>12000</v>
      </c>
      <c r="BH304" s="184">
        <v>12000</v>
      </c>
      <c r="BI304" s="184">
        <v>12000</v>
      </c>
      <c r="BJ304" s="184"/>
      <c r="BK304" s="184"/>
      <c r="BL304" s="184"/>
      <c r="BM304" s="184"/>
      <c r="BN304" s="184"/>
      <c r="BO304" s="184"/>
      <c r="BP304" s="184"/>
      <c r="BQ304" s="184"/>
      <c r="BR304" s="184"/>
      <c r="BS304" s="184"/>
      <c r="BT304" s="184"/>
      <c r="BU304" s="146" cm="1">
        <f t="array" ref="BU304">LOOKUP(2,1/(Y304:BT304&lt;&gt;""),Y304:BH304)</f>
        <v>12000</v>
      </c>
      <c r="BV304" s="145" cm="1">
        <f t="array" aca="1" ref="BV304" ca="1">_xlfn.LET(
    _xlpm.last_col_idx, LOOKUP(2, 1/(Y304:BT304&lt;&gt;""), COLUMN(Y304:BT304) - COLUMN(Y304) + 1),
    _xlpm.header_val, INDEX($Y$3:$BT$3, 1, _xlpm.last_col_idx),
    _xlpm.header_date, IF(ISNUMBER(_xlpm.header_val), _xlpm.header_val, DATEVALUE(_xlpm.header_val)),
    IF(_xlpm.header_date &gt; TODAY(), TODAY(), _xlpm.header_date)
)</f>
        <v>46023</v>
      </c>
      <c r="BW304" s="209" cm="1">
        <f t="array" ref="BW304">(LOOKUP(2,1/(BH304:BT304&lt;&gt;""),BH304:BT304))/(INDEX(BH304:BT304,MATCH(TRUE,INDEX((BH304:BT304&lt;&gt;0),0),0)))-1</f>
        <v>0</v>
      </c>
      <c r="BX304" s="210">
        <f t="shared" si="52"/>
        <v>12</v>
      </c>
      <c r="BY304" s="210">
        <f t="shared" si="53"/>
        <v>9</v>
      </c>
      <c r="BZ304" s="210">
        <f ca="1">IF(L304="BR",'Impostos e Frete'!$F$6,IF(L304="EU",'Impostos e Frete'!$I$3,IF(L304="CN",'Impostos e Frete'!$I$4,IF(L304="JP",'Impostos e Frete'!$I$5,IF(L304="RU",'Impostos e Frete'!$I$7,"ERRO")))))</f>
        <v>1.1330439999999999</v>
      </c>
      <c r="CA304" s="210">
        <f>VLOOKUP(L304,'Impostos e Frete'!$A$3:$B$7,2,0)*'Preços e Condições'!BY304</f>
        <v>1.2600000000000002</v>
      </c>
      <c r="CB304" s="147">
        <f t="shared" si="54"/>
        <v>0</v>
      </c>
      <c r="CC304" s="147">
        <f>IF(X304="BRL",'Impostos e Frete'!$B$11,'Impostos e Frete'!$B$12)</f>
        <v>9.1999999999999998E-2</v>
      </c>
      <c r="CD304" s="211">
        <f t="shared" ca="1" si="55"/>
        <v>11.485044</v>
      </c>
      <c r="CE304" s="212">
        <f t="shared" ca="1" si="56"/>
        <v>0.74652786000000004</v>
      </c>
      <c r="CF304" s="213">
        <f>VLOOKUP(L304,'Impostos e Frete'!$A$3:$C$7,3,0)</f>
        <v>120</v>
      </c>
      <c r="CG304" s="213">
        <f t="shared" si="57"/>
        <v>90</v>
      </c>
      <c r="CH304" s="213">
        <f t="shared" si="58"/>
        <v>-30</v>
      </c>
      <c r="CI304" s="214">
        <f t="shared" ca="1" si="59"/>
        <v>0.17227565999999861</v>
      </c>
      <c r="CJ304" s="215">
        <f t="shared" ca="1" si="60"/>
        <v>11.657319659999999</v>
      </c>
      <c r="CK304" s="216">
        <f t="shared" ca="1" si="61"/>
        <v>0.75772577789999995</v>
      </c>
    </row>
    <row r="305" spans="1:89">
      <c r="A305" s="176">
        <v>18872</v>
      </c>
      <c r="B305" s="177">
        <v>80</v>
      </c>
      <c r="C305" s="178">
        <v>65</v>
      </c>
      <c r="D305" s="178">
        <v>1830</v>
      </c>
      <c r="E305" s="178" t="s">
        <v>49</v>
      </c>
      <c r="F305" s="179" t="s">
        <v>3</v>
      </c>
      <c r="G305" s="180" t="s">
        <v>236</v>
      </c>
      <c r="H305" s="178" t="s">
        <v>66</v>
      </c>
      <c r="I305" s="178" t="s">
        <v>338</v>
      </c>
      <c r="J305" s="178"/>
      <c r="K305" s="178"/>
      <c r="L305" s="178" t="s">
        <v>60</v>
      </c>
      <c r="M305" s="178">
        <v>90</v>
      </c>
      <c r="N305" s="178">
        <v>400</v>
      </c>
      <c r="O305" s="178"/>
      <c r="P305" s="178">
        <v>90</v>
      </c>
      <c r="Q305" s="178"/>
      <c r="R305" s="178" t="s">
        <v>19</v>
      </c>
      <c r="S305" s="181"/>
      <c r="T305" s="181"/>
      <c r="U305" s="182"/>
      <c r="V305" s="182" t="s">
        <v>35</v>
      </c>
      <c r="W305" s="183">
        <v>100</v>
      </c>
      <c r="X305" s="182" t="s">
        <v>51</v>
      </c>
      <c r="Y305" s="184"/>
      <c r="Z305" s="184"/>
      <c r="AA305" s="184"/>
      <c r="AB305" s="184"/>
      <c r="AC305" s="184"/>
      <c r="AD305" s="184"/>
      <c r="AE305" s="184"/>
      <c r="AF305" s="184"/>
      <c r="AG305" s="184"/>
      <c r="AH305" s="184"/>
      <c r="AI305" s="184"/>
      <c r="AJ305" s="184"/>
      <c r="AK305" s="184"/>
      <c r="AL305" s="184"/>
      <c r="AM305" s="184"/>
      <c r="AN305" s="184"/>
      <c r="AO305" s="184"/>
      <c r="AP305" s="184"/>
      <c r="AQ305" s="184"/>
      <c r="AR305" s="184"/>
      <c r="AS305" s="184"/>
      <c r="AT305" s="184"/>
      <c r="AU305" s="184"/>
      <c r="AV305" s="184"/>
      <c r="AW305" s="184"/>
      <c r="AX305" s="184"/>
      <c r="AY305" s="184"/>
      <c r="AZ305" s="184">
        <v>1450</v>
      </c>
      <c r="BA305" s="184">
        <v>1450</v>
      </c>
      <c r="BB305" s="184">
        <v>1450</v>
      </c>
      <c r="BC305" s="184"/>
      <c r="BD305" s="184"/>
      <c r="BE305" s="184"/>
      <c r="BF305" s="184"/>
      <c r="BG305" s="184"/>
      <c r="BH305" s="184"/>
      <c r="BI305" s="184"/>
      <c r="BJ305" s="184"/>
      <c r="BK305" s="184"/>
      <c r="BL305" s="184"/>
      <c r="BM305" s="184"/>
      <c r="BN305" s="184"/>
      <c r="BO305" s="184"/>
      <c r="BP305" s="184"/>
      <c r="BQ305" s="184"/>
      <c r="BR305" s="184"/>
      <c r="BS305" s="184"/>
      <c r="BT305" s="184"/>
      <c r="BU305" s="146" cm="1">
        <f t="array" ref="BU305">LOOKUP(2,1/(Y305:BT305&lt;&gt;""),Y305:BH305)</f>
        <v>1450</v>
      </c>
      <c r="BV305" s="145" cm="1">
        <f t="array" aca="1" ref="BV305" ca="1">_xlfn.LET(
    _xlpm.last_col_idx, LOOKUP(2, 1/(Y305:BT305&lt;&gt;""), COLUMN(Y305:BT305) - COLUMN(Y305) + 1),
    _xlpm.header_val, INDEX($Y$3:$BT$3, 1, _xlpm.last_col_idx),
    _xlpm.header_date, IF(ISNUMBER(_xlpm.header_val), _xlpm.header_val, DATEVALUE(_xlpm.header_val)),
    IF(_xlpm.header_date &gt; TODAY(), TODAY(), _xlpm.header_date)
)</f>
        <v>45809</v>
      </c>
      <c r="BW305" s="209" t="e" cm="1">
        <f t="array" ref="BW305">(LOOKUP(2,1/(BH305:BT305&lt;&gt;""),BH305:BT305))/(INDEX(BH305:BT305,MATCH(TRUE,INDEX((BH305:BT305&lt;&gt;0),0),0)))-1</f>
        <v>#N/A</v>
      </c>
      <c r="BX305" s="210">
        <f t="shared" si="52"/>
        <v>1.45</v>
      </c>
      <c r="BY305" s="210">
        <f t="shared" si="53"/>
        <v>8.5549999999999997</v>
      </c>
      <c r="BZ305" s="210">
        <f ca="1">IF(L305="BR",'Impostos e Frete'!$F$6,IF(L305="EU",'Impostos e Frete'!$I$3,IF(L305="CN",'Impostos e Frete'!$I$4,IF(L305="JP",'Impostos e Frete'!$I$5,IF(L305="RU",'Impostos e Frete'!$I$7,"ERRO")))))</f>
        <v>1.1330439999999999</v>
      </c>
      <c r="CA305" s="210">
        <f>VLOOKUP(L305,'Impostos e Frete'!$A$3:$B$7,2,0)*'Preços e Condições'!BY305</f>
        <v>1.1977</v>
      </c>
      <c r="CB305" s="147">
        <f t="shared" si="54"/>
        <v>0</v>
      </c>
      <c r="CC305" s="147">
        <f>IF(X305="BRL",'Impostos e Frete'!$B$11,'Impostos e Frete'!$B$12)</f>
        <v>9.1999999999999998E-2</v>
      </c>
      <c r="CD305" s="211">
        <f t="shared" ca="1" si="55"/>
        <v>10.977744</v>
      </c>
      <c r="CE305" s="212">
        <f t="shared" ca="1" si="56"/>
        <v>0.71355335999999991</v>
      </c>
      <c r="CF305" s="213">
        <f>VLOOKUP(L305,'Impostos e Frete'!$A$3:$C$7,3,0)</f>
        <v>120</v>
      </c>
      <c r="CG305" s="213">
        <f t="shared" si="57"/>
        <v>90</v>
      </c>
      <c r="CH305" s="213">
        <f t="shared" si="58"/>
        <v>-30</v>
      </c>
      <c r="CI305" s="214">
        <f t="shared" ca="1" si="59"/>
        <v>0.16466615999999945</v>
      </c>
      <c r="CJ305" s="215">
        <f t="shared" ca="1" si="60"/>
        <v>11.142410159999999</v>
      </c>
      <c r="CK305" s="216">
        <f t="shared" ca="1" si="61"/>
        <v>0.72425666039999992</v>
      </c>
    </row>
    <row r="306" spans="1:89">
      <c r="A306" s="176">
        <v>18873</v>
      </c>
      <c r="B306" s="177">
        <v>128</v>
      </c>
      <c r="C306" s="178">
        <v>65</v>
      </c>
      <c r="D306" s="178">
        <v>1860</v>
      </c>
      <c r="E306" s="178" t="s">
        <v>50</v>
      </c>
      <c r="F306" s="179" t="s">
        <v>3</v>
      </c>
      <c r="G306" s="180" t="s">
        <v>298</v>
      </c>
      <c r="H306" s="178" t="s">
        <v>43</v>
      </c>
      <c r="I306" s="178" t="s">
        <v>337</v>
      </c>
      <c r="J306" s="178"/>
      <c r="K306" s="178"/>
      <c r="L306" s="178" t="s">
        <v>60</v>
      </c>
      <c r="M306" s="178">
        <v>90</v>
      </c>
      <c r="N306" s="178">
        <v>3300</v>
      </c>
      <c r="O306" s="178"/>
      <c r="P306" s="178">
        <v>90</v>
      </c>
      <c r="Q306" s="178"/>
      <c r="R306" s="178" t="s">
        <v>19</v>
      </c>
      <c r="S306" s="181"/>
      <c r="T306" s="181"/>
      <c r="U306" s="182"/>
      <c r="V306" s="182" t="s">
        <v>35</v>
      </c>
      <c r="W306" s="183">
        <v>100</v>
      </c>
      <c r="X306" s="182" t="s">
        <v>267</v>
      </c>
      <c r="Y306" s="184"/>
      <c r="Z306" s="184"/>
      <c r="AA306" s="184"/>
      <c r="AB306" s="184"/>
      <c r="AC306" s="184"/>
      <c r="AD306" s="184"/>
      <c r="AE306" s="184"/>
      <c r="AF306" s="184"/>
      <c r="AG306" s="184"/>
      <c r="AH306" s="184"/>
      <c r="AI306" s="184"/>
      <c r="AJ306" s="184"/>
      <c r="AK306" s="184"/>
      <c r="AL306" s="184"/>
      <c r="AM306" s="184"/>
      <c r="AN306" s="184"/>
      <c r="AO306" s="184"/>
      <c r="AP306" s="184"/>
      <c r="AQ306" s="184"/>
      <c r="AR306" s="184"/>
      <c r="AS306" s="184"/>
      <c r="AT306" s="184"/>
      <c r="AU306" s="184"/>
      <c r="AV306" s="184"/>
      <c r="AW306" s="184"/>
      <c r="AX306" s="184"/>
      <c r="AY306" s="184"/>
      <c r="AZ306" s="184">
        <v>12100</v>
      </c>
      <c r="BA306" s="184">
        <v>12100</v>
      </c>
      <c r="BB306" s="184">
        <v>12100</v>
      </c>
      <c r="BC306" s="184"/>
      <c r="BD306" s="184"/>
      <c r="BE306" s="184"/>
      <c r="BF306" s="184"/>
      <c r="BG306" s="184"/>
      <c r="BH306" s="184"/>
      <c r="BI306" s="184"/>
      <c r="BJ306" s="184"/>
      <c r="BK306" s="184"/>
      <c r="BL306" s="184"/>
      <c r="BM306" s="184"/>
      <c r="BN306" s="184"/>
      <c r="BO306" s="184"/>
      <c r="BP306" s="184"/>
      <c r="BQ306" s="184"/>
      <c r="BR306" s="184"/>
      <c r="BS306" s="184"/>
      <c r="BT306" s="184"/>
      <c r="BU306" s="146" cm="1">
        <f t="array" ref="BU306">LOOKUP(2,1/(Y306:BT306&lt;&gt;""),Y306:BH306)</f>
        <v>12100</v>
      </c>
      <c r="BV306" s="145" cm="1">
        <f t="array" aca="1" ref="BV306" ca="1">_xlfn.LET(
    _xlpm.last_col_idx, LOOKUP(2, 1/(Y306:BT306&lt;&gt;""), COLUMN(Y306:BT306) - COLUMN(Y306) + 1),
    _xlpm.header_val, INDEX($Y$3:$BT$3, 1, _xlpm.last_col_idx),
    _xlpm.header_date, IF(ISNUMBER(_xlpm.header_val), _xlpm.header_val, DATEVALUE(_xlpm.header_val)),
    IF(_xlpm.header_date &gt; TODAY(), TODAY(), _xlpm.header_date)
)</f>
        <v>45809</v>
      </c>
      <c r="BW306" s="209" t="e" cm="1">
        <f t="array" ref="BW306">(LOOKUP(2,1/(BH306:BT306&lt;&gt;""),BH306:BT306))/(INDEX(BH306:BT306,MATCH(TRUE,INDEX((BH306:BT306&lt;&gt;0),0),0)))-1</f>
        <v>#N/A</v>
      </c>
      <c r="BX306" s="210">
        <f t="shared" si="52"/>
        <v>12.1</v>
      </c>
      <c r="BY306" s="210">
        <f t="shared" si="53"/>
        <v>9.0749999999999993</v>
      </c>
      <c r="BZ306" s="210">
        <f ca="1">IF(L306="BR",'Impostos e Frete'!$F$6,IF(L306="EU",'Impostos e Frete'!$I$3,IF(L306="CN",'Impostos e Frete'!$I$4,IF(L306="JP",'Impostos e Frete'!$I$5,IF(L306="RU",'Impostos e Frete'!$I$7,"ERRO")))))</f>
        <v>1.1330439999999999</v>
      </c>
      <c r="CA306" s="210">
        <f>VLOOKUP(L306,'Impostos e Frete'!$A$3:$B$7,2,0)*'Preços e Condições'!BY306</f>
        <v>1.2705</v>
      </c>
      <c r="CB306" s="147">
        <f t="shared" si="54"/>
        <v>0</v>
      </c>
      <c r="CC306" s="147">
        <f>IF(X306="BRL",'Impostos e Frete'!$B$11,'Impostos e Frete'!$B$12)</f>
        <v>9.1999999999999998E-2</v>
      </c>
      <c r="CD306" s="211">
        <f t="shared" ca="1" si="55"/>
        <v>11.570544</v>
      </c>
      <c r="CE306" s="212">
        <f t="shared" ca="1" si="56"/>
        <v>0.75208536000000004</v>
      </c>
      <c r="CF306" s="213">
        <f>VLOOKUP(L306,'Impostos e Frete'!$A$3:$C$7,3,0)</f>
        <v>120</v>
      </c>
      <c r="CG306" s="213">
        <f t="shared" si="57"/>
        <v>90</v>
      </c>
      <c r="CH306" s="213">
        <f t="shared" si="58"/>
        <v>-30</v>
      </c>
      <c r="CI306" s="214">
        <f t="shared" ca="1" si="59"/>
        <v>0.17355815999999891</v>
      </c>
      <c r="CJ306" s="215">
        <f t="shared" ca="1" si="60"/>
        <v>11.744102159999999</v>
      </c>
      <c r="CK306" s="216">
        <f t="shared" ca="1" si="61"/>
        <v>0.76336664039999991</v>
      </c>
    </row>
    <row r="307" spans="1:89">
      <c r="A307" s="176">
        <v>19505</v>
      </c>
      <c r="B307" s="177" t="s">
        <v>372</v>
      </c>
      <c r="C307" s="178">
        <v>65</v>
      </c>
      <c r="D307" s="178">
        <v>1870</v>
      </c>
      <c r="E307" s="178" t="s">
        <v>50</v>
      </c>
      <c r="F307" s="179" t="s">
        <v>108</v>
      </c>
      <c r="G307" s="189" t="s">
        <v>115</v>
      </c>
      <c r="H307" s="178" t="s">
        <v>43</v>
      </c>
      <c r="I307" s="178" t="s">
        <v>119</v>
      </c>
      <c r="J307" s="178"/>
      <c r="K307" s="178"/>
      <c r="L307" s="178" t="s">
        <v>59</v>
      </c>
      <c r="M307" s="178">
        <v>30</v>
      </c>
      <c r="N307" s="178">
        <v>500</v>
      </c>
      <c r="O307" s="178"/>
      <c r="P307" s="178"/>
      <c r="Q307" s="178"/>
      <c r="R307" s="178" t="s">
        <v>19</v>
      </c>
      <c r="S307" s="181"/>
      <c r="T307" s="181"/>
      <c r="U307" s="182"/>
      <c r="V307" s="182" t="s">
        <v>35</v>
      </c>
      <c r="W307" s="183">
        <v>80</v>
      </c>
      <c r="X307" s="182" t="s">
        <v>51</v>
      </c>
      <c r="Y307" s="184">
        <v>2280</v>
      </c>
      <c r="Z307" s="184">
        <v>2280</v>
      </c>
      <c r="AA307" s="184">
        <v>2280</v>
      </c>
      <c r="AB307" s="184">
        <v>2210</v>
      </c>
      <c r="AC307" s="184">
        <v>2210</v>
      </c>
      <c r="AD307" s="184">
        <v>2210</v>
      </c>
      <c r="AE307" s="184">
        <v>2060</v>
      </c>
      <c r="AF307" s="184">
        <v>2060</v>
      </c>
      <c r="AG307" s="184">
        <v>2060</v>
      </c>
      <c r="AH307" s="184">
        <v>1910</v>
      </c>
      <c r="AI307" s="184">
        <v>1910</v>
      </c>
      <c r="AJ307" s="184">
        <v>1910</v>
      </c>
      <c r="AK307" s="184">
        <v>1910</v>
      </c>
      <c r="AL307" s="184">
        <v>1910</v>
      </c>
      <c r="AM307" s="184">
        <v>1910</v>
      </c>
      <c r="AN307" s="184">
        <v>1910</v>
      </c>
      <c r="AO307" s="184">
        <v>1910</v>
      </c>
      <c r="AP307" s="184">
        <v>1910</v>
      </c>
      <c r="AQ307" s="184">
        <v>1960</v>
      </c>
      <c r="AR307" s="184">
        <v>2110</v>
      </c>
      <c r="AS307" s="184">
        <v>2110</v>
      </c>
      <c r="AT307" s="184">
        <v>2110</v>
      </c>
      <c r="AU307" s="184">
        <v>2110</v>
      </c>
      <c r="AV307" s="184">
        <v>2110</v>
      </c>
      <c r="AW307" s="184">
        <v>2510</v>
      </c>
      <c r="AX307" s="184">
        <v>2510</v>
      </c>
      <c r="AY307" s="146">
        <f t="shared" ref="AY307:AY338" si="62">AX307-500</f>
        <v>2010</v>
      </c>
      <c r="AZ307" s="146">
        <f t="shared" ref="AZ307:BA326" si="63">AY307</f>
        <v>2010</v>
      </c>
      <c r="BA307" s="146">
        <f t="shared" si="63"/>
        <v>2010</v>
      </c>
      <c r="BB307" s="184">
        <v>2140</v>
      </c>
      <c r="BC307" s="184">
        <v>2140</v>
      </c>
      <c r="BD307" s="184">
        <v>2140</v>
      </c>
      <c r="BE307" s="184">
        <v>2140</v>
      </c>
      <c r="BF307" s="184">
        <v>1990</v>
      </c>
      <c r="BG307" s="184">
        <v>1990</v>
      </c>
      <c r="BH307" s="184">
        <v>1990</v>
      </c>
      <c r="BI307" s="184"/>
      <c r="BJ307" s="184"/>
      <c r="BK307" s="184"/>
      <c r="BL307" s="184">
        <v>1960</v>
      </c>
      <c r="BM307" s="184">
        <v>1960</v>
      </c>
      <c r="BN307" s="184">
        <v>1960</v>
      </c>
      <c r="BO307" s="184">
        <v>2040</v>
      </c>
      <c r="BP307" s="184">
        <v>2040</v>
      </c>
      <c r="BQ307" s="184">
        <v>2040</v>
      </c>
      <c r="BR307" s="184"/>
      <c r="BS307" s="184"/>
      <c r="BT307" s="184"/>
      <c r="BU307" s="146" cm="1">
        <f t="array" ref="BU307">LOOKUP(2,1/(Y307:BT307&lt;&gt;""),Y307:BH307)</f>
        <v>2040</v>
      </c>
      <c r="BV307" s="145" cm="1">
        <f t="array" aca="1" ref="BV307" ca="1">_xlfn.LET(
    _xlpm.last_col_idx, LOOKUP(2, 1/(Y307:BT307&lt;&gt;""), COLUMN(Y307:BT307) - COLUMN(Y307) + 1),
    _xlpm.header_val, INDEX($Y$3:$BT$3, 1, _xlpm.last_col_idx),
    _xlpm.header_date, IF(ISNUMBER(_xlpm.header_val), _xlpm.header_val, DATEVALUE(_xlpm.header_val)),
    IF(_xlpm.header_date &gt; TODAY(), TODAY(), _xlpm.header_date)
)</f>
        <v>46212</v>
      </c>
      <c r="BW307" s="209" cm="1">
        <f t="array" ref="BW307">(LOOKUP(2,1/(BH307:BT307&lt;&gt;""),BH307:BT307))/(INDEX(BH307:BT307,MATCH(TRUE,INDEX((BH307:BT307&lt;&gt;0),0),0)))-1</f>
        <v>2.5125628140703515E-2</v>
      </c>
      <c r="BX307" s="210">
        <f t="shared" si="52"/>
        <v>2.04</v>
      </c>
      <c r="BY307" s="210">
        <f t="shared" si="53"/>
        <v>12.036000000000001</v>
      </c>
      <c r="BZ307" s="210">
        <f ca="1">IF(L307="BR",'Impostos e Frete'!$F$6,IF(L307="EU",'Impostos e Frete'!$I$3,IF(L307="CN",'Impostos e Frete'!$I$4,IF(L307="JP",'Impostos e Frete'!$I$5,IF(L307="RU",'Impostos e Frete'!$I$7,"ERRO")))))</f>
        <v>0.1410816</v>
      </c>
      <c r="CA307" s="210">
        <f>VLOOKUP(L307,'Impostos e Frete'!$A$3:$B$7,2,0)*'Preços e Condições'!BY307</f>
        <v>1.5646800000000003</v>
      </c>
      <c r="CB307" s="147">
        <f t="shared" si="54"/>
        <v>0</v>
      </c>
      <c r="CC307" s="147">
        <f>IF(X307="BRL",'Impostos e Frete'!$B$11,'Impostos e Frete'!$B$12)</f>
        <v>9.1999999999999998E-2</v>
      </c>
      <c r="CD307" s="211">
        <f t="shared" ca="1" si="55"/>
        <v>13.833761600000003</v>
      </c>
      <c r="CE307" s="212">
        <f t="shared" ca="1" si="56"/>
        <v>0.89919450400000023</v>
      </c>
      <c r="CF307" s="213">
        <f>VLOOKUP(L307,'Impostos e Frete'!$A$3:$C$7,3,0)</f>
        <v>105</v>
      </c>
      <c r="CG307" s="213">
        <f t="shared" si="57"/>
        <v>30</v>
      </c>
      <c r="CH307" s="213">
        <f t="shared" si="58"/>
        <v>-75</v>
      </c>
      <c r="CI307" s="214">
        <f t="shared" ca="1" si="59"/>
        <v>0.52461674123597213</v>
      </c>
      <c r="CJ307" s="215">
        <f t="shared" ca="1" si="60"/>
        <v>14.358378341235975</v>
      </c>
      <c r="CK307" s="216">
        <f t="shared" ca="1" si="61"/>
        <v>0.93329459218033839</v>
      </c>
    </row>
    <row r="308" spans="1:89">
      <c r="A308" s="176">
        <v>19505</v>
      </c>
      <c r="B308" s="177" t="s">
        <v>372</v>
      </c>
      <c r="C308" s="178">
        <v>65</v>
      </c>
      <c r="D308" s="178">
        <v>1870</v>
      </c>
      <c r="E308" s="178" t="s">
        <v>50</v>
      </c>
      <c r="F308" s="179" t="s">
        <v>108</v>
      </c>
      <c r="G308" s="189" t="s">
        <v>115</v>
      </c>
      <c r="H308" s="178" t="s">
        <v>43</v>
      </c>
      <c r="I308" s="178" t="s">
        <v>119</v>
      </c>
      <c r="J308" s="178"/>
      <c r="K308" s="178"/>
      <c r="L308" s="178" t="s">
        <v>59</v>
      </c>
      <c r="M308" s="178">
        <v>30</v>
      </c>
      <c r="N308" s="178">
        <v>500</v>
      </c>
      <c r="O308" s="178"/>
      <c r="P308" s="178"/>
      <c r="Q308" s="178"/>
      <c r="R308" s="178" t="s">
        <v>19</v>
      </c>
      <c r="S308" s="181"/>
      <c r="T308" s="181"/>
      <c r="U308" s="182"/>
      <c r="V308" s="182" t="s">
        <v>35</v>
      </c>
      <c r="W308" s="183">
        <v>50</v>
      </c>
      <c r="X308" s="182" t="s">
        <v>51</v>
      </c>
      <c r="Y308" s="184">
        <v>2480</v>
      </c>
      <c r="Z308" s="184">
        <v>2480</v>
      </c>
      <c r="AA308" s="184">
        <v>2480</v>
      </c>
      <c r="AB308" s="184">
        <v>2410</v>
      </c>
      <c r="AC308" s="184">
        <v>2410</v>
      </c>
      <c r="AD308" s="184">
        <v>2410</v>
      </c>
      <c r="AE308" s="184">
        <v>2260</v>
      </c>
      <c r="AF308" s="184">
        <v>2260</v>
      </c>
      <c r="AG308" s="184">
        <v>2260</v>
      </c>
      <c r="AH308" s="184">
        <v>2110</v>
      </c>
      <c r="AI308" s="184">
        <v>2110</v>
      </c>
      <c r="AJ308" s="184">
        <v>2110</v>
      </c>
      <c r="AK308" s="184">
        <v>2110</v>
      </c>
      <c r="AL308" s="184">
        <v>2110</v>
      </c>
      <c r="AM308" s="184">
        <v>2110</v>
      </c>
      <c r="AN308" s="184">
        <v>2110</v>
      </c>
      <c r="AO308" s="184">
        <v>2110</v>
      </c>
      <c r="AP308" s="184">
        <v>2110</v>
      </c>
      <c r="AQ308" s="184">
        <v>2160</v>
      </c>
      <c r="AR308" s="184">
        <v>2310</v>
      </c>
      <c r="AS308" s="184">
        <v>2310</v>
      </c>
      <c r="AT308" s="184">
        <v>2310</v>
      </c>
      <c r="AU308" s="184">
        <v>2310</v>
      </c>
      <c r="AV308" s="184">
        <v>2310</v>
      </c>
      <c r="AW308" s="184">
        <v>2530</v>
      </c>
      <c r="AX308" s="184">
        <v>2530</v>
      </c>
      <c r="AY308" s="146">
        <f t="shared" si="62"/>
        <v>2030</v>
      </c>
      <c r="AZ308" s="146">
        <f t="shared" si="63"/>
        <v>2030</v>
      </c>
      <c r="BA308" s="146">
        <f t="shared" si="63"/>
        <v>2030</v>
      </c>
      <c r="BB308" s="184">
        <v>2160</v>
      </c>
      <c r="BC308" s="184">
        <v>2160</v>
      </c>
      <c r="BD308" s="184">
        <v>2160</v>
      </c>
      <c r="BE308" s="184">
        <v>2160</v>
      </c>
      <c r="BF308" s="184">
        <v>2010</v>
      </c>
      <c r="BG308" s="184">
        <v>2010</v>
      </c>
      <c r="BH308" s="184">
        <v>2010</v>
      </c>
      <c r="BI308" s="184"/>
      <c r="BJ308" s="184"/>
      <c r="BK308" s="184"/>
      <c r="BL308" s="184">
        <v>1980</v>
      </c>
      <c r="BM308" s="184">
        <v>1980</v>
      </c>
      <c r="BN308" s="184">
        <v>1980</v>
      </c>
      <c r="BO308" s="184">
        <v>2240</v>
      </c>
      <c r="BP308" s="184">
        <v>2240</v>
      </c>
      <c r="BQ308" s="184">
        <v>2240</v>
      </c>
      <c r="BR308" s="184"/>
      <c r="BS308" s="184"/>
      <c r="BT308" s="184"/>
      <c r="BU308" s="146" cm="1">
        <f t="array" ref="BU308">LOOKUP(2,1/(Y308:BT308&lt;&gt;""),Y308:BH308)</f>
        <v>2240</v>
      </c>
      <c r="BV308" s="145" cm="1">
        <f t="array" aca="1" ref="BV308" ca="1">_xlfn.LET(
    _xlpm.last_col_idx, LOOKUP(2, 1/(Y308:BT308&lt;&gt;""), COLUMN(Y308:BT308) - COLUMN(Y308) + 1),
    _xlpm.header_val, INDEX($Y$3:$BT$3, 1, _xlpm.last_col_idx),
    _xlpm.header_date, IF(ISNUMBER(_xlpm.header_val), _xlpm.header_val, DATEVALUE(_xlpm.header_val)),
    IF(_xlpm.header_date &gt; TODAY(), TODAY(), _xlpm.header_date)
)</f>
        <v>46212</v>
      </c>
      <c r="BW308" s="209" cm="1">
        <f t="array" ref="BW308">(LOOKUP(2,1/(BH308:BT308&lt;&gt;""),BH308:BT308))/(INDEX(BH308:BT308,MATCH(TRUE,INDEX((BH308:BT308&lt;&gt;0),0),0)))-1</f>
        <v>0.11442786069651745</v>
      </c>
      <c r="BX308" s="210">
        <f t="shared" si="52"/>
        <v>2.2400000000000002</v>
      </c>
      <c r="BY308" s="210">
        <f t="shared" si="53"/>
        <v>13.216000000000003</v>
      </c>
      <c r="BZ308" s="210">
        <f ca="1">IF(L308="BR",'Impostos e Frete'!$F$6,IF(L308="EU",'Impostos e Frete'!$I$3,IF(L308="CN",'Impostos e Frete'!$I$4,IF(L308="JP",'Impostos e Frete'!$I$5,IF(L308="RU",'Impostos e Frete'!$I$7,"ERRO")))))</f>
        <v>0.1410816</v>
      </c>
      <c r="CA308" s="210">
        <f>VLOOKUP(L308,'Impostos e Frete'!$A$3:$B$7,2,0)*'Preços e Condições'!BY308</f>
        <v>1.7180800000000005</v>
      </c>
      <c r="CB308" s="147">
        <f t="shared" si="54"/>
        <v>0</v>
      </c>
      <c r="CC308" s="147">
        <f>IF(X308="BRL",'Impostos e Frete'!$B$11,'Impostos e Frete'!$B$12)</f>
        <v>9.1999999999999998E-2</v>
      </c>
      <c r="CD308" s="211">
        <f t="shared" ca="1" si="55"/>
        <v>15.167161600000004</v>
      </c>
      <c r="CE308" s="212">
        <f t="shared" ca="1" si="56"/>
        <v>0.98586550400000017</v>
      </c>
      <c r="CF308" s="213">
        <f>VLOOKUP(L308,'Impostos e Frete'!$A$3:$C$7,3,0)</f>
        <v>105</v>
      </c>
      <c r="CG308" s="213">
        <f t="shared" si="57"/>
        <v>30</v>
      </c>
      <c r="CH308" s="213">
        <f t="shared" si="58"/>
        <v>-75</v>
      </c>
      <c r="CI308" s="214">
        <f t="shared" ca="1" si="59"/>
        <v>0.57518317305622624</v>
      </c>
      <c r="CJ308" s="215">
        <f t="shared" ca="1" si="60"/>
        <v>15.74234477305623</v>
      </c>
      <c r="CK308" s="216">
        <f t="shared" ca="1" si="61"/>
        <v>1.0232524102486549</v>
      </c>
    </row>
    <row r="309" spans="1:89">
      <c r="A309" s="176">
        <v>19505</v>
      </c>
      <c r="B309" s="177" t="s">
        <v>372</v>
      </c>
      <c r="C309" s="178">
        <v>65</v>
      </c>
      <c r="D309" s="178">
        <v>1870</v>
      </c>
      <c r="E309" s="178" t="s">
        <v>50</v>
      </c>
      <c r="F309" s="179" t="s">
        <v>108</v>
      </c>
      <c r="G309" s="189" t="s">
        <v>115</v>
      </c>
      <c r="H309" s="178" t="s">
        <v>43</v>
      </c>
      <c r="I309" s="178" t="s">
        <v>119</v>
      </c>
      <c r="J309" s="178"/>
      <c r="K309" s="178"/>
      <c r="L309" s="178" t="s">
        <v>59</v>
      </c>
      <c r="M309" s="178">
        <v>30</v>
      </c>
      <c r="N309" s="178">
        <v>500</v>
      </c>
      <c r="O309" s="178"/>
      <c r="P309" s="178"/>
      <c r="Q309" s="178"/>
      <c r="R309" s="178" t="s">
        <v>19</v>
      </c>
      <c r="S309" s="181"/>
      <c r="T309" s="181"/>
      <c r="U309" s="182"/>
      <c r="V309" s="182" t="s">
        <v>35</v>
      </c>
      <c r="W309" s="183">
        <v>20</v>
      </c>
      <c r="X309" s="182" t="s">
        <v>51</v>
      </c>
      <c r="Y309" s="184">
        <v>2980</v>
      </c>
      <c r="Z309" s="184">
        <v>2980</v>
      </c>
      <c r="AA309" s="184">
        <v>2980</v>
      </c>
      <c r="AB309" s="184">
        <v>2910</v>
      </c>
      <c r="AC309" s="184">
        <v>2910</v>
      </c>
      <c r="AD309" s="184">
        <v>2910</v>
      </c>
      <c r="AE309" s="184">
        <v>2760</v>
      </c>
      <c r="AF309" s="184">
        <v>2760</v>
      </c>
      <c r="AG309" s="184">
        <v>2760</v>
      </c>
      <c r="AH309" s="184">
        <v>2610</v>
      </c>
      <c r="AI309" s="184">
        <v>2610</v>
      </c>
      <c r="AJ309" s="184">
        <v>2610</v>
      </c>
      <c r="AK309" s="184">
        <v>2610</v>
      </c>
      <c r="AL309" s="184">
        <v>2610</v>
      </c>
      <c r="AM309" s="184">
        <v>2610</v>
      </c>
      <c r="AN309" s="184">
        <v>2610</v>
      </c>
      <c r="AO309" s="184">
        <v>2610</v>
      </c>
      <c r="AP309" s="184">
        <v>2610</v>
      </c>
      <c r="AQ309" s="184">
        <v>2660</v>
      </c>
      <c r="AR309" s="184">
        <v>2810</v>
      </c>
      <c r="AS309" s="184">
        <v>2810</v>
      </c>
      <c r="AT309" s="184">
        <v>2810</v>
      </c>
      <c r="AU309" s="184">
        <v>2810</v>
      </c>
      <c r="AV309" s="184">
        <v>2810</v>
      </c>
      <c r="AW309" s="184">
        <v>2580</v>
      </c>
      <c r="AX309" s="184">
        <v>2580</v>
      </c>
      <c r="AY309" s="146">
        <f t="shared" si="62"/>
        <v>2080</v>
      </c>
      <c r="AZ309" s="146">
        <f t="shared" si="63"/>
        <v>2080</v>
      </c>
      <c r="BA309" s="146">
        <f t="shared" si="63"/>
        <v>2080</v>
      </c>
      <c r="BB309" s="184">
        <v>2210</v>
      </c>
      <c r="BC309" s="184">
        <v>2210</v>
      </c>
      <c r="BD309" s="184">
        <v>2210</v>
      </c>
      <c r="BE309" s="184">
        <v>2210</v>
      </c>
      <c r="BF309" s="184">
        <v>2060</v>
      </c>
      <c r="BG309" s="184">
        <v>2060</v>
      </c>
      <c r="BH309" s="184">
        <v>2060</v>
      </c>
      <c r="BI309" s="184"/>
      <c r="BJ309" s="184"/>
      <c r="BK309" s="184"/>
      <c r="BL309" s="184">
        <v>2010</v>
      </c>
      <c r="BM309" s="184">
        <v>2010</v>
      </c>
      <c r="BN309" s="184">
        <v>2010</v>
      </c>
      <c r="BO309" s="184">
        <v>2740</v>
      </c>
      <c r="BP309" s="184">
        <v>2740</v>
      </c>
      <c r="BQ309" s="184">
        <v>2740</v>
      </c>
      <c r="BR309" s="184"/>
      <c r="BS309" s="184"/>
      <c r="BT309" s="184"/>
      <c r="BU309" s="146" cm="1">
        <f t="array" ref="BU309">LOOKUP(2,1/(Y309:BT309&lt;&gt;""),Y309:BH309)</f>
        <v>2740</v>
      </c>
      <c r="BV309" s="145" cm="1">
        <f t="array" aca="1" ref="BV309" ca="1">_xlfn.LET(
    _xlpm.last_col_idx, LOOKUP(2, 1/(Y309:BT309&lt;&gt;""), COLUMN(Y309:BT309) - COLUMN(Y309) + 1),
    _xlpm.header_val, INDEX($Y$3:$BT$3, 1, _xlpm.last_col_idx),
    _xlpm.header_date, IF(ISNUMBER(_xlpm.header_val), _xlpm.header_val, DATEVALUE(_xlpm.header_val)),
    IF(_xlpm.header_date &gt; TODAY(), TODAY(), _xlpm.header_date)
)</f>
        <v>46212</v>
      </c>
      <c r="BW309" s="209" cm="1">
        <f t="array" ref="BW309">(LOOKUP(2,1/(BH309:BT309&lt;&gt;""),BH309:BT309))/(INDEX(BH309:BT309,MATCH(TRUE,INDEX((BH309:BT309&lt;&gt;0),0),0)))-1</f>
        <v>0.33009708737864085</v>
      </c>
      <c r="BX309" s="210">
        <f t="shared" si="52"/>
        <v>2.74</v>
      </c>
      <c r="BY309" s="210">
        <f t="shared" si="53"/>
        <v>16.166000000000004</v>
      </c>
      <c r="BZ309" s="210">
        <f ca="1">IF(L309="BR",'Impostos e Frete'!$F$6,IF(L309="EU",'Impostos e Frete'!$I$3,IF(L309="CN",'Impostos e Frete'!$I$4,IF(L309="JP",'Impostos e Frete'!$I$5,IF(L309="RU",'Impostos e Frete'!$I$7,"ERRO")))))</f>
        <v>0.1410816</v>
      </c>
      <c r="CA309" s="210">
        <f>VLOOKUP(L309,'Impostos e Frete'!$A$3:$B$7,2,0)*'Preços e Condições'!BY309</f>
        <v>2.1015800000000007</v>
      </c>
      <c r="CB309" s="147">
        <f t="shared" si="54"/>
        <v>0</v>
      </c>
      <c r="CC309" s="147">
        <f>IF(X309="BRL",'Impostos e Frete'!$B$11,'Impostos e Frete'!$B$12)</f>
        <v>9.1999999999999998E-2</v>
      </c>
      <c r="CD309" s="211">
        <f t="shared" ca="1" si="55"/>
        <v>18.500661600000004</v>
      </c>
      <c r="CE309" s="212">
        <f t="shared" ca="1" si="56"/>
        <v>1.2025430040000002</v>
      </c>
      <c r="CF309" s="213">
        <f>VLOOKUP(L309,'Impostos e Frete'!$A$3:$C$7,3,0)</f>
        <v>105</v>
      </c>
      <c r="CG309" s="213">
        <f t="shared" si="57"/>
        <v>30</v>
      </c>
      <c r="CH309" s="213">
        <f t="shared" si="58"/>
        <v>-75</v>
      </c>
      <c r="CI309" s="214">
        <f t="shared" ca="1" si="59"/>
        <v>0.70159925260686151</v>
      </c>
      <c r="CJ309" s="215">
        <f t="shared" ca="1" si="60"/>
        <v>19.202260852606866</v>
      </c>
      <c r="CK309" s="216">
        <f t="shared" ca="1" si="61"/>
        <v>1.2481469554194462</v>
      </c>
    </row>
    <row r="310" spans="1:89">
      <c r="A310" s="176">
        <v>19507</v>
      </c>
      <c r="B310" s="177">
        <v>244</v>
      </c>
      <c r="C310" s="178">
        <v>65</v>
      </c>
      <c r="D310" s="178">
        <v>1870</v>
      </c>
      <c r="E310" s="178" t="s">
        <v>50</v>
      </c>
      <c r="F310" s="179" t="s">
        <v>108</v>
      </c>
      <c r="G310" s="189" t="s">
        <v>116</v>
      </c>
      <c r="H310" s="178" t="s">
        <v>42</v>
      </c>
      <c r="I310" s="178" t="s">
        <v>121</v>
      </c>
      <c r="J310" s="178"/>
      <c r="K310" s="178"/>
      <c r="L310" s="178" t="s">
        <v>59</v>
      </c>
      <c r="M310" s="178">
        <v>30</v>
      </c>
      <c r="N310" s="178">
        <v>500</v>
      </c>
      <c r="O310" s="178"/>
      <c r="P310" s="178"/>
      <c r="Q310" s="178"/>
      <c r="R310" s="178" t="s">
        <v>19</v>
      </c>
      <c r="S310" s="181"/>
      <c r="T310" s="181"/>
      <c r="U310" s="182"/>
      <c r="V310" s="182" t="s">
        <v>35</v>
      </c>
      <c r="W310" s="183">
        <v>80</v>
      </c>
      <c r="X310" s="182" t="s">
        <v>51</v>
      </c>
      <c r="Y310" s="184">
        <v>2280</v>
      </c>
      <c r="Z310" s="184">
        <v>2280</v>
      </c>
      <c r="AA310" s="184">
        <v>2280</v>
      </c>
      <c r="AB310" s="184">
        <v>2130</v>
      </c>
      <c r="AC310" s="184">
        <v>2130</v>
      </c>
      <c r="AD310" s="184">
        <v>2130</v>
      </c>
      <c r="AE310" s="184">
        <v>2030</v>
      </c>
      <c r="AF310" s="184">
        <v>2030</v>
      </c>
      <c r="AG310" s="184">
        <v>2030</v>
      </c>
      <c r="AH310" s="184">
        <v>1830</v>
      </c>
      <c r="AI310" s="184">
        <v>1830</v>
      </c>
      <c r="AJ310" s="184">
        <v>1830</v>
      </c>
      <c r="AK310" s="184">
        <v>1830</v>
      </c>
      <c r="AL310" s="184">
        <v>1830</v>
      </c>
      <c r="AM310" s="184">
        <v>1830</v>
      </c>
      <c r="AN310" s="184">
        <v>1830</v>
      </c>
      <c r="AO310" s="184">
        <v>1830</v>
      </c>
      <c r="AP310" s="184">
        <v>1830</v>
      </c>
      <c r="AQ310" s="184">
        <v>1880</v>
      </c>
      <c r="AR310" s="184">
        <v>2080</v>
      </c>
      <c r="AS310" s="184">
        <v>2080</v>
      </c>
      <c r="AT310" s="184">
        <v>2080</v>
      </c>
      <c r="AU310" s="184">
        <v>2080</v>
      </c>
      <c r="AV310" s="184">
        <v>2080</v>
      </c>
      <c r="AW310" s="184">
        <v>2480</v>
      </c>
      <c r="AX310" s="184">
        <v>2480</v>
      </c>
      <c r="AY310" s="146">
        <f t="shared" si="62"/>
        <v>1980</v>
      </c>
      <c r="AZ310" s="146">
        <f t="shared" si="63"/>
        <v>1980</v>
      </c>
      <c r="BA310" s="146">
        <f t="shared" si="63"/>
        <v>1980</v>
      </c>
      <c r="BB310" s="184">
        <v>2110</v>
      </c>
      <c r="BC310" s="184">
        <v>2110</v>
      </c>
      <c r="BD310" s="184">
        <v>2110</v>
      </c>
      <c r="BE310" s="184">
        <v>2110</v>
      </c>
      <c r="BF310" s="184">
        <v>2020</v>
      </c>
      <c r="BG310" s="184">
        <v>2020</v>
      </c>
      <c r="BH310" s="184">
        <v>2020</v>
      </c>
      <c r="BI310" s="184"/>
      <c r="BJ310" s="184"/>
      <c r="BK310" s="184"/>
      <c r="BL310" s="184">
        <v>1990</v>
      </c>
      <c r="BM310" s="184">
        <v>1990</v>
      </c>
      <c r="BN310" s="184">
        <v>1990</v>
      </c>
      <c r="BO310" s="184">
        <v>2070</v>
      </c>
      <c r="BP310" s="184">
        <v>2070</v>
      </c>
      <c r="BQ310" s="184">
        <v>2070</v>
      </c>
      <c r="BR310" s="184"/>
      <c r="BS310" s="184"/>
      <c r="BT310" s="184"/>
      <c r="BU310" s="146" cm="1">
        <f t="array" ref="BU310">LOOKUP(2,1/(Y310:BT310&lt;&gt;""),Y310:BH310)</f>
        <v>2070</v>
      </c>
      <c r="BV310" s="145" cm="1">
        <f t="array" aca="1" ref="BV310" ca="1">_xlfn.LET(
    _xlpm.last_col_idx, LOOKUP(2, 1/(Y310:BT310&lt;&gt;""), COLUMN(Y310:BT310) - COLUMN(Y310) + 1),
    _xlpm.header_val, INDEX($Y$3:$BT$3, 1, _xlpm.last_col_idx),
    _xlpm.header_date, IF(ISNUMBER(_xlpm.header_val), _xlpm.header_val, DATEVALUE(_xlpm.header_val)),
    IF(_xlpm.header_date &gt; TODAY(), TODAY(), _xlpm.header_date)
)</f>
        <v>46212</v>
      </c>
      <c r="BW310" s="209" cm="1">
        <f t="array" ref="BW310">(LOOKUP(2,1/(BH310:BT310&lt;&gt;""),BH310:BT310))/(INDEX(BH310:BT310,MATCH(TRUE,INDEX((BH310:BT310&lt;&gt;0),0),0)))-1</f>
        <v>2.4752475247524774E-2</v>
      </c>
      <c r="BX310" s="210">
        <f t="shared" si="52"/>
        <v>2.0699999999999998</v>
      </c>
      <c r="BY310" s="210">
        <f t="shared" si="53"/>
        <v>12.212999999999999</v>
      </c>
      <c r="BZ310" s="210">
        <f ca="1">IF(L310="BR",'Impostos e Frete'!$F$6,IF(L310="EU",'Impostos e Frete'!$I$3,IF(L310="CN",'Impostos e Frete'!$I$4,IF(L310="JP",'Impostos e Frete'!$I$5,IF(L310="RU",'Impostos e Frete'!$I$7,"ERRO")))))</f>
        <v>0.1410816</v>
      </c>
      <c r="CA310" s="210">
        <f>VLOOKUP(L310,'Impostos e Frete'!$A$3:$B$7,2,0)*'Preços e Condições'!BY310</f>
        <v>1.58769</v>
      </c>
      <c r="CB310" s="147">
        <f t="shared" si="54"/>
        <v>0</v>
      </c>
      <c r="CC310" s="147">
        <f>IF(X310="BRL",'Impostos e Frete'!$B$11,'Impostos e Frete'!$B$12)</f>
        <v>9.1999999999999998E-2</v>
      </c>
      <c r="CD310" s="211">
        <f t="shared" ca="1" si="55"/>
        <v>14.0337716</v>
      </c>
      <c r="CE310" s="212">
        <f t="shared" ca="1" si="56"/>
        <v>0.91219515399999995</v>
      </c>
      <c r="CF310" s="213">
        <f>VLOOKUP(L310,'Impostos e Frete'!$A$3:$C$7,3,0)</f>
        <v>105</v>
      </c>
      <c r="CG310" s="213">
        <f t="shared" si="57"/>
        <v>30</v>
      </c>
      <c r="CH310" s="213">
        <f t="shared" si="58"/>
        <v>-75</v>
      </c>
      <c r="CI310" s="214">
        <f t="shared" ca="1" si="59"/>
        <v>0.53220170600901007</v>
      </c>
      <c r="CJ310" s="215">
        <f t="shared" ca="1" si="60"/>
        <v>14.56597330600901</v>
      </c>
      <c r="CK310" s="216">
        <f t="shared" ca="1" si="61"/>
        <v>0.94678826489058565</v>
      </c>
    </row>
    <row r="311" spans="1:89">
      <c r="A311" s="176">
        <v>19507</v>
      </c>
      <c r="B311" s="177">
        <v>244</v>
      </c>
      <c r="C311" s="178">
        <v>65</v>
      </c>
      <c r="D311" s="178">
        <v>1870</v>
      </c>
      <c r="E311" s="178" t="s">
        <v>50</v>
      </c>
      <c r="F311" s="179" t="s">
        <v>108</v>
      </c>
      <c r="G311" s="189" t="s">
        <v>116</v>
      </c>
      <c r="H311" s="178" t="s">
        <v>42</v>
      </c>
      <c r="I311" s="178" t="s">
        <v>121</v>
      </c>
      <c r="J311" s="178"/>
      <c r="K311" s="178"/>
      <c r="L311" s="178" t="s">
        <v>59</v>
      </c>
      <c r="M311" s="178">
        <v>30</v>
      </c>
      <c r="N311" s="178">
        <v>500</v>
      </c>
      <c r="O311" s="178"/>
      <c r="P311" s="178"/>
      <c r="Q311" s="178"/>
      <c r="R311" s="178" t="s">
        <v>19</v>
      </c>
      <c r="S311" s="181"/>
      <c r="T311" s="181"/>
      <c r="U311" s="182"/>
      <c r="V311" s="182" t="s">
        <v>35</v>
      </c>
      <c r="W311" s="183">
        <v>50</v>
      </c>
      <c r="X311" s="182" t="s">
        <v>51</v>
      </c>
      <c r="Y311" s="184">
        <v>2480</v>
      </c>
      <c r="Z311" s="184">
        <v>2480</v>
      </c>
      <c r="AA311" s="184">
        <v>2480</v>
      </c>
      <c r="AB311" s="184">
        <v>2330</v>
      </c>
      <c r="AC311" s="184">
        <v>2330</v>
      </c>
      <c r="AD311" s="184">
        <v>2330</v>
      </c>
      <c r="AE311" s="184">
        <v>2230</v>
      </c>
      <c r="AF311" s="184">
        <v>2230</v>
      </c>
      <c r="AG311" s="184">
        <v>2230</v>
      </c>
      <c r="AH311" s="184">
        <v>2030</v>
      </c>
      <c r="AI311" s="184">
        <v>2030</v>
      </c>
      <c r="AJ311" s="184">
        <v>2030</v>
      </c>
      <c r="AK311" s="184">
        <v>2030</v>
      </c>
      <c r="AL311" s="184">
        <v>2030</v>
      </c>
      <c r="AM311" s="184">
        <v>2030</v>
      </c>
      <c r="AN311" s="184">
        <v>2030</v>
      </c>
      <c r="AO311" s="184">
        <v>2030</v>
      </c>
      <c r="AP311" s="184">
        <v>2030</v>
      </c>
      <c r="AQ311" s="184">
        <v>2080</v>
      </c>
      <c r="AR311" s="184">
        <v>2280</v>
      </c>
      <c r="AS311" s="184">
        <v>2280</v>
      </c>
      <c r="AT311" s="184">
        <v>2280</v>
      </c>
      <c r="AU311" s="184">
        <v>2280</v>
      </c>
      <c r="AV311" s="184">
        <v>2280</v>
      </c>
      <c r="AW311" s="184">
        <v>2500</v>
      </c>
      <c r="AX311" s="184">
        <v>2500</v>
      </c>
      <c r="AY311" s="146">
        <f t="shared" si="62"/>
        <v>2000</v>
      </c>
      <c r="AZ311" s="146">
        <f t="shared" si="63"/>
        <v>2000</v>
      </c>
      <c r="BA311" s="146">
        <f t="shared" si="63"/>
        <v>2000</v>
      </c>
      <c r="BB311" s="184">
        <v>2130</v>
      </c>
      <c r="BC311" s="184">
        <v>2130</v>
      </c>
      <c r="BD311" s="184">
        <v>2130</v>
      </c>
      <c r="BE311" s="184">
        <v>2130</v>
      </c>
      <c r="BF311" s="184">
        <v>2040</v>
      </c>
      <c r="BG311" s="184">
        <v>2040</v>
      </c>
      <c r="BH311" s="184">
        <v>2040</v>
      </c>
      <c r="BI311" s="184"/>
      <c r="BJ311" s="184"/>
      <c r="BK311" s="184"/>
      <c r="BL311" s="184">
        <v>2010</v>
      </c>
      <c r="BM311" s="184">
        <v>2010</v>
      </c>
      <c r="BN311" s="184">
        <v>2010</v>
      </c>
      <c r="BO311" s="184">
        <v>2270</v>
      </c>
      <c r="BP311" s="184">
        <v>2270</v>
      </c>
      <c r="BQ311" s="184">
        <v>2270</v>
      </c>
      <c r="BR311" s="184"/>
      <c r="BS311" s="184"/>
      <c r="BT311" s="184"/>
      <c r="BU311" s="146" cm="1">
        <f t="array" ref="BU311">LOOKUP(2,1/(Y311:BT311&lt;&gt;""),Y311:BH311)</f>
        <v>2270</v>
      </c>
      <c r="BV311" s="145" cm="1">
        <f t="array" aca="1" ref="BV311" ca="1">_xlfn.LET(
    _xlpm.last_col_idx, LOOKUP(2, 1/(Y311:BT311&lt;&gt;""), COLUMN(Y311:BT311) - COLUMN(Y311) + 1),
    _xlpm.header_val, INDEX($Y$3:$BT$3, 1, _xlpm.last_col_idx),
    _xlpm.header_date, IF(ISNUMBER(_xlpm.header_val), _xlpm.header_val, DATEVALUE(_xlpm.header_val)),
    IF(_xlpm.header_date &gt; TODAY(), TODAY(), _xlpm.header_date)
)</f>
        <v>46212</v>
      </c>
      <c r="BW311" s="209" cm="1">
        <f t="array" ref="BW311">(LOOKUP(2,1/(BH311:BT311&lt;&gt;""),BH311:BT311))/(INDEX(BH311:BT311,MATCH(TRUE,INDEX((BH311:BT311&lt;&gt;0),0),0)))-1</f>
        <v>0.11274509803921573</v>
      </c>
      <c r="BX311" s="210">
        <f t="shared" si="52"/>
        <v>2.27</v>
      </c>
      <c r="BY311" s="210">
        <f t="shared" si="53"/>
        <v>13.393000000000001</v>
      </c>
      <c r="BZ311" s="210">
        <f ca="1">IF(L311="BR",'Impostos e Frete'!$F$6,IF(L311="EU",'Impostos e Frete'!$I$3,IF(L311="CN",'Impostos e Frete'!$I$4,IF(L311="JP",'Impostos e Frete'!$I$5,IF(L311="RU",'Impostos e Frete'!$I$7,"ERRO")))))</f>
        <v>0.1410816</v>
      </c>
      <c r="CA311" s="210">
        <f>VLOOKUP(L311,'Impostos e Frete'!$A$3:$B$7,2,0)*'Preços e Condições'!BY311</f>
        <v>1.7410900000000002</v>
      </c>
      <c r="CB311" s="147">
        <f t="shared" si="54"/>
        <v>0</v>
      </c>
      <c r="CC311" s="147">
        <f>IF(X311="BRL",'Impostos e Frete'!$B$11,'Impostos e Frete'!$B$12)</f>
        <v>9.1999999999999998E-2</v>
      </c>
      <c r="CD311" s="211">
        <f t="shared" ca="1" si="55"/>
        <v>15.367171600000001</v>
      </c>
      <c r="CE311" s="212">
        <f t="shared" ca="1" si="56"/>
        <v>0.99886615400000001</v>
      </c>
      <c r="CF311" s="213">
        <f>VLOOKUP(L311,'Impostos e Frete'!$A$3:$C$7,3,0)</f>
        <v>105</v>
      </c>
      <c r="CG311" s="213">
        <f t="shared" si="57"/>
        <v>30</v>
      </c>
      <c r="CH311" s="213">
        <f t="shared" si="58"/>
        <v>-75</v>
      </c>
      <c r="CI311" s="214">
        <f t="shared" ca="1" si="59"/>
        <v>0.58276813782926418</v>
      </c>
      <c r="CJ311" s="215">
        <f t="shared" ca="1" si="60"/>
        <v>15.949939737829265</v>
      </c>
      <c r="CK311" s="216">
        <f t="shared" ca="1" si="61"/>
        <v>1.0367460829589024</v>
      </c>
    </row>
    <row r="312" spans="1:89">
      <c r="A312" s="176">
        <v>19507</v>
      </c>
      <c r="B312" s="177">
        <v>244</v>
      </c>
      <c r="C312" s="178">
        <v>65</v>
      </c>
      <c r="D312" s="178">
        <v>1870</v>
      </c>
      <c r="E312" s="178" t="s">
        <v>50</v>
      </c>
      <c r="F312" s="179" t="s">
        <v>108</v>
      </c>
      <c r="G312" s="189" t="s">
        <v>116</v>
      </c>
      <c r="H312" s="178" t="s">
        <v>42</v>
      </c>
      <c r="I312" s="178" t="s">
        <v>121</v>
      </c>
      <c r="J312" s="178"/>
      <c r="K312" s="178"/>
      <c r="L312" s="178" t="s">
        <v>59</v>
      </c>
      <c r="M312" s="178">
        <v>30</v>
      </c>
      <c r="N312" s="178">
        <v>500</v>
      </c>
      <c r="O312" s="178"/>
      <c r="P312" s="178"/>
      <c r="Q312" s="178"/>
      <c r="R312" s="178" t="s">
        <v>19</v>
      </c>
      <c r="S312" s="181"/>
      <c r="T312" s="181"/>
      <c r="U312" s="182"/>
      <c r="V312" s="182" t="s">
        <v>35</v>
      </c>
      <c r="W312" s="183">
        <v>20</v>
      </c>
      <c r="X312" s="182" t="s">
        <v>51</v>
      </c>
      <c r="Y312" s="184">
        <v>2980</v>
      </c>
      <c r="Z312" s="184">
        <v>2980</v>
      </c>
      <c r="AA312" s="184">
        <v>2980</v>
      </c>
      <c r="AB312" s="184">
        <v>2830</v>
      </c>
      <c r="AC312" s="184">
        <v>2830</v>
      </c>
      <c r="AD312" s="184">
        <v>2830</v>
      </c>
      <c r="AE312" s="184">
        <v>2730</v>
      </c>
      <c r="AF312" s="184">
        <v>2730</v>
      </c>
      <c r="AG312" s="184">
        <v>2730</v>
      </c>
      <c r="AH312" s="184">
        <v>2530</v>
      </c>
      <c r="AI312" s="184">
        <v>2530</v>
      </c>
      <c r="AJ312" s="184">
        <v>2530</v>
      </c>
      <c r="AK312" s="184">
        <v>2530</v>
      </c>
      <c r="AL312" s="184">
        <v>2530</v>
      </c>
      <c r="AM312" s="184">
        <v>2530</v>
      </c>
      <c r="AN312" s="184">
        <v>2530</v>
      </c>
      <c r="AO312" s="184">
        <v>2530</v>
      </c>
      <c r="AP312" s="184">
        <v>2530</v>
      </c>
      <c r="AQ312" s="184">
        <v>2580</v>
      </c>
      <c r="AR312" s="184">
        <v>2780</v>
      </c>
      <c r="AS312" s="184">
        <v>2780</v>
      </c>
      <c r="AT312" s="184">
        <v>2780</v>
      </c>
      <c r="AU312" s="184">
        <v>2780</v>
      </c>
      <c r="AV312" s="184">
        <v>2780</v>
      </c>
      <c r="AW312" s="184">
        <v>2550</v>
      </c>
      <c r="AX312" s="184">
        <v>2550</v>
      </c>
      <c r="AY312" s="146">
        <f t="shared" si="62"/>
        <v>2050</v>
      </c>
      <c r="AZ312" s="146">
        <f t="shared" si="63"/>
        <v>2050</v>
      </c>
      <c r="BA312" s="146">
        <f t="shared" si="63"/>
        <v>2050</v>
      </c>
      <c r="BB312" s="184">
        <v>2180</v>
      </c>
      <c r="BC312" s="184">
        <v>2180</v>
      </c>
      <c r="BD312" s="184">
        <v>2180</v>
      </c>
      <c r="BE312" s="184">
        <v>2180</v>
      </c>
      <c r="BF312" s="184">
        <v>2090</v>
      </c>
      <c r="BG312" s="184">
        <v>2090</v>
      </c>
      <c r="BH312" s="184">
        <v>2090</v>
      </c>
      <c r="BI312" s="184"/>
      <c r="BJ312" s="184"/>
      <c r="BK312" s="184"/>
      <c r="BL312" s="184">
        <v>2040</v>
      </c>
      <c r="BM312" s="184">
        <v>2040</v>
      </c>
      <c r="BN312" s="184">
        <v>2040</v>
      </c>
      <c r="BO312" s="184">
        <v>2770</v>
      </c>
      <c r="BP312" s="184">
        <v>2770</v>
      </c>
      <c r="BQ312" s="184">
        <v>2770</v>
      </c>
      <c r="BR312" s="184"/>
      <c r="BS312" s="184"/>
      <c r="BT312" s="184"/>
      <c r="BU312" s="146" cm="1">
        <f t="array" ref="BU312">LOOKUP(2,1/(Y312:BT312&lt;&gt;""),Y312:BH312)</f>
        <v>2770</v>
      </c>
      <c r="BV312" s="145" cm="1">
        <f t="array" aca="1" ref="BV312" ca="1">_xlfn.LET(
    _xlpm.last_col_idx, LOOKUP(2, 1/(Y312:BT312&lt;&gt;""), COLUMN(Y312:BT312) - COLUMN(Y312) + 1),
    _xlpm.header_val, INDEX($Y$3:$BT$3, 1, _xlpm.last_col_idx),
    _xlpm.header_date, IF(ISNUMBER(_xlpm.header_val), _xlpm.header_val, DATEVALUE(_xlpm.header_val)),
    IF(_xlpm.header_date &gt; TODAY(), TODAY(), _xlpm.header_date)
)</f>
        <v>46212</v>
      </c>
      <c r="BW312" s="209" cm="1">
        <f t="array" ref="BW312">(LOOKUP(2,1/(BH312:BT312&lt;&gt;""),BH312:BT312))/(INDEX(BH312:BT312,MATCH(TRUE,INDEX((BH312:BT312&lt;&gt;0),0),0)))-1</f>
        <v>0.32535885167464107</v>
      </c>
      <c r="BX312" s="210">
        <f t="shared" si="52"/>
        <v>2.77</v>
      </c>
      <c r="BY312" s="210">
        <f t="shared" si="53"/>
        <v>16.343</v>
      </c>
      <c r="BZ312" s="210">
        <f ca="1">IF(L312="BR",'Impostos e Frete'!$F$6,IF(L312="EU",'Impostos e Frete'!$I$3,IF(L312="CN",'Impostos e Frete'!$I$4,IF(L312="JP",'Impostos e Frete'!$I$5,IF(L312="RU",'Impostos e Frete'!$I$7,"ERRO")))))</f>
        <v>0.1410816</v>
      </c>
      <c r="CA312" s="210">
        <f>VLOOKUP(L312,'Impostos e Frete'!$A$3:$B$7,2,0)*'Preços e Condições'!BY312</f>
        <v>2.12459</v>
      </c>
      <c r="CB312" s="147">
        <f t="shared" si="54"/>
        <v>0</v>
      </c>
      <c r="CC312" s="147">
        <f>IF(X312="BRL",'Impostos e Frete'!$B$11,'Impostos e Frete'!$B$12)</f>
        <v>9.1999999999999998E-2</v>
      </c>
      <c r="CD312" s="211">
        <f t="shared" ca="1" si="55"/>
        <v>18.7006716</v>
      </c>
      <c r="CE312" s="212">
        <f t="shared" ca="1" si="56"/>
        <v>1.215543654</v>
      </c>
      <c r="CF312" s="213">
        <f>VLOOKUP(L312,'Impostos e Frete'!$A$3:$C$7,3,0)</f>
        <v>105</v>
      </c>
      <c r="CG312" s="213">
        <f t="shared" si="57"/>
        <v>30</v>
      </c>
      <c r="CH312" s="213">
        <f t="shared" si="58"/>
        <v>-75</v>
      </c>
      <c r="CI312" s="214">
        <f t="shared" ca="1" si="59"/>
        <v>0.70918421737989945</v>
      </c>
      <c r="CJ312" s="215">
        <f t="shared" ca="1" si="60"/>
        <v>19.409855817379899</v>
      </c>
      <c r="CK312" s="216">
        <f t="shared" ca="1" si="61"/>
        <v>1.2616406281296935</v>
      </c>
    </row>
    <row r="313" spans="1:89">
      <c r="A313" s="176">
        <v>19508</v>
      </c>
      <c r="B313" s="177">
        <v>301</v>
      </c>
      <c r="C313" s="178">
        <v>65</v>
      </c>
      <c r="D313" s="178">
        <v>1870</v>
      </c>
      <c r="E313" s="178" t="s">
        <v>50</v>
      </c>
      <c r="F313" s="179" t="s">
        <v>108</v>
      </c>
      <c r="G313" s="189" t="s">
        <v>111</v>
      </c>
      <c r="H313" s="178" t="s">
        <v>345</v>
      </c>
      <c r="I313" s="178" t="s">
        <v>113</v>
      </c>
      <c r="J313" s="178"/>
      <c r="K313" s="178"/>
      <c r="L313" s="178" t="s">
        <v>59</v>
      </c>
      <c r="M313" s="178">
        <v>30</v>
      </c>
      <c r="N313" s="178">
        <v>500</v>
      </c>
      <c r="O313" s="178"/>
      <c r="P313" s="178"/>
      <c r="Q313" s="178"/>
      <c r="R313" s="178" t="s">
        <v>19</v>
      </c>
      <c r="S313" s="181"/>
      <c r="T313" s="181"/>
      <c r="U313" s="182"/>
      <c r="V313" s="182" t="s">
        <v>35</v>
      </c>
      <c r="W313" s="183">
        <v>80</v>
      </c>
      <c r="X313" s="182" t="s">
        <v>51</v>
      </c>
      <c r="Y313" s="184">
        <v>2650</v>
      </c>
      <c r="Z313" s="184">
        <v>2650</v>
      </c>
      <c r="AA313" s="184">
        <v>2650</v>
      </c>
      <c r="AB313" s="184">
        <v>2550</v>
      </c>
      <c r="AC313" s="184">
        <v>2550</v>
      </c>
      <c r="AD313" s="184">
        <v>2550</v>
      </c>
      <c r="AE313" s="184">
        <v>2350</v>
      </c>
      <c r="AF313" s="184">
        <v>2350</v>
      </c>
      <c r="AG313" s="184">
        <v>2350</v>
      </c>
      <c r="AH313" s="184">
        <v>2200</v>
      </c>
      <c r="AI313" s="184">
        <v>1900</v>
      </c>
      <c r="AJ313" s="184">
        <v>1900</v>
      </c>
      <c r="AK313" s="184">
        <v>1900</v>
      </c>
      <c r="AL313" s="184">
        <v>1900</v>
      </c>
      <c r="AM313" s="184">
        <v>1900</v>
      </c>
      <c r="AN313" s="184">
        <v>1900</v>
      </c>
      <c r="AO313" s="184">
        <v>1900</v>
      </c>
      <c r="AP313" s="184">
        <v>1900</v>
      </c>
      <c r="AQ313" s="184">
        <v>2010</v>
      </c>
      <c r="AR313" s="184">
        <v>2400</v>
      </c>
      <c r="AS313" s="184">
        <v>2400</v>
      </c>
      <c r="AT313" s="184">
        <v>2400</v>
      </c>
      <c r="AU313" s="184">
        <v>2400</v>
      </c>
      <c r="AV313" s="184">
        <v>2400</v>
      </c>
      <c r="AW313" s="184">
        <v>2800</v>
      </c>
      <c r="AX313" s="184">
        <v>2800</v>
      </c>
      <c r="AY313" s="146">
        <f t="shared" si="62"/>
        <v>2300</v>
      </c>
      <c r="AZ313" s="146">
        <f t="shared" si="63"/>
        <v>2300</v>
      </c>
      <c r="BA313" s="146">
        <f t="shared" si="63"/>
        <v>2300</v>
      </c>
      <c r="BB313" s="184">
        <v>2430</v>
      </c>
      <c r="BC313" s="184">
        <v>2430</v>
      </c>
      <c r="BD313" s="184">
        <v>2430</v>
      </c>
      <c r="BE313" s="184">
        <v>2430</v>
      </c>
      <c r="BF313" s="184">
        <v>2280</v>
      </c>
      <c r="BG313" s="184">
        <v>2280</v>
      </c>
      <c r="BH313" s="184">
        <v>2280</v>
      </c>
      <c r="BI313" s="184"/>
      <c r="BJ313" s="184"/>
      <c r="BK313" s="184"/>
      <c r="BL313" s="184">
        <v>2250</v>
      </c>
      <c r="BM313" s="184">
        <v>2250</v>
      </c>
      <c r="BN313" s="184">
        <v>2250</v>
      </c>
      <c r="BO313" s="184">
        <v>2330</v>
      </c>
      <c r="BP313" s="184">
        <v>2330</v>
      </c>
      <c r="BQ313" s="184">
        <v>2330</v>
      </c>
      <c r="BR313" s="184"/>
      <c r="BS313" s="184"/>
      <c r="BT313" s="184"/>
      <c r="BU313" s="146" cm="1">
        <f t="array" ref="BU313">LOOKUP(2,1/(Y313:BT313&lt;&gt;""),Y313:BH313)</f>
        <v>2330</v>
      </c>
      <c r="BV313" s="145" cm="1">
        <f t="array" aca="1" ref="BV313" ca="1">_xlfn.LET(
    _xlpm.last_col_idx, LOOKUP(2, 1/(Y313:BT313&lt;&gt;""), COLUMN(Y313:BT313) - COLUMN(Y313) + 1),
    _xlpm.header_val, INDEX($Y$3:$BT$3, 1, _xlpm.last_col_idx),
    _xlpm.header_date, IF(ISNUMBER(_xlpm.header_val), _xlpm.header_val, DATEVALUE(_xlpm.header_val)),
    IF(_xlpm.header_date &gt; TODAY(), TODAY(), _xlpm.header_date)
)</f>
        <v>46212</v>
      </c>
      <c r="BW313" s="209" cm="1">
        <f t="array" ref="BW313">(LOOKUP(2,1/(BH313:BT313&lt;&gt;""),BH313:BT313))/(INDEX(BH313:BT313,MATCH(TRUE,INDEX((BH313:BT313&lt;&gt;0),0),0)))-1</f>
        <v>2.1929824561403466E-2</v>
      </c>
      <c r="BX313" s="210">
        <f t="shared" si="52"/>
        <v>2.33</v>
      </c>
      <c r="BY313" s="210">
        <f t="shared" si="53"/>
        <v>13.747000000000002</v>
      </c>
      <c r="BZ313" s="210">
        <f ca="1">IF(L313="BR",'Impostos e Frete'!$F$6,IF(L313="EU",'Impostos e Frete'!$I$3,IF(L313="CN",'Impostos e Frete'!$I$4,IF(L313="JP",'Impostos e Frete'!$I$5,IF(L313="RU",'Impostos e Frete'!$I$7,"ERRO")))))</f>
        <v>0.1410816</v>
      </c>
      <c r="CA313" s="210">
        <f>VLOOKUP(L313,'Impostos e Frete'!$A$3:$B$7,2,0)*'Preços e Condições'!BY313</f>
        <v>1.7871100000000002</v>
      </c>
      <c r="CB313" s="147">
        <f t="shared" si="54"/>
        <v>0</v>
      </c>
      <c r="CC313" s="147">
        <f>IF(X313="BRL",'Impostos e Frete'!$B$11,'Impostos e Frete'!$B$12)</f>
        <v>9.1999999999999998E-2</v>
      </c>
      <c r="CD313" s="211">
        <f t="shared" ca="1" si="55"/>
        <v>15.767191600000002</v>
      </c>
      <c r="CE313" s="212">
        <f t="shared" ca="1" si="56"/>
        <v>1.024867454</v>
      </c>
      <c r="CF313" s="213">
        <f>VLOOKUP(L313,'Impostos e Frete'!$A$3:$C$7,3,0)</f>
        <v>105</v>
      </c>
      <c r="CG313" s="213">
        <f t="shared" si="57"/>
        <v>30</v>
      </c>
      <c r="CH313" s="213">
        <f t="shared" si="58"/>
        <v>-75</v>
      </c>
      <c r="CI313" s="214">
        <f t="shared" ca="1" si="59"/>
        <v>0.59793806737534005</v>
      </c>
      <c r="CJ313" s="215">
        <f t="shared" ca="1" si="60"/>
        <v>16.365129667375342</v>
      </c>
      <c r="CK313" s="216">
        <f t="shared" ca="1" si="61"/>
        <v>1.0637334283793971</v>
      </c>
    </row>
    <row r="314" spans="1:89">
      <c r="A314" s="176">
        <v>19508</v>
      </c>
      <c r="B314" s="177">
        <v>301</v>
      </c>
      <c r="C314" s="178">
        <v>65</v>
      </c>
      <c r="D314" s="178">
        <v>1870</v>
      </c>
      <c r="E314" s="178" t="s">
        <v>50</v>
      </c>
      <c r="F314" s="179" t="s">
        <v>108</v>
      </c>
      <c r="G314" s="189" t="s">
        <v>111</v>
      </c>
      <c r="H314" s="178" t="s">
        <v>345</v>
      </c>
      <c r="I314" s="178" t="s">
        <v>113</v>
      </c>
      <c r="J314" s="178"/>
      <c r="K314" s="178"/>
      <c r="L314" s="178" t="s">
        <v>59</v>
      </c>
      <c r="M314" s="178">
        <v>30</v>
      </c>
      <c r="N314" s="178">
        <v>500</v>
      </c>
      <c r="O314" s="178"/>
      <c r="P314" s="178"/>
      <c r="Q314" s="178"/>
      <c r="R314" s="178" t="s">
        <v>19</v>
      </c>
      <c r="S314" s="181"/>
      <c r="T314" s="181"/>
      <c r="U314" s="182"/>
      <c r="V314" s="182" t="s">
        <v>35</v>
      </c>
      <c r="W314" s="183">
        <v>50</v>
      </c>
      <c r="X314" s="182" t="s">
        <v>51</v>
      </c>
      <c r="Y314" s="184">
        <v>2850</v>
      </c>
      <c r="Z314" s="184">
        <v>2850</v>
      </c>
      <c r="AA314" s="184">
        <v>2850</v>
      </c>
      <c r="AB314" s="184">
        <v>2750</v>
      </c>
      <c r="AC314" s="184">
        <v>2750</v>
      </c>
      <c r="AD314" s="184">
        <v>2750</v>
      </c>
      <c r="AE314" s="184">
        <v>2550</v>
      </c>
      <c r="AF314" s="184">
        <v>2550</v>
      </c>
      <c r="AG314" s="184">
        <v>2550</v>
      </c>
      <c r="AH314" s="184">
        <v>2400</v>
      </c>
      <c r="AI314" s="184">
        <v>2400</v>
      </c>
      <c r="AJ314" s="184">
        <v>2400</v>
      </c>
      <c r="AK314" s="184">
        <v>2400</v>
      </c>
      <c r="AL314" s="184">
        <v>2400</v>
      </c>
      <c r="AM314" s="184">
        <v>2400</v>
      </c>
      <c r="AN314" s="184">
        <v>2400</v>
      </c>
      <c r="AO314" s="184">
        <v>2400</v>
      </c>
      <c r="AP314" s="184">
        <v>2400</v>
      </c>
      <c r="AQ314" s="184">
        <v>2210</v>
      </c>
      <c r="AR314" s="184">
        <v>2600</v>
      </c>
      <c r="AS314" s="184">
        <v>2600</v>
      </c>
      <c r="AT314" s="184">
        <v>2600</v>
      </c>
      <c r="AU314" s="184">
        <v>2600</v>
      </c>
      <c r="AV314" s="184">
        <v>2600</v>
      </c>
      <c r="AW314" s="184">
        <v>2820</v>
      </c>
      <c r="AX314" s="184">
        <v>2820</v>
      </c>
      <c r="AY314" s="146">
        <f t="shared" si="62"/>
        <v>2320</v>
      </c>
      <c r="AZ314" s="146">
        <f t="shared" si="63"/>
        <v>2320</v>
      </c>
      <c r="BA314" s="146">
        <f t="shared" si="63"/>
        <v>2320</v>
      </c>
      <c r="BB314" s="184">
        <v>2450</v>
      </c>
      <c r="BC314" s="184">
        <v>2450</v>
      </c>
      <c r="BD314" s="184">
        <v>2450</v>
      </c>
      <c r="BE314" s="184">
        <v>2450</v>
      </c>
      <c r="BF314" s="184">
        <v>2300</v>
      </c>
      <c r="BG314" s="184">
        <v>2300</v>
      </c>
      <c r="BH314" s="184">
        <v>2300</v>
      </c>
      <c r="BI314" s="184"/>
      <c r="BJ314" s="184"/>
      <c r="BK314" s="184"/>
      <c r="BL314" s="184">
        <v>2270</v>
      </c>
      <c r="BM314" s="184">
        <v>2270</v>
      </c>
      <c r="BN314" s="184">
        <v>2270</v>
      </c>
      <c r="BO314" s="184">
        <v>2530</v>
      </c>
      <c r="BP314" s="184">
        <v>2530</v>
      </c>
      <c r="BQ314" s="184">
        <v>2530</v>
      </c>
      <c r="BR314" s="184"/>
      <c r="BS314" s="184"/>
      <c r="BT314" s="184"/>
      <c r="BU314" s="146" cm="1">
        <f t="array" ref="BU314">LOOKUP(2,1/(Y314:BT314&lt;&gt;""),Y314:BH314)</f>
        <v>2530</v>
      </c>
      <c r="BV314" s="145" cm="1">
        <f t="array" aca="1" ref="BV314" ca="1">_xlfn.LET(
    _xlpm.last_col_idx, LOOKUP(2, 1/(Y314:BT314&lt;&gt;""), COLUMN(Y314:BT314) - COLUMN(Y314) + 1),
    _xlpm.header_val, INDEX($Y$3:$BT$3, 1, _xlpm.last_col_idx),
    _xlpm.header_date, IF(ISNUMBER(_xlpm.header_val), _xlpm.header_val, DATEVALUE(_xlpm.header_val)),
    IF(_xlpm.header_date &gt; TODAY(), TODAY(), _xlpm.header_date)
)</f>
        <v>46212</v>
      </c>
      <c r="BW314" s="209" cm="1">
        <f t="array" ref="BW314">(LOOKUP(2,1/(BH314:BT314&lt;&gt;""),BH314:BT314))/(INDEX(BH314:BT314,MATCH(TRUE,INDEX((BH314:BT314&lt;&gt;0),0),0)))-1</f>
        <v>0.10000000000000009</v>
      </c>
      <c r="BX314" s="210">
        <f t="shared" si="52"/>
        <v>2.5299999999999998</v>
      </c>
      <c r="BY314" s="210">
        <f t="shared" si="53"/>
        <v>14.927</v>
      </c>
      <c r="BZ314" s="210">
        <f ca="1">IF(L314="BR",'Impostos e Frete'!$F$6,IF(L314="EU",'Impostos e Frete'!$I$3,IF(L314="CN",'Impostos e Frete'!$I$4,IF(L314="JP",'Impostos e Frete'!$I$5,IF(L314="RU",'Impostos e Frete'!$I$7,"ERRO")))))</f>
        <v>0.1410816</v>
      </c>
      <c r="CA314" s="210">
        <f>VLOOKUP(L314,'Impostos e Frete'!$A$3:$B$7,2,0)*'Preços e Condições'!BY314</f>
        <v>1.94051</v>
      </c>
      <c r="CB314" s="147">
        <f t="shared" si="54"/>
        <v>0</v>
      </c>
      <c r="CC314" s="147">
        <f>IF(X314="BRL",'Impostos e Frete'!$B$11,'Impostos e Frete'!$B$12)</f>
        <v>9.1999999999999998E-2</v>
      </c>
      <c r="CD314" s="211">
        <f t="shared" ca="1" si="55"/>
        <v>17.100591599999998</v>
      </c>
      <c r="CE314" s="212">
        <f t="shared" ca="1" si="56"/>
        <v>1.111538454</v>
      </c>
      <c r="CF314" s="213">
        <f>VLOOKUP(L314,'Impostos e Frete'!$A$3:$C$7,3,0)</f>
        <v>105</v>
      </c>
      <c r="CG314" s="213">
        <f t="shared" si="57"/>
        <v>30</v>
      </c>
      <c r="CH314" s="213">
        <f t="shared" si="58"/>
        <v>-75</v>
      </c>
      <c r="CI314" s="214">
        <f t="shared" ca="1" si="59"/>
        <v>0.64850449919559594</v>
      </c>
      <c r="CJ314" s="215">
        <f t="shared" ca="1" si="60"/>
        <v>17.749096099195594</v>
      </c>
      <c r="CK314" s="216">
        <f t="shared" ca="1" si="61"/>
        <v>1.1536912464477136</v>
      </c>
    </row>
    <row r="315" spans="1:89">
      <c r="A315" s="176">
        <v>19508</v>
      </c>
      <c r="B315" s="177">
        <v>301</v>
      </c>
      <c r="C315" s="178">
        <v>65</v>
      </c>
      <c r="D315" s="178">
        <v>1870</v>
      </c>
      <c r="E315" s="178" t="s">
        <v>50</v>
      </c>
      <c r="F315" s="179" t="s">
        <v>108</v>
      </c>
      <c r="G315" s="189" t="s">
        <v>111</v>
      </c>
      <c r="H315" s="178" t="s">
        <v>345</v>
      </c>
      <c r="I315" s="178" t="s">
        <v>113</v>
      </c>
      <c r="J315" s="178"/>
      <c r="K315" s="178"/>
      <c r="L315" s="178" t="s">
        <v>59</v>
      </c>
      <c r="M315" s="178">
        <v>30</v>
      </c>
      <c r="N315" s="178">
        <v>500</v>
      </c>
      <c r="O315" s="178"/>
      <c r="P315" s="178"/>
      <c r="Q315" s="178"/>
      <c r="R315" s="178" t="s">
        <v>19</v>
      </c>
      <c r="S315" s="181"/>
      <c r="T315" s="181"/>
      <c r="U315" s="182"/>
      <c r="V315" s="182" t="s">
        <v>35</v>
      </c>
      <c r="W315" s="183">
        <v>20</v>
      </c>
      <c r="X315" s="182" t="s">
        <v>51</v>
      </c>
      <c r="Y315" s="184">
        <v>3350</v>
      </c>
      <c r="Z315" s="184">
        <v>3350</v>
      </c>
      <c r="AA315" s="184">
        <v>3350</v>
      </c>
      <c r="AB315" s="184">
        <v>3250</v>
      </c>
      <c r="AC315" s="184">
        <v>3250</v>
      </c>
      <c r="AD315" s="184">
        <v>3250</v>
      </c>
      <c r="AE315" s="184">
        <v>3050</v>
      </c>
      <c r="AF315" s="184">
        <v>3050</v>
      </c>
      <c r="AG315" s="184">
        <v>3050</v>
      </c>
      <c r="AH315" s="184">
        <v>2900</v>
      </c>
      <c r="AI315" s="184">
        <v>2900</v>
      </c>
      <c r="AJ315" s="184">
        <v>2900</v>
      </c>
      <c r="AK315" s="184">
        <v>2900</v>
      </c>
      <c r="AL315" s="184">
        <v>2900</v>
      </c>
      <c r="AM315" s="184">
        <v>2900</v>
      </c>
      <c r="AN315" s="184">
        <v>2900</v>
      </c>
      <c r="AO315" s="184">
        <v>2900</v>
      </c>
      <c r="AP315" s="184">
        <v>2900</v>
      </c>
      <c r="AQ315" s="184">
        <v>2710</v>
      </c>
      <c r="AR315" s="184">
        <v>3100</v>
      </c>
      <c r="AS315" s="184">
        <v>3100</v>
      </c>
      <c r="AT315" s="184">
        <v>3100</v>
      </c>
      <c r="AU315" s="184">
        <v>3100</v>
      </c>
      <c r="AV315" s="184">
        <v>3100</v>
      </c>
      <c r="AW315" s="184">
        <v>2870</v>
      </c>
      <c r="AX315" s="184">
        <v>2870</v>
      </c>
      <c r="AY315" s="146">
        <f t="shared" si="62"/>
        <v>2370</v>
      </c>
      <c r="AZ315" s="146">
        <f t="shared" si="63"/>
        <v>2370</v>
      </c>
      <c r="BA315" s="146">
        <f t="shared" si="63"/>
        <v>2370</v>
      </c>
      <c r="BB315" s="184">
        <v>2500</v>
      </c>
      <c r="BC315" s="184">
        <v>2500</v>
      </c>
      <c r="BD315" s="184">
        <v>2500</v>
      </c>
      <c r="BE315" s="184">
        <v>2500</v>
      </c>
      <c r="BF315" s="184">
        <v>2350</v>
      </c>
      <c r="BG315" s="184">
        <v>2350</v>
      </c>
      <c r="BH315" s="184">
        <v>2350</v>
      </c>
      <c r="BI315" s="184"/>
      <c r="BJ315" s="184"/>
      <c r="BK315" s="184"/>
      <c r="BL315" s="184">
        <v>2300</v>
      </c>
      <c r="BM315" s="184">
        <v>2300</v>
      </c>
      <c r="BN315" s="184">
        <v>2300</v>
      </c>
      <c r="BO315" s="184">
        <v>3030</v>
      </c>
      <c r="BP315" s="184">
        <v>3030</v>
      </c>
      <c r="BQ315" s="184">
        <v>3030</v>
      </c>
      <c r="BR315" s="184"/>
      <c r="BS315" s="184"/>
      <c r="BT315" s="184"/>
      <c r="BU315" s="146" cm="1">
        <f t="array" ref="BU315">LOOKUP(2,1/(Y315:BT315&lt;&gt;""),Y315:BH315)</f>
        <v>3030</v>
      </c>
      <c r="BV315" s="145" cm="1">
        <f t="array" aca="1" ref="BV315" ca="1">_xlfn.LET(
    _xlpm.last_col_idx, LOOKUP(2, 1/(Y315:BT315&lt;&gt;""), COLUMN(Y315:BT315) - COLUMN(Y315) + 1),
    _xlpm.header_val, INDEX($Y$3:$BT$3, 1, _xlpm.last_col_idx),
    _xlpm.header_date, IF(ISNUMBER(_xlpm.header_val), _xlpm.header_val, DATEVALUE(_xlpm.header_val)),
    IF(_xlpm.header_date &gt; TODAY(), TODAY(), _xlpm.header_date)
)</f>
        <v>46212</v>
      </c>
      <c r="BW315" s="209" cm="1">
        <f t="array" ref="BW315">(LOOKUP(2,1/(BH315:BT315&lt;&gt;""),BH315:BT315))/(INDEX(BH315:BT315,MATCH(TRUE,INDEX((BH315:BT315&lt;&gt;0),0),0)))-1</f>
        <v>0.28936170212765955</v>
      </c>
      <c r="BX315" s="210">
        <f t="shared" si="52"/>
        <v>3.03</v>
      </c>
      <c r="BY315" s="210">
        <f t="shared" si="53"/>
        <v>17.876999999999999</v>
      </c>
      <c r="BZ315" s="210">
        <f ca="1">IF(L315="BR",'Impostos e Frete'!$F$6,IF(L315="EU",'Impostos e Frete'!$I$3,IF(L315="CN",'Impostos e Frete'!$I$4,IF(L315="JP",'Impostos e Frete'!$I$5,IF(L315="RU",'Impostos e Frete'!$I$7,"ERRO")))))</f>
        <v>0.1410816</v>
      </c>
      <c r="CA315" s="210">
        <f>VLOOKUP(L315,'Impostos e Frete'!$A$3:$B$7,2,0)*'Preços e Condições'!BY315</f>
        <v>2.3240099999999999</v>
      </c>
      <c r="CB315" s="147">
        <f t="shared" si="54"/>
        <v>0</v>
      </c>
      <c r="CC315" s="147">
        <f>IF(X315="BRL",'Impostos e Frete'!$B$11,'Impostos e Frete'!$B$12)</f>
        <v>9.1999999999999998E-2</v>
      </c>
      <c r="CD315" s="211">
        <f t="shared" ca="1" si="55"/>
        <v>20.434091599999999</v>
      </c>
      <c r="CE315" s="212">
        <f t="shared" ca="1" si="56"/>
        <v>1.328215954</v>
      </c>
      <c r="CF315" s="213">
        <f>VLOOKUP(L315,'Impostos e Frete'!$A$3:$C$7,3,0)</f>
        <v>105</v>
      </c>
      <c r="CG315" s="213">
        <f t="shared" si="57"/>
        <v>30</v>
      </c>
      <c r="CH315" s="213">
        <f t="shared" si="58"/>
        <v>-75</v>
      </c>
      <c r="CI315" s="214">
        <f t="shared" ca="1" si="59"/>
        <v>0.77492057874622944</v>
      </c>
      <c r="CJ315" s="215">
        <f t="shared" ca="1" si="60"/>
        <v>21.209012178746228</v>
      </c>
      <c r="CK315" s="216">
        <f t="shared" ca="1" si="61"/>
        <v>1.3785857916185049</v>
      </c>
    </row>
    <row r="316" spans="1:89">
      <c r="A316" s="176">
        <v>19509</v>
      </c>
      <c r="B316" s="177">
        <v>408</v>
      </c>
      <c r="C316" s="178">
        <v>65</v>
      </c>
      <c r="D316" s="178">
        <v>1870</v>
      </c>
      <c r="E316" s="178" t="s">
        <v>50</v>
      </c>
      <c r="F316" s="179" t="s">
        <v>108</v>
      </c>
      <c r="G316" s="189" t="s">
        <v>117</v>
      </c>
      <c r="H316" s="178" t="s">
        <v>61</v>
      </c>
      <c r="I316" s="178" t="s">
        <v>120</v>
      </c>
      <c r="J316" s="178"/>
      <c r="K316" s="178"/>
      <c r="L316" s="178" t="s">
        <v>59</v>
      </c>
      <c r="M316" s="178">
        <v>30</v>
      </c>
      <c r="N316" s="178">
        <v>500</v>
      </c>
      <c r="O316" s="178"/>
      <c r="P316" s="178"/>
      <c r="Q316" s="178"/>
      <c r="R316" s="178" t="s">
        <v>19</v>
      </c>
      <c r="S316" s="181"/>
      <c r="T316" s="181"/>
      <c r="U316" s="182"/>
      <c r="V316" s="182" t="s">
        <v>35</v>
      </c>
      <c r="W316" s="183">
        <v>80</v>
      </c>
      <c r="X316" s="182" t="s">
        <v>51</v>
      </c>
      <c r="Y316" s="184">
        <v>2310</v>
      </c>
      <c r="Z316" s="184">
        <v>2310</v>
      </c>
      <c r="AA316" s="184">
        <v>2310</v>
      </c>
      <c r="AB316" s="184">
        <v>2230</v>
      </c>
      <c r="AC316" s="184">
        <v>2230</v>
      </c>
      <c r="AD316" s="184">
        <v>2230</v>
      </c>
      <c r="AE316" s="184">
        <v>2060</v>
      </c>
      <c r="AF316" s="184">
        <v>2060</v>
      </c>
      <c r="AG316" s="184">
        <v>2060</v>
      </c>
      <c r="AH316" s="184">
        <v>1860</v>
      </c>
      <c r="AI316" s="184">
        <v>1860</v>
      </c>
      <c r="AJ316" s="184">
        <v>1860</v>
      </c>
      <c r="AK316" s="184">
        <v>1860</v>
      </c>
      <c r="AL316" s="184">
        <v>1860</v>
      </c>
      <c r="AM316" s="184">
        <v>1860</v>
      </c>
      <c r="AN316" s="184">
        <v>1860</v>
      </c>
      <c r="AO316" s="184">
        <v>1860</v>
      </c>
      <c r="AP316" s="184">
        <v>1860</v>
      </c>
      <c r="AQ316" s="184">
        <v>1910</v>
      </c>
      <c r="AR316" s="184">
        <v>1960</v>
      </c>
      <c r="AS316" s="184">
        <v>1960</v>
      </c>
      <c r="AT316" s="184">
        <v>1960</v>
      </c>
      <c r="AU316" s="184">
        <v>1960</v>
      </c>
      <c r="AV316" s="184">
        <v>1960</v>
      </c>
      <c r="AW316" s="184">
        <v>2360</v>
      </c>
      <c r="AX316" s="184">
        <v>2360</v>
      </c>
      <c r="AY316" s="146">
        <f t="shared" si="62"/>
        <v>1860</v>
      </c>
      <c r="AZ316" s="146">
        <f t="shared" si="63"/>
        <v>1860</v>
      </c>
      <c r="BA316" s="146">
        <f t="shared" si="63"/>
        <v>1860</v>
      </c>
      <c r="BB316" s="184">
        <v>2480</v>
      </c>
      <c r="BC316" s="184">
        <v>2480</v>
      </c>
      <c r="BD316" s="184">
        <v>2480</v>
      </c>
      <c r="BE316" s="184">
        <v>2480</v>
      </c>
      <c r="BF316" s="184">
        <v>2330</v>
      </c>
      <c r="BG316" s="184">
        <v>2330</v>
      </c>
      <c r="BH316" s="184">
        <v>2330</v>
      </c>
      <c r="BI316" s="184"/>
      <c r="BJ316" s="184"/>
      <c r="BK316" s="184"/>
      <c r="BL316" s="184">
        <v>2340</v>
      </c>
      <c r="BM316" s="184">
        <v>2340</v>
      </c>
      <c r="BN316" s="184">
        <v>2340</v>
      </c>
      <c r="BO316" s="184">
        <v>2450</v>
      </c>
      <c r="BP316" s="184">
        <v>2450</v>
      </c>
      <c r="BQ316" s="184">
        <v>2450</v>
      </c>
      <c r="BR316" s="184"/>
      <c r="BS316" s="184"/>
      <c r="BT316" s="184"/>
      <c r="BU316" s="146" cm="1">
        <f t="array" ref="BU316">LOOKUP(2,1/(Y316:BT316&lt;&gt;""),Y316:BH316)</f>
        <v>2450</v>
      </c>
      <c r="BV316" s="145" cm="1">
        <f t="array" aca="1" ref="BV316" ca="1">_xlfn.LET(
    _xlpm.last_col_idx, LOOKUP(2, 1/(Y316:BT316&lt;&gt;""), COLUMN(Y316:BT316) - COLUMN(Y316) + 1),
    _xlpm.header_val, INDEX($Y$3:$BT$3, 1, _xlpm.last_col_idx),
    _xlpm.header_date, IF(ISNUMBER(_xlpm.header_val), _xlpm.header_val, DATEVALUE(_xlpm.header_val)),
    IF(_xlpm.header_date &gt; TODAY(), TODAY(), _xlpm.header_date)
)</f>
        <v>46212</v>
      </c>
      <c r="BW316" s="209" cm="1">
        <f t="array" ref="BW316">(LOOKUP(2,1/(BH316:BT316&lt;&gt;""),BH316:BT316))/(INDEX(BH316:BT316,MATCH(TRUE,INDEX((BH316:BT316&lt;&gt;0),0),0)))-1</f>
        <v>5.1502145922746712E-2</v>
      </c>
      <c r="BX316" s="210">
        <f t="shared" si="52"/>
        <v>2.4500000000000002</v>
      </c>
      <c r="BY316" s="210">
        <f t="shared" si="53"/>
        <v>14.455000000000002</v>
      </c>
      <c r="BZ316" s="210">
        <f ca="1">IF(L316="BR",'Impostos e Frete'!$F$6,IF(L316="EU",'Impostos e Frete'!$I$3,IF(L316="CN",'Impostos e Frete'!$I$4,IF(L316="JP",'Impostos e Frete'!$I$5,IF(L316="RU",'Impostos e Frete'!$I$7,"ERRO")))))</f>
        <v>0.1410816</v>
      </c>
      <c r="CA316" s="210">
        <f>VLOOKUP(L316,'Impostos e Frete'!$A$3:$B$7,2,0)*'Preços e Condições'!BY316</f>
        <v>1.8791500000000003</v>
      </c>
      <c r="CB316" s="147">
        <f t="shared" si="54"/>
        <v>0</v>
      </c>
      <c r="CC316" s="147">
        <f>IF(X316="BRL",'Impostos e Frete'!$B$11,'Impostos e Frete'!$B$12)</f>
        <v>9.1999999999999998E-2</v>
      </c>
      <c r="CD316" s="211">
        <f t="shared" ca="1" si="55"/>
        <v>16.5672316</v>
      </c>
      <c r="CE316" s="212">
        <f t="shared" ca="1" si="56"/>
        <v>1.076870054</v>
      </c>
      <c r="CF316" s="213">
        <f>VLOOKUP(L316,'Impostos e Frete'!$A$3:$C$7,3,0)</f>
        <v>105</v>
      </c>
      <c r="CG316" s="213">
        <f t="shared" si="57"/>
        <v>30</v>
      </c>
      <c r="CH316" s="213">
        <f t="shared" si="58"/>
        <v>-75</v>
      </c>
      <c r="CI316" s="214">
        <f t="shared" ca="1" si="59"/>
        <v>0.62827792646749359</v>
      </c>
      <c r="CJ316" s="215">
        <f t="shared" ca="1" si="60"/>
        <v>17.195509526467493</v>
      </c>
      <c r="CK316" s="216">
        <f t="shared" ca="1" si="61"/>
        <v>1.117708119220387</v>
      </c>
    </row>
    <row r="317" spans="1:89">
      <c r="A317" s="176">
        <v>19509</v>
      </c>
      <c r="B317" s="177">
        <v>408</v>
      </c>
      <c r="C317" s="178">
        <v>65</v>
      </c>
      <c r="D317" s="178">
        <v>1870</v>
      </c>
      <c r="E317" s="178" t="s">
        <v>50</v>
      </c>
      <c r="F317" s="179" t="s">
        <v>108</v>
      </c>
      <c r="G317" s="189" t="s">
        <v>117</v>
      </c>
      <c r="H317" s="178" t="s">
        <v>61</v>
      </c>
      <c r="I317" s="178" t="s">
        <v>120</v>
      </c>
      <c r="J317" s="178"/>
      <c r="K317" s="178"/>
      <c r="L317" s="178" t="s">
        <v>59</v>
      </c>
      <c r="M317" s="178">
        <v>30</v>
      </c>
      <c r="N317" s="178">
        <v>500</v>
      </c>
      <c r="O317" s="178"/>
      <c r="P317" s="178"/>
      <c r="Q317" s="178"/>
      <c r="R317" s="178" t="s">
        <v>19</v>
      </c>
      <c r="S317" s="181"/>
      <c r="T317" s="181"/>
      <c r="U317" s="182"/>
      <c r="V317" s="182" t="s">
        <v>35</v>
      </c>
      <c r="W317" s="183">
        <v>50</v>
      </c>
      <c r="X317" s="182" t="s">
        <v>51</v>
      </c>
      <c r="Y317" s="184">
        <v>2510</v>
      </c>
      <c r="Z317" s="184">
        <v>2510</v>
      </c>
      <c r="AA317" s="184">
        <v>2510</v>
      </c>
      <c r="AB317" s="184">
        <v>2430</v>
      </c>
      <c r="AC317" s="184">
        <v>2430</v>
      </c>
      <c r="AD317" s="184">
        <v>2430</v>
      </c>
      <c r="AE317" s="184">
        <v>2260</v>
      </c>
      <c r="AF317" s="184">
        <v>2260</v>
      </c>
      <c r="AG317" s="184">
        <v>2260</v>
      </c>
      <c r="AH317" s="184">
        <v>1880</v>
      </c>
      <c r="AI317" s="184">
        <v>1880</v>
      </c>
      <c r="AJ317" s="184">
        <v>1880</v>
      </c>
      <c r="AK317" s="184">
        <v>1880</v>
      </c>
      <c r="AL317" s="184">
        <v>1880</v>
      </c>
      <c r="AM317" s="184">
        <v>1880</v>
      </c>
      <c r="AN317" s="184">
        <v>1880</v>
      </c>
      <c r="AO317" s="184">
        <v>1880</v>
      </c>
      <c r="AP317" s="184">
        <v>1880</v>
      </c>
      <c r="AQ317" s="184">
        <v>2110</v>
      </c>
      <c r="AR317" s="184">
        <v>2160</v>
      </c>
      <c r="AS317" s="184">
        <v>2160</v>
      </c>
      <c r="AT317" s="184">
        <v>2160</v>
      </c>
      <c r="AU317" s="184">
        <v>2160</v>
      </c>
      <c r="AV317" s="184">
        <v>2160</v>
      </c>
      <c r="AW317" s="184">
        <v>2380</v>
      </c>
      <c r="AX317" s="184">
        <v>2380</v>
      </c>
      <c r="AY317" s="146">
        <f t="shared" si="62"/>
        <v>1880</v>
      </c>
      <c r="AZ317" s="146">
        <f t="shared" si="63"/>
        <v>1880</v>
      </c>
      <c r="BA317" s="146">
        <f t="shared" si="63"/>
        <v>1880</v>
      </c>
      <c r="BB317" s="184">
        <v>2500</v>
      </c>
      <c r="BC317" s="184">
        <v>2500</v>
      </c>
      <c r="BD317" s="184">
        <v>2500</v>
      </c>
      <c r="BE317" s="184">
        <v>2500</v>
      </c>
      <c r="BF317" s="184">
        <v>2350</v>
      </c>
      <c r="BG317" s="184">
        <v>2350</v>
      </c>
      <c r="BH317" s="184">
        <v>2350</v>
      </c>
      <c r="BI317" s="184"/>
      <c r="BJ317" s="184"/>
      <c r="BK317" s="184"/>
      <c r="BL317" s="184">
        <v>2360</v>
      </c>
      <c r="BM317" s="184">
        <v>2360</v>
      </c>
      <c r="BN317" s="184">
        <v>2360</v>
      </c>
      <c r="BO317" s="184">
        <v>2650</v>
      </c>
      <c r="BP317" s="184">
        <v>2650</v>
      </c>
      <c r="BQ317" s="184">
        <v>2650</v>
      </c>
      <c r="BR317" s="184"/>
      <c r="BS317" s="184"/>
      <c r="BT317" s="184"/>
      <c r="BU317" s="146" cm="1">
        <f t="array" ref="BU317">LOOKUP(2,1/(Y317:BT317&lt;&gt;""),Y317:BH317)</f>
        <v>2650</v>
      </c>
      <c r="BV317" s="145" cm="1">
        <f t="array" aca="1" ref="BV317" ca="1">_xlfn.LET(
    _xlpm.last_col_idx, LOOKUP(2, 1/(Y317:BT317&lt;&gt;""), COLUMN(Y317:BT317) - COLUMN(Y317) + 1),
    _xlpm.header_val, INDEX($Y$3:$BT$3, 1, _xlpm.last_col_idx),
    _xlpm.header_date, IF(ISNUMBER(_xlpm.header_val), _xlpm.header_val, DATEVALUE(_xlpm.header_val)),
    IF(_xlpm.header_date &gt; TODAY(), TODAY(), _xlpm.header_date)
)</f>
        <v>46212</v>
      </c>
      <c r="BW317" s="209" cm="1">
        <f t="array" ref="BW317">(LOOKUP(2,1/(BH317:BT317&lt;&gt;""),BH317:BT317))/(INDEX(BH317:BT317,MATCH(TRUE,INDEX((BH317:BT317&lt;&gt;0),0),0)))-1</f>
        <v>0.12765957446808507</v>
      </c>
      <c r="BX317" s="210">
        <f t="shared" si="52"/>
        <v>2.65</v>
      </c>
      <c r="BY317" s="210">
        <f t="shared" si="53"/>
        <v>15.635</v>
      </c>
      <c r="BZ317" s="210">
        <f ca="1">IF(L317="BR",'Impostos e Frete'!$F$6,IF(L317="EU",'Impostos e Frete'!$I$3,IF(L317="CN",'Impostos e Frete'!$I$4,IF(L317="JP",'Impostos e Frete'!$I$5,IF(L317="RU",'Impostos e Frete'!$I$7,"ERRO")))))</f>
        <v>0.1410816</v>
      </c>
      <c r="CA317" s="210">
        <f>VLOOKUP(L317,'Impostos e Frete'!$A$3:$B$7,2,0)*'Preços e Condições'!BY317</f>
        <v>2.0325500000000001</v>
      </c>
      <c r="CB317" s="147">
        <f t="shared" si="54"/>
        <v>0</v>
      </c>
      <c r="CC317" s="147">
        <f>IF(X317="BRL",'Impostos e Frete'!$B$11,'Impostos e Frete'!$B$12)</f>
        <v>9.1999999999999998E-2</v>
      </c>
      <c r="CD317" s="211">
        <f t="shared" ca="1" si="55"/>
        <v>17.900631599999997</v>
      </c>
      <c r="CE317" s="212">
        <f t="shared" ca="1" si="56"/>
        <v>1.163541054</v>
      </c>
      <c r="CF317" s="213">
        <f>VLOOKUP(L317,'Impostos e Frete'!$A$3:$C$7,3,0)</f>
        <v>105</v>
      </c>
      <c r="CG317" s="213">
        <f t="shared" si="57"/>
        <v>30</v>
      </c>
      <c r="CH317" s="213">
        <f t="shared" si="58"/>
        <v>-75</v>
      </c>
      <c r="CI317" s="214">
        <f t="shared" ca="1" si="59"/>
        <v>0.6788443582877477</v>
      </c>
      <c r="CJ317" s="215">
        <f t="shared" ca="1" si="60"/>
        <v>18.579475958287745</v>
      </c>
      <c r="CK317" s="216">
        <f t="shared" ca="1" si="61"/>
        <v>1.2076659372887035</v>
      </c>
    </row>
    <row r="318" spans="1:89">
      <c r="A318" s="176">
        <v>19509</v>
      </c>
      <c r="B318" s="177">
        <v>408</v>
      </c>
      <c r="C318" s="178">
        <v>65</v>
      </c>
      <c r="D318" s="178">
        <v>1870</v>
      </c>
      <c r="E318" s="178" t="s">
        <v>50</v>
      </c>
      <c r="F318" s="179" t="s">
        <v>108</v>
      </c>
      <c r="G318" s="189" t="s">
        <v>117</v>
      </c>
      <c r="H318" s="178" t="s">
        <v>61</v>
      </c>
      <c r="I318" s="178" t="s">
        <v>120</v>
      </c>
      <c r="J318" s="178"/>
      <c r="K318" s="178"/>
      <c r="L318" s="178" t="s">
        <v>59</v>
      </c>
      <c r="M318" s="178">
        <v>30</v>
      </c>
      <c r="N318" s="178">
        <v>500</v>
      </c>
      <c r="O318" s="178"/>
      <c r="P318" s="178"/>
      <c r="Q318" s="178"/>
      <c r="R318" s="178" t="s">
        <v>19</v>
      </c>
      <c r="S318" s="181"/>
      <c r="T318" s="181"/>
      <c r="U318" s="182"/>
      <c r="V318" s="182" t="s">
        <v>35</v>
      </c>
      <c r="W318" s="183">
        <v>20</v>
      </c>
      <c r="X318" s="182" t="s">
        <v>51</v>
      </c>
      <c r="Y318" s="184">
        <v>3010</v>
      </c>
      <c r="Z318" s="184">
        <v>3010</v>
      </c>
      <c r="AA318" s="184">
        <v>3010</v>
      </c>
      <c r="AB318" s="184">
        <v>2930</v>
      </c>
      <c r="AC318" s="184">
        <v>2930</v>
      </c>
      <c r="AD318" s="184">
        <v>2930</v>
      </c>
      <c r="AE318" s="184">
        <v>2760</v>
      </c>
      <c r="AF318" s="184">
        <v>2760</v>
      </c>
      <c r="AG318" s="184">
        <v>2760</v>
      </c>
      <c r="AH318" s="184">
        <v>2560</v>
      </c>
      <c r="AI318" s="184">
        <v>2560</v>
      </c>
      <c r="AJ318" s="184">
        <v>2560</v>
      </c>
      <c r="AK318" s="184">
        <v>2560</v>
      </c>
      <c r="AL318" s="184">
        <v>2560</v>
      </c>
      <c r="AM318" s="184">
        <v>2560</v>
      </c>
      <c r="AN318" s="184">
        <v>2560</v>
      </c>
      <c r="AO318" s="184">
        <v>2560</v>
      </c>
      <c r="AP318" s="184">
        <v>2560</v>
      </c>
      <c r="AQ318" s="184">
        <v>2610</v>
      </c>
      <c r="AR318" s="184">
        <v>2660</v>
      </c>
      <c r="AS318" s="184">
        <v>2660</v>
      </c>
      <c r="AT318" s="184">
        <v>2660</v>
      </c>
      <c r="AU318" s="184">
        <v>2660</v>
      </c>
      <c r="AV318" s="184">
        <v>2660</v>
      </c>
      <c r="AW318" s="184">
        <v>2430</v>
      </c>
      <c r="AX318" s="184">
        <v>2430</v>
      </c>
      <c r="AY318" s="146">
        <f t="shared" si="62"/>
        <v>1930</v>
      </c>
      <c r="AZ318" s="146">
        <f t="shared" si="63"/>
        <v>1930</v>
      </c>
      <c r="BA318" s="146">
        <f t="shared" si="63"/>
        <v>1930</v>
      </c>
      <c r="BB318" s="184">
        <v>2550</v>
      </c>
      <c r="BC318" s="184">
        <v>2550</v>
      </c>
      <c r="BD318" s="184">
        <v>2550</v>
      </c>
      <c r="BE318" s="184">
        <v>2550</v>
      </c>
      <c r="BF318" s="184">
        <v>2400</v>
      </c>
      <c r="BG318" s="184">
        <v>2400</v>
      </c>
      <c r="BH318" s="184">
        <v>2400</v>
      </c>
      <c r="BI318" s="184"/>
      <c r="BJ318" s="184"/>
      <c r="BK318" s="184"/>
      <c r="BL318" s="202">
        <v>2390</v>
      </c>
      <c r="BM318" s="202">
        <v>2390</v>
      </c>
      <c r="BN318" s="202">
        <v>2390</v>
      </c>
      <c r="BO318" s="184">
        <v>3150</v>
      </c>
      <c r="BP318" s="184">
        <v>3150</v>
      </c>
      <c r="BQ318" s="184">
        <v>3150</v>
      </c>
      <c r="BR318" s="184"/>
      <c r="BS318" s="184"/>
      <c r="BT318" s="184"/>
      <c r="BU318" s="146" cm="1">
        <f t="array" ref="BU318">LOOKUP(2,1/(Y318:BT318&lt;&gt;""),Y318:BH318)</f>
        <v>3150</v>
      </c>
      <c r="BV318" s="145" cm="1">
        <f t="array" aca="1" ref="BV318" ca="1">_xlfn.LET(
    _xlpm.last_col_idx, LOOKUP(2, 1/(Y318:BT318&lt;&gt;""), COLUMN(Y318:BT318) - COLUMN(Y318) + 1),
    _xlpm.header_val, INDEX($Y$3:$BT$3, 1, _xlpm.last_col_idx),
    _xlpm.header_date, IF(ISNUMBER(_xlpm.header_val), _xlpm.header_val, DATEVALUE(_xlpm.header_val)),
    IF(_xlpm.header_date &gt; TODAY(), TODAY(), _xlpm.header_date)
)</f>
        <v>46212</v>
      </c>
      <c r="BW318" s="209" cm="1">
        <f t="array" ref="BW318">(LOOKUP(2,1/(BH318:BT318&lt;&gt;""),BH318:BT318))/(INDEX(BH318:BT318,MATCH(TRUE,INDEX((BH318:BT318&lt;&gt;0),0),0)))-1</f>
        <v>0.3125</v>
      </c>
      <c r="BX318" s="210">
        <f t="shared" si="52"/>
        <v>3.15</v>
      </c>
      <c r="BY318" s="210">
        <f t="shared" si="53"/>
        <v>18.585000000000001</v>
      </c>
      <c r="BZ318" s="210">
        <f ca="1">IF(L318="BR",'Impostos e Frete'!$F$6,IF(L318="EU",'Impostos e Frete'!$I$3,IF(L318="CN",'Impostos e Frete'!$I$4,IF(L318="JP",'Impostos e Frete'!$I$5,IF(L318="RU",'Impostos e Frete'!$I$7,"ERRO")))))</f>
        <v>0.1410816</v>
      </c>
      <c r="CA318" s="210">
        <f>VLOOKUP(L318,'Impostos e Frete'!$A$3:$B$7,2,0)*'Preços e Condições'!BY318</f>
        <v>2.4160500000000003</v>
      </c>
      <c r="CB318" s="147">
        <f t="shared" si="54"/>
        <v>0</v>
      </c>
      <c r="CC318" s="147">
        <f>IF(X318="BRL",'Impostos e Frete'!$B$11,'Impostos e Frete'!$B$12)</f>
        <v>9.1999999999999998E-2</v>
      </c>
      <c r="CD318" s="211">
        <f t="shared" ca="1" si="55"/>
        <v>21.234131599999998</v>
      </c>
      <c r="CE318" s="212">
        <f t="shared" ca="1" si="56"/>
        <v>1.3802185539999998</v>
      </c>
      <c r="CF318" s="213">
        <f>VLOOKUP(L318,'Impostos e Frete'!$A$3:$C$7,3,0)</f>
        <v>105</v>
      </c>
      <c r="CG318" s="213">
        <f t="shared" si="57"/>
        <v>30</v>
      </c>
      <c r="CH318" s="213">
        <f t="shared" si="58"/>
        <v>-75</v>
      </c>
      <c r="CI318" s="214">
        <f t="shared" ca="1" si="59"/>
        <v>0.80526043783838119</v>
      </c>
      <c r="CJ318" s="215">
        <f t="shared" ca="1" si="60"/>
        <v>22.039392037838379</v>
      </c>
      <c r="CK318" s="216">
        <f t="shared" ca="1" si="61"/>
        <v>1.4325604824594946</v>
      </c>
    </row>
    <row r="319" spans="1:89">
      <c r="A319" s="176">
        <v>19510</v>
      </c>
      <c r="B319" s="177">
        <v>104</v>
      </c>
      <c r="C319" s="178">
        <v>78</v>
      </c>
      <c r="D319" s="178">
        <v>1870</v>
      </c>
      <c r="E319" s="178" t="s">
        <v>50</v>
      </c>
      <c r="F319" s="179" t="s">
        <v>108</v>
      </c>
      <c r="G319" s="189" t="s">
        <v>114</v>
      </c>
      <c r="H319" s="178" t="s">
        <v>43</v>
      </c>
      <c r="I319" s="178" t="s">
        <v>118</v>
      </c>
      <c r="J319" s="178"/>
      <c r="K319" s="178"/>
      <c r="L319" s="178" t="s">
        <v>59</v>
      </c>
      <c r="M319" s="178">
        <v>30</v>
      </c>
      <c r="N319" s="178">
        <v>500</v>
      </c>
      <c r="O319" s="178"/>
      <c r="P319" s="178"/>
      <c r="Q319" s="178"/>
      <c r="R319" s="178" t="s">
        <v>19</v>
      </c>
      <c r="S319" s="181"/>
      <c r="T319" s="181"/>
      <c r="U319" s="182"/>
      <c r="V319" s="182" t="s">
        <v>35</v>
      </c>
      <c r="W319" s="183">
        <v>200</v>
      </c>
      <c r="X319" s="182" t="s">
        <v>51</v>
      </c>
      <c r="Y319" s="184">
        <v>2500</v>
      </c>
      <c r="Z319" s="184">
        <v>2500</v>
      </c>
      <c r="AA319" s="184">
        <v>2500</v>
      </c>
      <c r="AB319" s="184">
        <v>2500</v>
      </c>
      <c r="AC319" s="184">
        <v>2500</v>
      </c>
      <c r="AD319" s="184">
        <v>2500</v>
      </c>
      <c r="AE319" s="184">
        <v>2200</v>
      </c>
      <c r="AF319" s="184">
        <v>2200</v>
      </c>
      <c r="AG319" s="184">
        <v>2200</v>
      </c>
      <c r="AH319" s="184">
        <v>1950</v>
      </c>
      <c r="AI319" s="184">
        <v>1950</v>
      </c>
      <c r="AJ319" s="184">
        <v>1950</v>
      </c>
      <c r="AK319" s="184">
        <v>1950</v>
      </c>
      <c r="AL319" s="184">
        <v>1950</v>
      </c>
      <c r="AM319" s="184">
        <v>1950</v>
      </c>
      <c r="AN319" s="184">
        <v>1900</v>
      </c>
      <c r="AO319" s="184">
        <v>1900</v>
      </c>
      <c r="AP319" s="184">
        <v>1900</v>
      </c>
      <c r="AQ319" s="184">
        <v>1970</v>
      </c>
      <c r="AR319" s="184">
        <v>1970</v>
      </c>
      <c r="AS319" s="184">
        <v>1970</v>
      </c>
      <c r="AT319" s="184">
        <v>1970</v>
      </c>
      <c r="AU319" s="184"/>
      <c r="AV319" s="184"/>
      <c r="AW319" s="184">
        <v>2660</v>
      </c>
      <c r="AX319" s="184">
        <v>2660</v>
      </c>
      <c r="AY319" s="146">
        <f t="shared" si="62"/>
        <v>2160</v>
      </c>
      <c r="AZ319" s="146">
        <f t="shared" si="63"/>
        <v>2160</v>
      </c>
      <c r="BA319" s="146">
        <f t="shared" si="63"/>
        <v>2160</v>
      </c>
      <c r="BB319" s="184"/>
      <c r="BC319" s="184"/>
      <c r="BD319" s="184"/>
      <c r="BE319" s="184"/>
      <c r="BF319" s="184"/>
      <c r="BG319" s="146">
        <f>2160-500</f>
        <v>1660</v>
      </c>
      <c r="BH319" s="146">
        <f>2160-500</f>
        <v>1660</v>
      </c>
      <c r="BI319" s="184"/>
      <c r="BJ319" s="184"/>
      <c r="BK319" s="184"/>
      <c r="BL319" s="202"/>
      <c r="BM319" s="202"/>
      <c r="BN319" s="202"/>
      <c r="BO319" s="184"/>
      <c r="BP319" s="184"/>
      <c r="BQ319" s="184"/>
      <c r="BR319" s="184"/>
      <c r="BS319" s="184"/>
      <c r="BT319" s="184"/>
      <c r="BU319" s="146" cm="1">
        <f t="array" ref="BU319">LOOKUP(2,1/(Y319:BT319&lt;&gt;""),Y319:BH319)</f>
        <v>1660</v>
      </c>
      <c r="BV319" s="145" cm="1">
        <f t="array" aca="1" ref="BV319" ca="1">_xlfn.LET(
    _xlpm.last_col_idx, LOOKUP(2, 1/(Y319:BT319&lt;&gt;""), COLUMN(Y319:BT319) - COLUMN(Y319) + 1),
    _xlpm.header_val, INDEX($Y$3:$BT$3, 1, _xlpm.last_col_idx),
    _xlpm.header_date, IF(ISNUMBER(_xlpm.header_val), _xlpm.header_val, DATEVALUE(_xlpm.header_val)),
    IF(_xlpm.header_date &gt; TODAY(), TODAY(), _xlpm.header_date)
)</f>
        <v>45992</v>
      </c>
      <c r="BW319" s="209" cm="1">
        <f t="array" ref="BW319">(LOOKUP(2,1/(BH319:BT319&lt;&gt;""),BH319:BT319))/(INDEX(BH319:BT319,MATCH(TRUE,INDEX((BH319:BT319&lt;&gt;0),0),0)))-1</f>
        <v>0</v>
      </c>
      <c r="BX319" s="210">
        <f t="shared" si="52"/>
        <v>1.66</v>
      </c>
      <c r="BY319" s="210">
        <f t="shared" si="53"/>
        <v>9.7940000000000005</v>
      </c>
      <c r="BZ319" s="210">
        <f ca="1">IF(L319="BR",'Impostos e Frete'!$F$6,IF(L319="EU",'Impostos e Frete'!$I$3,IF(L319="CN",'Impostos e Frete'!$I$4,IF(L319="JP",'Impostos e Frete'!$I$5,IF(L319="RU",'Impostos e Frete'!$I$7,"ERRO")))))</f>
        <v>0.1410816</v>
      </c>
      <c r="CA319" s="210">
        <f>VLOOKUP(L319,'Impostos e Frete'!$A$3:$B$7,2,0)*'Preços e Condições'!BY319</f>
        <v>1.27322</v>
      </c>
      <c r="CB319" s="147">
        <f t="shared" si="54"/>
        <v>0</v>
      </c>
      <c r="CC319" s="147">
        <f>IF(X319="BRL",'Impostos e Frete'!$B$11,'Impostos e Frete'!$B$12)</f>
        <v>9.1999999999999998E-2</v>
      </c>
      <c r="CD319" s="211">
        <f t="shared" ca="1" si="55"/>
        <v>11.300301600000001</v>
      </c>
      <c r="CE319" s="212">
        <f t="shared" ca="1" si="56"/>
        <v>0.88142352480000008</v>
      </c>
      <c r="CF319" s="213">
        <f>VLOOKUP(L319,'Impostos e Frete'!$A$3:$C$7,3,0)</f>
        <v>105</v>
      </c>
      <c r="CG319" s="213">
        <f t="shared" si="57"/>
        <v>30</v>
      </c>
      <c r="CH319" s="213">
        <f t="shared" si="58"/>
        <v>-75</v>
      </c>
      <c r="CI319" s="214">
        <f t="shared" ca="1" si="59"/>
        <v>0.42854052077749039</v>
      </c>
      <c r="CJ319" s="215">
        <f t="shared" ca="1" si="60"/>
        <v>11.728842120777491</v>
      </c>
      <c r="CK319" s="216">
        <f t="shared" ca="1" si="61"/>
        <v>0.91484968542064438</v>
      </c>
    </row>
    <row r="320" spans="1:89">
      <c r="A320" s="176">
        <v>19510</v>
      </c>
      <c r="B320" s="177">
        <v>104</v>
      </c>
      <c r="C320" s="178">
        <v>78</v>
      </c>
      <c r="D320" s="178">
        <v>1870</v>
      </c>
      <c r="E320" s="178" t="s">
        <v>50</v>
      </c>
      <c r="F320" s="179" t="s">
        <v>108</v>
      </c>
      <c r="G320" s="189" t="s">
        <v>114</v>
      </c>
      <c r="H320" s="178" t="s">
        <v>43</v>
      </c>
      <c r="I320" s="178" t="s">
        <v>118</v>
      </c>
      <c r="J320" s="178"/>
      <c r="K320" s="178"/>
      <c r="L320" s="178" t="s">
        <v>59</v>
      </c>
      <c r="M320" s="178">
        <v>30</v>
      </c>
      <c r="N320" s="178">
        <v>500</v>
      </c>
      <c r="O320" s="178"/>
      <c r="P320" s="178"/>
      <c r="Q320" s="178"/>
      <c r="R320" s="178" t="s">
        <v>19</v>
      </c>
      <c r="S320" s="181"/>
      <c r="T320" s="181"/>
      <c r="U320" s="182"/>
      <c r="V320" s="182" t="s">
        <v>35</v>
      </c>
      <c r="W320" s="183">
        <v>80</v>
      </c>
      <c r="X320" s="182" t="s">
        <v>51</v>
      </c>
      <c r="Y320" s="184">
        <v>2500</v>
      </c>
      <c r="Z320" s="184">
        <v>2500</v>
      </c>
      <c r="AA320" s="184">
        <v>2500</v>
      </c>
      <c r="AB320" s="184">
        <v>2500</v>
      </c>
      <c r="AC320" s="184">
        <v>2500</v>
      </c>
      <c r="AD320" s="184">
        <v>2500</v>
      </c>
      <c r="AE320" s="184">
        <v>2200</v>
      </c>
      <c r="AF320" s="184">
        <v>2200</v>
      </c>
      <c r="AG320" s="184">
        <v>2200</v>
      </c>
      <c r="AH320" s="184">
        <v>1950</v>
      </c>
      <c r="AI320" s="184">
        <v>1950</v>
      </c>
      <c r="AJ320" s="184">
        <v>1950</v>
      </c>
      <c r="AK320" s="184">
        <v>1950</v>
      </c>
      <c r="AL320" s="184">
        <v>1950</v>
      </c>
      <c r="AM320" s="184">
        <v>1950</v>
      </c>
      <c r="AN320" s="184">
        <v>1950</v>
      </c>
      <c r="AO320" s="184">
        <v>1950</v>
      </c>
      <c r="AP320" s="184">
        <v>1950</v>
      </c>
      <c r="AQ320" s="184">
        <v>1950</v>
      </c>
      <c r="AR320" s="184">
        <v>2050</v>
      </c>
      <c r="AS320" s="184">
        <v>2050</v>
      </c>
      <c r="AT320" s="184">
        <v>2050</v>
      </c>
      <c r="AU320" s="184">
        <v>2050</v>
      </c>
      <c r="AV320" s="184">
        <v>2050</v>
      </c>
      <c r="AW320" s="184">
        <v>2660</v>
      </c>
      <c r="AX320" s="184">
        <v>2660</v>
      </c>
      <c r="AY320" s="146">
        <f t="shared" si="62"/>
        <v>2160</v>
      </c>
      <c r="AZ320" s="146">
        <f t="shared" si="63"/>
        <v>2160</v>
      </c>
      <c r="BA320" s="146">
        <f t="shared" si="63"/>
        <v>2160</v>
      </c>
      <c r="BB320" s="184"/>
      <c r="BC320" s="184"/>
      <c r="BD320" s="184"/>
      <c r="BE320" s="184"/>
      <c r="BF320" s="184">
        <v>1850</v>
      </c>
      <c r="BG320" s="184">
        <v>1850</v>
      </c>
      <c r="BH320" s="184">
        <v>1850</v>
      </c>
      <c r="BI320" s="184"/>
      <c r="BJ320" s="184"/>
      <c r="BK320" s="184"/>
      <c r="BL320" s="202">
        <v>1650</v>
      </c>
      <c r="BM320" s="202">
        <v>1650</v>
      </c>
      <c r="BN320" s="202">
        <v>1650</v>
      </c>
      <c r="BO320" s="184">
        <v>1650</v>
      </c>
      <c r="BP320" s="184">
        <v>1650</v>
      </c>
      <c r="BQ320" s="184">
        <v>1650</v>
      </c>
      <c r="BR320" s="184"/>
      <c r="BS320" s="184"/>
      <c r="BT320" s="184"/>
      <c r="BU320" s="146" cm="1">
        <f t="array" ref="BU320">LOOKUP(2,1/(Y320:BT320&lt;&gt;""),Y320:BH320)</f>
        <v>1650</v>
      </c>
      <c r="BV320" s="145" cm="1">
        <f t="array" aca="1" ref="BV320" ca="1">_xlfn.LET(
    _xlpm.last_col_idx, LOOKUP(2, 1/(Y320:BT320&lt;&gt;""), COLUMN(Y320:BT320) - COLUMN(Y320) + 1),
    _xlpm.header_val, INDEX($Y$3:$BT$3, 1, _xlpm.last_col_idx),
    _xlpm.header_date, IF(ISNUMBER(_xlpm.header_val), _xlpm.header_val, DATEVALUE(_xlpm.header_val)),
    IF(_xlpm.header_date &gt; TODAY(), TODAY(), _xlpm.header_date)
)</f>
        <v>46212</v>
      </c>
      <c r="BW320" s="209" cm="1">
        <f t="array" ref="BW320">(LOOKUP(2,1/(BH320:BT320&lt;&gt;""),BH320:BT320))/(INDEX(BH320:BT320,MATCH(TRUE,INDEX((BH320:BT320&lt;&gt;0),0),0)))-1</f>
        <v>-0.10810810810810811</v>
      </c>
      <c r="BX320" s="210">
        <f t="shared" si="52"/>
        <v>1.65</v>
      </c>
      <c r="BY320" s="210">
        <f t="shared" si="53"/>
        <v>9.7349999999999994</v>
      </c>
      <c r="BZ320" s="210">
        <f ca="1">IF(L320="BR",'Impostos e Frete'!$F$6,IF(L320="EU",'Impostos e Frete'!$I$3,IF(L320="CN",'Impostos e Frete'!$I$4,IF(L320="JP",'Impostos e Frete'!$I$5,IF(L320="RU",'Impostos e Frete'!$I$7,"ERRO")))))</f>
        <v>0.1410816</v>
      </c>
      <c r="CA320" s="210">
        <f>VLOOKUP(L320,'Impostos e Frete'!$A$3:$B$7,2,0)*'Preços e Condições'!BY320</f>
        <v>1.26555</v>
      </c>
      <c r="CB320" s="147">
        <f t="shared" si="54"/>
        <v>0</v>
      </c>
      <c r="CC320" s="147">
        <f>IF(X320="BRL",'Impostos e Frete'!$B$11,'Impostos e Frete'!$B$12)</f>
        <v>9.1999999999999998E-2</v>
      </c>
      <c r="CD320" s="211">
        <f t="shared" ca="1" si="55"/>
        <v>11.233631599999999</v>
      </c>
      <c r="CE320" s="212">
        <f t="shared" ca="1" si="56"/>
        <v>0.8762232647999999</v>
      </c>
      <c r="CF320" s="213">
        <f>VLOOKUP(L320,'Impostos e Frete'!$A$3:$C$7,3,0)</f>
        <v>105</v>
      </c>
      <c r="CG320" s="213">
        <f t="shared" si="57"/>
        <v>30</v>
      </c>
      <c r="CH320" s="213">
        <f t="shared" si="58"/>
        <v>-75</v>
      </c>
      <c r="CI320" s="214">
        <f t="shared" ca="1" si="59"/>
        <v>0.42601219918647715</v>
      </c>
      <c r="CJ320" s="215">
        <f t="shared" ca="1" si="60"/>
        <v>11.659643799186476</v>
      </c>
      <c r="CK320" s="216">
        <f t="shared" ca="1" si="61"/>
        <v>0.90945221633654516</v>
      </c>
    </row>
    <row r="321" spans="1:89">
      <c r="A321" s="176">
        <v>19510</v>
      </c>
      <c r="B321" s="177">
        <v>104</v>
      </c>
      <c r="C321" s="178">
        <v>78</v>
      </c>
      <c r="D321" s="178">
        <v>1870</v>
      </c>
      <c r="E321" s="178" t="s">
        <v>50</v>
      </c>
      <c r="F321" s="179" t="s">
        <v>108</v>
      </c>
      <c r="G321" s="189" t="s">
        <v>114</v>
      </c>
      <c r="H321" s="178" t="s">
        <v>43</v>
      </c>
      <c r="I321" s="178" t="s">
        <v>118</v>
      </c>
      <c r="J321" s="178"/>
      <c r="K321" s="178"/>
      <c r="L321" s="178" t="s">
        <v>59</v>
      </c>
      <c r="M321" s="178">
        <v>30</v>
      </c>
      <c r="N321" s="178">
        <v>500</v>
      </c>
      <c r="O321" s="178"/>
      <c r="P321" s="178"/>
      <c r="Q321" s="178"/>
      <c r="R321" s="178" t="s">
        <v>19</v>
      </c>
      <c r="S321" s="181"/>
      <c r="T321" s="181"/>
      <c r="U321" s="182"/>
      <c r="V321" s="182" t="s">
        <v>35</v>
      </c>
      <c r="W321" s="183">
        <v>50</v>
      </c>
      <c r="X321" s="182" t="s">
        <v>51</v>
      </c>
      <c r="Y321" s="184">
        <v>2700</v>
      </c>
      <c r="Z321" s="184">
        <v>2700</v>
      </c>
      <c r="AA321" s="184">
        <v>2700</v>
      </c>
      <c r="AB321" s="184">
        <v>2700</v>
      </c>
      <c r="AC321" s="184">
        <v>2700</v>
      </c>
      <c r="AD321" s="184">
        <v>2700</v>
      </c>
      <c r="AE321" s="184">
        <v>2400</v>
      </c>
      <c r="AF321" s="184">
        <v>2400</v>
      </c>
      <c r="AG321" s="184">
        <v>2400</v>
      </c>
      <c r="AH321" s="184">
        <v>2150</v>
      </c>
      <c r="AI321" s="184">
        <v>2150</v>
      </c>
      <c r="AJ321" s="184">
        <v>2150</v>
      </c>
      <c r="AK321" s="184">
        <v>2150</v>
      </c>
      <c r="AL321" s="184">
        <v>2150</v>
      </c>
      <c r="AM321" s="184">
        <v>2150</v>
      </c>
      <c r="AN321" s="184">
        <v>2150</v>
      </c>
      <c r="AO321" s="184">
        <v>2150</v>
      </c>
      <c r="AP321" s="184">
        <v>2150</v>
      </c>
      <c r="AQ321" s="184">
        <v>2150</v>
      </c>
      <c r="AR321" s="184">
        <v>2250</v>
      </c>
      <c r="AS321" s="184">
        <v>2250</v>
      </c>
      <c r="AT321" s="184">
        <v>2250</v>
      </c>
      <c r="AU321" s="184">
        <v>2250</v>
      </c>
      <c r="AV321" s="184">
        <v>2250</v>
      </c>
      <c r="AW321" s="184">
        <v>2680</v>
      </c>
      <c r="AX321" s="184">
        <v>2680</v>
      </c>
      <c r="AY321" s="146">
        <f t="shared" si="62"/>
        <v>2180</v>
      </c>
      <c r="AZ321" s="146">
        <f t="shared" si="63"/>
        <v>2180</v>
      </c>
      <c r="BA321" s="146">
        <f t="shared" si="63"/>
        <v>2180</v>
      </c>
      <c r="BB321" s="184"/>
      <c r="BC321" s="184"/>
      <c r="BD321" s="184"/>
      <c r="BE321" s="184"/>
      <c r="BF321" s="184">
        <v>1870</v>
      </c>
      <c r="BG321" s="184">
        <v>1870</v>
      </c>
      <c r="BH321" s="184">
        <v>1870</v>
      </c>
      <c r="BI321" s="184"/>
      <c r="BJ321" s="184"/>
      <c r="BK321" s="184"/>
      <c r="BL321" s="202">
        <v>1670</v>
      </c>
      <c r="BM321" s="202">
        <v>1670</v>
      </c>
      <c r="BN321" s="202">
        <v>1670</v>
      </c>
      <c r="BO321" s="184">
        <v>1850</v>
      </c>
      <c r="BP321" s="184">
        <v>1850</v>
      </c>
      <c r="BQ321" s="184">
        <v>1850</v>
      </c>
      <c r="BR321" s="184"/>
      <c r="BS321" s="184"/>
      <c r="BT321" s="184"/>
      <c r="BU321" s="146" cm="1">
        <f t="array" ref="BU321">LOOKUP(2,1/(Y321:BT321&lt;&gt;""),Y321:BH321)</f>
        <v>1850</v>
      </c>
      <c r="BV321" s="145" cm="1">
        <f t="array" aca="1" ref="BV321" ca="1">_xlfn.LET(
    _xlpm.last_col_idx, LOOKUP(2, 1/(Y321:BT321&lt;&gt;""), COLUMN(Y321:BT321) - COLUMN(Y321) + 1),
    _xlpm.header_val, INDEX($Y$3:$BT$3, 1, _xlpm.last_col_idx),
    _xlpm.header_date, IF(ISNUMBER(_xlpm.header_val), _xlpm.header_val, DATEVALUE(_xlpm.header_val)),
    IF(_xlpm.header_date &gt; TODAY(), TODAY(), _xlpm.header_date)
)</f>
        <v>46212</v>
      </c>
      <c r="BW321" s="209" cm="1">
        <f t="array" ref="BW321">(LOOKUP(2,1/(BH321:BT321&lt;&gt;""),BH321:BT321))/(INDEX(BH321:BT321,MATCH(TRUE,INDEX((BH321:BT321&lt;&gt;0),0),0)))-1</f>
        <v>-1.0695187165775444E-2</v>
      </c>
      <c r="BX321" s="210">
        <f t="shared" si="52"/>
        <v>1.85</v>
      </c>
      <c r="BY321" s="210">
        <f t="shared" si="53"/>
        <v>10.915000000000001</v>
      </c>
      <c r="BZ321" s="210">
        <f ca="1">IF(L321="BR",'Impostos e Frete'!$F$6,IF(L321="EU",'Impostos e Frete'!$I$3,IF(L321="CN",'Impostos e Frete'!$I$4,IF(L321="JP",'Impostos e Frete'!$I$5,IF(L321="RU",'Impostos e Frete'!$I$7,"ERRO")))))</f>
        <v>0.1410816</v>
      </c>
      <c r="CA321" s="210">
        <f>VLOOKUP(L321,'Impostos e Frete'!$A$3:$B$7,2,0)*'Preços e Condições'!BY321</f>
        <v>1.4189500000000002</v>
      </c>
      <c r="CB321" s="147">
        <f t="shared" si="54"/>
        <v>0</v>
      </c>
      <c r="CC321" s="147">
        <f>IF(X321="BRL",'Impostos e Frete'!$B$11,'Impostos e Frete'!$B$12)</f>
        <v>9.1999999999999998E-2</v>
      </c>
      <c r="CD321" s="211">
        <f t="shared" ca="1" si="55"/>
        <v>12.567031600000002</v>
      </c>
      <c r="CE321" s="212">
        <f t="shared" ca="1" si="56"/>
        <v>0.98022846480000014</v>
      </c>
      <c r="CF321" s="213">
        <f>VLOOKUP(L321,'Impostos e Frete'!$A$3:$C$7,3,0)</f>
        <v>105</v>
      </c>
      <c r="CG321" s="213">
        <f t="shared" si="57"/>
        <v>30</v>
      </c>
      <c r="CH321" s="213">
        <f t="shared" si="58"/>
        <v>-75</v>
      </c>
      <c r="CI321" s="214">
        <f t="shared" ca="1" si="59"/>
        <v>0.47657863100673126</v>
      </c>
      <c r="CJ321" s="215">
        <f t="shared" ca="1" si="60"/>
        <v>13.043610231006733</v>
      </c>
      <c r="CK321" s="216">
        <f t="shared" ca="1" si="61"/>
        <v>1.0174015980185251</v>
      </c>
    </row>
    <row r="322" spans="1:89">
      <c r="A322" s="176">
        <v>19510</v>
      </c>
      <c r="B322" s="177">
        <v>104</v>
      </c>
      <c r="C322" s="178">
        <v>78</v>
      </c>
      <c r="D322" s="178">
        <v>1870</v>
      </c>
      <c r="E322" s="178" t="s">
        <v>50</v>
      </c>
      <c r="F322" s="179" t="s">
        <v>108</v>
      </c>
      <c r="G322" s="189" t="s">
        <v>114</v>
      </c>
      <c r="H322" s="178" t="s">
        <v>43</v>
      </c>
      <c r="I322" s="178" t="s">
        <v>118</v>
      </c>
      <c r="J322" s="178"/>
      <c r="K322" s="178"/>
      <c r="L322" s="178" t="s">
        <v>59</v>
      </c>
      <c r="M322" s="178">
        <v>30</v>
      </c>
      <c r="N322" s="178">
        <v>500</v>
      </c>
      <c r="O322" s="178"/>
      <c r="P322" s="178"/>
      <c r="Q322" s="178"/>
      <c r="R322" s="178" t="s">
        <v>19</v>
      </c>
      <c r="S322" s="181"/>
      <c r="T322" s="181"/>
      <c r="U322" s="182"/>
      <c r="V322" s="182" t="s">
        <v>35</v>
      </c>
      <c r="W322" s="183">
        <v>20</v>
      </c>
      <c r="X322" s="182" t="s">
        <v>51</v>
      </c>
      <c r="Y322" s="184">
        <v>3200</v>
      </c>
      <c r="Z322" s="184">
        <v>3200</v>
      </c>
      <c r="AA322" s="184">
        <v>3200</v>
      </c>
      <c r="AB322" s="184">
        <v>3200</v>
      </c>
      <c r="AC322" s="184">
        <v>3200</v>
      </c>
      <c r="AD322" s="184">
        <v>3200</v>
      </c>
      <c r="AE322" s="184">
        <v>2900</v>
      </c>
      <c r="AF322" s="184">
        <v>2900</v>
      </c>
      <c r="AG322" s="184">
        <v>2900</v>
      </c>
      <c r="AH322" s="184">
        <v>2650</v>
      </c>
      <c r="AI322" s="184">
        <v>2650</v>
      </c>
      <c r="AJ322" s="184">
        <v>2650</v>
      </c>
      <c r="AK322" s="184">
        <v>2650</v>
      </c>
      <c r="AL322" s="184">
        <v>2650</v>
      </c>
      <c r="AM322" s="184">
        <v>2650</v>
      </c>
      <c r="AN322" s="184">
        <v>2650</v>
      </c>
      <c r="AO322" s="184">
        <v>2650</v>
      </c>
      <c r="AP322" s="184">
        <v>2650</v>
      </c>
      <c r="AQ322" s="184">
        <v>2650</v>
      </c>
      <c r="AR322" s="184">
        <v>2750</v>
      </c>
      <c r="AS322" s="184">
        <v>2750</v>
      </c>
      <c r="AT322" s="184">
        <v>2750</v>
      </c>
      <c r="AU322" s="184">
        <v>2750</v>
      </c>
      <c r="AV322" s="184">
        <v>2750</v>
      </c>
      <c r="AW322" s="184">
        <v>2730</v>
      </c>
      <c r="AX322" s="184">
        <v>2730</v>
      </c>
      <c r="AY322" s="146">
        <f t="shared" si="62"/>
        <v>2230</v>
      </c>
      <c r="AZ322" s="146">
        <f t="shared" si="63"/>
        <v>2230</v>
      </c>
      <c r="BA322" s="146">
        <f t="shared" si="63"/>
        <v>2230</v>
      </c>
      <c r="BB322" s="184"/>
      <c r="BC322" s="184"/>
      <c r="BD322" s="184"/>
      <c r="BE322" s="184"/>
      <c r="BF322" s="184">
        <v>1920</v>
      </c>
      <c r="BG322" s="184">
        <v>1920</v>
      </c>
      <c r="BH322" s="184">
        <v>1920</v>
      </c>
      <c r="BI322" s="184"/>
      <c r="BJ322" s="184"/>
      <c r="BK322" s="184"/>
      <c r="BL322" s="202">
        <v>1720</v>
      </c>
      <c r="BM322" s="202">
        <v>1720</v>
      </c>
      <c r="BN322" s="202">
        <v>1720</v>
      </c>
      <c r="BO322" s="184">
        <v>2350</v>
      </c>
      <c r="BP322" s="184">
        <v>2350</v>
      </c>
      <c r="BQ322" s="184">
        <v>2350</v>
      </c>
      <c r="BR322" s="184"/>
      <c r="BS322" s="184"/>
      <c r="BT322" s="184"/>
      <c r="BU322" s="146" cm="1">
        <f t="array" ref="BU322">LOOKUP(2,1/(Y322:BT322&lt;&gt;""),Y322:BH322)</f>
        <v>2350</v>
      </c>
      <c r="BV322" s="145" cm="1">
        <f t="array" aca="1" ref="BV322" ca="1">_xlfn.LET(
    _xlpm.last_col_idx, LOOKUP(2, 1/(Y322:BT322&lt;&gt;""), COLUMN(Y322:BT322) - COLUMN(Y322) + 1),
    _xlpm.header_val, INDEX($Y$3:$BT$3, 1, _xlpm.last_col_idx),
    _xlpm.header_date, IF(ISNUMBER(_xlpm.header_val), _xlpm.header_val, DATEVALUE(_xlpm.header_val)),
    IF(_xlpm.header_date &gt; TODAY(), TODAY(), _xlpm.header_date)
)</f>
        <v>46212</v>
      </c>
      <c r="BW322" s="209" cm="1">
        <f t="array" ref="BW322">(LOOKUP(2,1/(BH322:BT322&lt;&gt;""),BH322:BT322))/(INDEX(BH322:BT322,MATCH(TRUE,INDEX((BH322:BT322&lt;&gt;0),0),0)))-1</f>
        <v>0.22395833333333326</v>
      </c>
      <c r="BX322" s="210">
        <f t="shared" si="52"/>
        <v>2.35</v>
      </c>
      <c r="BY322" s="210">
        <f t="shared" si="53"/>
        <v>13.865000000000002</v>
      </c>
      <c r="BZ322" s="210">
        <f ca="1">IF(L322="BR",'Impostos e Frete'!$F$6,IF(L322="EU",'Impostos e Frete'!$I$3,IF(L322="CN",'Impostos e Frete'!$I$4,IF(L322="JP",'Impostos e Frete'!$I$5,IF(L322="RU",'Impostos e Frete'!$I$7,"ERRO")))))</f>
        <v>0.1410816</v>
      </c>
      <c r="CA322" s="210">
        <f>VLOOKUP(L322,'Impostos e Frete'!$A$3:$B$7,2,0)*'Preços e Condições'!BY322</f>
        <v>1.8024500000000003</v>
      </c>
      <c r="CB322" s="147">
        <f t="shared" si="54"/>
        <v>0</v>
      </c>
      <c r="CC322" s="147">
        <f>IF(X322="BRL",'Impostos e Frete'!$B$11,'Impostos e Frete'!$B$12)</f>
        <v>9.1999999999999998E-2</v>
      </c>
      <c r="CD322" s="211">
        <f t="shared" ca="1" si="55"/>
        <v>15.900531600000003</v>
      </c>
      <c r="CE322" s="212">
        <f t="shared" ca="1" si="56"/>
        <v>1.2402414648000002</v>
      </c>
      <c r="CF322" s="213">
        <f>VLOOKUP(L322,'Impostos e Frete'!$A$3:$C$7,3,0)</f>
        <v>105</v>
      </c>
      <c r="CG322" s="213">
        <f t="shared" si="57"/>
        <v>30</v>
      </c>
      <c r="CH322" s="213">
        <f t="shared" si="58"/>
        <v>-75</v>
      </c>
      <c r="CI322" s="214">
        <f t="shared" ca="1" si="59"/>
        <v>0.60299471055736653</v>
      </c>
      <c r="CJ322" s="215">
        <f t="shared" ca="1" si="60"/>
        <v>16.503526310557369</v>
      </c>
      <c r="CK322" s="216">
        <f t="shared" ca="1" si="61"/>
        <v>1.2872750522234748</v>
      </c>
    </row>
    <row r="323" spans="1:89">
      <c r="A323" s="176">
        <v>19517</v>
      </c>
      <c r="B323" s="177">
        <v>104</v>
      </c>
      <c r="C323" s="178">
        <v>70</v>
      </c>
      <c r="D323" s="178">
        <v>1870</v>
      </c>
      <c r="E323" s="178" t="s">
        <v>50</v>
      </c>
      <c r="F323" s="179" t="s">
        <v>108</v>
      </c>
      <c r="G323" s="189" t="s">
        <v>439</v>
      </c>
      <c r="H323" s="178" t="s">
        <v>43</v>
      </c>
      <c r="I323" s="178" t="s">
        <v>118</v>
      </c>
      <c r="J323" s="178"/>
      <c r="K323" s="178"/>
      <c r="L323" s="178" t="s">
        <v>59</v>
      </c>
      <c r="M323" s="178">
        <v>30</v>
      </c>
      <c r="N323" s="178">
        <v>500</v>
      </c>
      <c r="O323" s="178"/>
      <c r="P323" s="178"/>
      <c r="Q323" s="178"/>
      <c r="R323" s="178" t="s">
        <v>19</v>
      </c>
      <c r="S323" s="181"/>
      <c r="T323" s="181"/>
      <c r="U323" s="182"/>
      <c r="V323" s="182" t="s">
        <v>35</v>
      </c>
      <c r="W323" s="183">
        <v>200</v>
      </c>
      <c r="X323" s="182" t="s">
        <v>51</v>
      </c>
      <c r="Y323" s="184">
        <v>2530</v>
      </c>
      <c r="Z323" s="184">
        <v>2530</v>
      </c>
      <c r="AA323" s="184">
        <v>2530</v>
      </c>
      <c r="AB323" s="184">
        <v>2530</v>
      </c>
      <c r="AC323" s="184">
        <v>2530</v>
      </c>
      <c r="AD323" s="184">
        <v>2530</v>
      </c>
      <c r="AE323" s="184">
        <v>2430</v>
      </c>
      <c r="AF323" s="184">
        <v>2430</v>
      </c>
      <c r="AG323" s="184">
        <v>2430</v>
      </c>
      <c r="AH323" s="184">
        <v>2050</v>
      </c>
      <c r="AI323" s="184">
        <v>2050</v>
      </c>
      <c r="AJ323" s="184">
        <v>2050</v>
      </c>
      <c r="AK323" s="184">
        <v>2050</v>
      </c>
      <c r="AL323" s="184">
        <v>2050</v>
      </c>
      <c r="AM323" s="184">
        <v>2050</v>
      </c>
      <c r="AN323" s="184">
        <v>2050</v>
      </c>
      <c r="AO323" s="184">
        <v>2050</v>
      </c>
      <c r="AP323" s="184">
        <v>2050</v>
      </c>
      <c r="AQ323" s="184">
        <v>2000</v>
      </c>
      <c r="AR323" s="184"/>
      <c r="AS323" s="184"/>
      <c r="AT323" s="184"/>
      <c r="AU323" s="184"/>
      <c r="AV323" s="184"/>
      <c r="AW323" s="184">
        <v>2660</v>
      </c>
      <c r="AX323" s="184">
        <v>2660</v>
      </c>
      <c r="AY323" s="146">
        <f t="shared" si="62"/>
        <v>2160</v>
      </c>
      <c r="AZ323" s="146">
        <f t="shared" si="63"/>
        <v>2160</v>
      </c>
      <c r="BA323" s="146">
        <f t="shared" si="63"/>
        <v>2160</v>
      </c>
      <c r="BB323" s="184"/>
      <c r="BC323" s="184"/>
      <c r="BD323" s="184"/>
      <c r="BE323" s="184"/>
      <c r="BF323" s="184"/>
      <c r="BG323" s="184"/>
      <c r="BH323" s="184"/>
      <c r="BI323" s="184"/>
      <c r="BJ323" s="184"/>
      <c r="BK323" s="184"/>
      <c r="BL323" s="202"/>
      <c r="BM323" s="202"/>
      <c r="BN323" s="202"/>
      <c r="BO323" s="184"/>
      <c r="BP323" s="184"/>
      <c r="BQ323" s="184"/>
      <c r="BR323" s="184"/>
      <c r="BS323" s="184"/>
      <c r="BT323" s="184"/>
      <c r="BU323" s="146" cm="1">
        <f t="array" ref="BU323">LOOKUP(2,1/(Y323:BT323&lt;&gt;""),Y323:BH323)</f>
        <v>2160</v>
      </c>
      <c r="BV323" s="145" cm="1">
        <f t="array" aca="1" ref="BV323" ca="1">_xlfn.LET(
    _xlpm.last_col_idx, LOOKUP(2, 1/(Y323:BT323&lt;&gt;""), COLUMN(Y323:BT323) - COLUMN(Y323) + 1),
    _xlpm.header_val, INDEX($Y$3:$BT$3, 1, _xlpm.last_col_idx),
    _xlpm.header_date, IF(ISNUMBER(_xlpm.header_val), _xlpm.header_val, DATEVALUE(_xlpm.header_val)),
    IF(_xlpm.header_date &gt; TODAY(), TODAY(), _xlpm.header_date)
)</f>
        <v>45778</v>
      </c>
      <c r="BW323" s="209" t="e" cm="1">
        <f t="array" ref="BW323">(LOOKUP(2,1/(BH323:BT323&lt;&gt;""),BH323:BT323))/(INDEX(BH323:BT323,MATCH(TRUE,INDEX((BH323:BT323&lt;&gt;0),0),0)))-1</f>
        <v>#N/A</v>
      </c>
      <c r="BX323" s="210">
        <f t="shared" si="52"/>
        <v>2.16</v>
      </c>
      <c r="BY323" s="210">
        <f t="shared" si="53"/>
        <v>12.744000000000002</v>
      </c>
      <c r="BZ323" s="210">
        <f ca="1">IF(L323="BR",'Impostos e Frete'!$F$6,IF(L323="EU",'Impostos e Frete'!$I$3,IF(L323="CN",'Impostos e Frete'!$I$4,IF(L323="JP",'Impostos e Frete'!$I$5,IF(L323="RU",'Impostos e Frete'!$I$7,"ERRO")))))</f>
        <v>0.1410816</v>
      </c>
      <c r="CA323" s="210">
        <f>VLOOKUP(L323,'Impostos e Frete'!$A$3:$B$7,2,0)*'Preços e Condições'!BY323</f>
        <v>1.6567200000000002</v>
      </c>
      <c r="CB323" s="147">
        <f t="shared" si="54"/>
        <v>0</v>
      </c>
      <c r="CC323" s="147">
        <f>IF(X323="BRL",'Impostos e Frete'!$B$11,'Impostos e Frete'!$B$12)</f>
        <v>9.1999999999999998E-2</v>
      </c>
      <c r="CD323" s="211">
        <f t="shared" ca="1" si="55"/>
        <v>14.633801600000002</v>
      </c>
      <c r="CE323" s="212">
        <f t="shared" ca="1" si="56"/>
        <v>1.0243661120000001</v>
      </c>
      <c r="CF323" s="213">
        <f>VLOOKUP(L323,'Impostos e Frete'!$A$3:$C$7,3,0)</f>
        <v>105</v>
      </c>
      <c r="CG323" s="213">
        <f t="shared" si="57"/>
        <v>30</v>
      </c>
      <c r="CH323" s="213">
        <f t="shared" si="58"/>
        <v>-75</v>
      </c>
      <c r="CI323" s="214">
        <f t="shared" ca="1" si="59"/>
        <v>0.55495660032812566</v>
      </c>
      <c r="CJ323" s="215">
        <f t="shared" ca="1" si="60"/>
        <v>15.188758200328127</v>
      </c>
      <c r="CK323" s="216">
        <f t="shared" ca="1" si="61"/>
        <v>1.0632130740229688</v>
      </c>
    </row>
    <row r="324" spans="1:89">
      <c r="A324" s="176">
        <v>19517</v>
      </c>
      <c r="B324" s="177">
        <v>104</v>
      </c>
      <c r="C324" s="178">
        <v>70</v>
      </c>
      <c r="D324" s="178">
        <v>1870</v>
      </c>
      <c r="E324" s="178" t="s">
        <v>50</v>
      </c>
      <c r="F324" s="179" t="s">
        <v>108</v>
      </c>
      <c r="G324" s="189" t="s">
        <v>439</v>
      </c>
      <c r="H324" s="178" t="s">
        <v>43</v>
      </c>
      <c r="I324" s="178" t="s">
        <v>118</v>
      </c>
      <c r="J324" s="178"/>
      <c r="K324" s="178"/>
      <c r="L324" s="178" t="s">
        <v>59</v>
      </c>
      <c r="M324" s="178">
        <v>30</v>
      </c>
      <c r="N324" s="178">
        <v>500</v>
      </c>
      <c r="O324" s="178"/>
      <c r="P324" s="178"/>
      <c r="Q324" s="178"/>
      <c r="R324" s="178" t="s">
        <v>19</v>
      </c>
      <c r="S324" s="181"/>
      <c r="T324" s="181"/>
      <c r="U324" s="182"/>
      <c r="V324" s="182" t="s">
        <v>35</v>
      </c>
      <c r="W324" s="183">
        <v>80</v>
      </c>
      <c r="X324" s="182" t="s">
        <v>51</v>
      </c>
      <c r="Y324" s="184">
        <v>2530</v>
      </c>
      <c r="Z324" s="184">
        <v>2530</v>
      </c>
      <c r="AA324" s="184">
        <v>2530</v>
      </c>
      <c r="AB324" s="184">
        <v>2530</v>
      </c>
      <c r="AC324" s="184">
        <v>2530</v>
      </c>
      <c r="AD324" s="184">
        <v>2530</v>
      </c>
      <c r="AE324" s="184">
        <v>2430</v>
      </c>
      <c r="AF324" s="184">
        <v>2430</v>
      </c>
      <c r="AG324" s="184">
        <v>2430</v>
      </c>
      <c r="AH324" s="184">
        <v>2050</v>
      </c>
      <c r="AI324" s="184">
        <v>2050</v>
      </c>
      <c r="AJ324" s="184">
        <v>2050</v>
      </c>
      <c r="AK324" s="184">
        <v>2050</v>
      </c>
      <c r="AL324" s="184">
        <v>2050</v>
      </c>
      <c r="AM324" s="184">
        <v>2050</v>
      </c>
      <c r="AN324" s="184">
        <v>2050</v>
      </c>
      <c r="AO324" s="184">
        <v>2050</v>
      </c>
      <c r="AP324" s="184">
        <v>2050</v>
      </c>
      <c r="AQ324" s="184">
        <v>2030</v>
      </c>
      <c r="AR324" s="184">
        <v>2160</v>
      </c>
      <c r="AS324" s="184">
        <v>2160</v>
      </c>
      <c r="AT324" s="184">
        <v>2160</v>
      </c>
      <c r="AU324" s="184">
        <v>2160</v>
      </c>
      <c r="AV324" s="184">
        <v>2160</v>
      </c>
      <c r="AW324" s="184">
        <v>2660</v>
      </c>
      <c r="AX324" s="184">
        <v>2660</v>
      </c>
      <c r="AY324" s="146">
        <f t="shared" si="62"/>
        <v>2160</v>
      </c>
      <c r="AZ324" s="146">
        <f t="shared" si="63"/>
        <v>2160</v>
      </c>
      <c r="BA324" s="146">
        <f t="shared" si="63"/>
        <v>2160</v>
      </c>
      <c r="BB324" s="184"/>
      <c r="BC324" s="184"/>
      <c r="BD324" s="184"/>
      <c r="BE324" s="184"/>
      <c r="BF324" s="184">
        <v>2130</v>
      </c>
      <c r="BG324" s="184">
        <v>2130</v>
      </c>
      <c r="BH324" s="184">
        <v>2130</v>
      </c>
      <c r="BI324" s="184"/>
      <c r="BJ324" s="184"/>
      <c r="BK324" s="184"/>
      <c r="BL324" s="202">
        <v>2690</v>
      </c>
      <c r="BM324" s="202">
        <v>2690</v>
      </c>
      <c r="BN324" s="202">
        <v>2690</v>
      </c>
      <c r="BO324" s="184">
        <v>2250</v>
      </c>
      <c r="BP324" s="184">
        <v>2250</v>
      </c>
      <c r="BQ324" s="184">
        <v>2250</v>
      </c>
      <c r="BR324" s="184"/>
      <c r="BS324" s="184"/>
      <c r="BT324" s="184"/>
      <c r="BU324" s="146" cm="1">
        <f t="array" ref="BU324">LOOKUP(2,1/(Y324:BT324&lt;&gt;""),Y324:BH324)</f>
        <v>2250</v>
      </c>
      <c r="BV324" s="145" cm="1">
        <f t="array" aca="1" ref="BV324" ca="1">_xlfn.LET(
    _xlpm.last_col_idx, LOOKUP(2, 1/(Y324:BT324&lt;&gt;""), COLUMN(Y324:BT324) - COLUMN(Y324) + 1),
    _xlpm.header_val, INDEX($Y$3:$BT$3, 1, _xlpm.last_col_idx),
    _xlpm.header_date, IF(ISNUMBER(_xlpm.header_val), _xlpm.header_val, DATEVALUE(_xlpm.header_val)),
    IF(_xlpm.header_date &gt; TODAY(), TODAY(), _xlpm.header_date)
)</f>
        <v>46212</v>
      </c>
      <c r="BW324" s="209" cm="1">
        <f t="array" ref="BW324">(LOOKUP(2,1/(BH324:BT324&lt;&gt;""),BH324:BT324))/(INDEX(BH324:BT324,MATCH(TRUE,INDEX((BH324:BT324&lt;&gt;0),0),0)))-1</f>
        <v>5.6338028169014009E-2</v>
      </c>
      <c r="BX324" s="210">
        <f t="shared" ref="BX324:BX387" si="64">BU324/1000</f>
        <v>2.25</v>
      </c>
      <c r="BY324" s="210">
        <f t="shared" ref="BY324:BY387" si="65">IF(X324="BRL",BX324,IF(X324="EUR",BX324*$CK$2,IF(X324="USD",BX324*$CK$1,IF(X324="CNY",BX324*$CM$1,IF(X324="RUB",BX324*$CM$2,"CRRY#")))))</f>
        <v>13.275</v>
      </c>
      <c r="BZ324" s="210">
        <f ca="1">IF(L324="BR",'Impostos e Frete'!$F$6,IF(L324="EU",'Impostos e Frete'!$I$3,IF(L324="CN",'Impostos e Frete'!$I$4,IF(L324="JP",'Impostos e Frete'!$I$5,IF(L324="RU",'Impostos e Frete'!$I$7,"ERRO")))))</f>
        <v>0.1410816</v>
      </c>
      <c r="CA324" s="210">
        <f>VLOOKUP(L324,'Impostos e Frete'!$A$3:$B$7,2,0)*'Preços e Condições'!BY324</f>
        <v>1.7257500000000001</v>
      </c>
      <c r="CB324" s="147">
        <f t="shared" ref="CB324:CB387" si="66">IF(R324="CFR",$CB$2,IF(R324="FOB",0,IF(R324="EXW",$CB$1,"ERRO")))</f>
        <v>0</v>
      </c>
      <c r="CC324" s="147">
        <f>IF(X324="BRL",'Impostos e Frete'!$B$11,'Impostos e Frete'!$B$12)</f>
        <v>9.1999999999999998E-2</v>
      </c>
      <c r="CD324" s="211">
        <f t="shared" ref="CD324:CD387" ca="1" si="67">SUM(BY324:CC324)</f>
        <v>15.2338316</v>
      </c>
      <c r="CE324" s="212">
        <f t="shared" ref="CE324:CE387" ca="1" si="68">IF(C324="","erro",(CD324/1000)*C324)</f>
        <v>1.066368212</v>
      </c>
      <c r="CF324" s="213">
        <f>VLOOKUP(L324,'Impostos e Frete'!$A$3:$C$7,3,0)</f>
        <v>105</v>
      </c>
      <c r="CG324" s="213">
        <f t="shared" ref="CG324:CG387" si="69">M324</f>
        <v>30</v>
      </c>
      <c r="CH324" s="213">
        <f t="shared" ref="CH324:CH387" si="70">CG324-CF324</f>
        <v>-75</v>
      </c>
      <c r="CI324" s="214">
        <f t="shared" ref="CI324:CI387" ca="1" si="71">CD324*(1+VALUE($CI$2))^((CH324*-1)/30)-CD324</f>
        <v>0.57771149464723948</v>
      </c>
      <c r="CJ324" s="215">
        <f t="shared" ref="CJ324:CJ387" ca="1" si="72">CD324+CI324</f>
        <v>15.81154309464724</v>
      </c>
      <c r="CK324" s="216">
        <f t="shared" ref="CK324:CK387" ca="1" si="73">IF(C324="","erro",(CJ324/1000)*C324)</f>
        <v>1.1068080166253067</v>
      </c>
    </row>
    <row r="325" spans="1:89">
      <c r="A325" s="176">
        <v>19517</v>
      </c>
      <c r="B325" s="177">
        <v>104</v>
      </c>
      <c r="C325" s="178">
        <v>70</v>
      </c>
      <c r="D325" s="178">
        <v>1870</v>
      </c>
      <c r="E325" s="178" t="s">
        <v>50</v>
      </c>
      <c r="F325" s="179" t="s">
        <v>108</v>
      </c>
      <c r="G325" s="189" t="s">
        <v>439</v>
      </c>
      <c r="H325" s="178" t="s">
        <v>43</v>
      </c>
      <c r="I325" s="178" t="s">
        <v>118</v>
      </c>
      <c r="J325" s="178"/>
      <c r="K325" s="178"/>
      <c r="L325" s="178" t="s">
        <v>59</v>
      </c>
      <c r="M325" s="178">
        <v>30</v>
      </c>
      <c r="N325" s="178">
        <v>500</v>
      </c>
      <c r="O325" s="178"/>
      <c r="P325" s="178"/>
      <c r="Q325" s="178"/>
      <c r="R325" s="178" t="s">
        <v>19</v>
      </c>
      <c r="S325" s="181"/>
      <c r="T325" s="181"/>
      <c r="U325" s="182"/>
      <c r="V325" s="182" t="s">
        <v>35</v>
      </c>
      <c r="W325" s="183">
        <v>50</v>
      </c>
      <c r="X325" s="182" t="s">
        <v>51</v>
      </c>
      <c r="Y325" s="184">
        <v>2730</v>
      </c>
      <c r="Z325" s="184">
        <v>2730</v>
      </c>
      <c r="AA325" s="184">
        <v>2730</v>
      </c>
      <c r="AB325" s="184">
        <v>2730</v>
      </c>
      <c r="AC325" s="184">
        <v>2730</v>
      </c>
      <c r="AD325" s="184">
        <v>2730</v>
      </c>
      <c r="AE325" s="184">
        <v>2630</v>
      </c>
      <c r="AF325" s="184">
        <v>2630</v>
      </c>
      <c r="AG325" s="184">
        <v>2630</v>
      </c>
      <c r="AH325" s="184">
        <v>2250</v>
      </c>
      <c r="AI325" s="184">
        <v>2250</v>
      </c>
      <c r="AJ325" s="184">
        <v>2250</v>
      </c>
      <c r="AK325" s="184">
        <v>2250</v>
      </c>
      <c r="AL325" s="184">
        <v>2250</v>
      </c>
      <c r="AM325" s="184">
        <v>2250</v>
      </c>
      <c r="AN325" s="184">
        <v>2250</v>
      </c>
      <c r="AO325" s="184">
        <v>2250</v>
      </c>
      <c r="AP325" s="184">
        <v>2250</v>
      </c>
      <c r="AQ325" s="184">
        <v>2200</v>
      </c>
      <c r="AR325" s="184">
        <v>2360</v>
      </c>
      <c r="AS325" s="184">
        <v>2360</v>
      </c>
      <c r="AT325" s="184">
        <v>2360</v>
      </c>
      <c r="AU325" s="184">
        <v>2360</v>
      </c>
      <c r="AV325" s="184">
        <v>2360</v>
      </c>
      <c r="AW325" s="184">
        <v>2680</v>
      </c>
      <c r="AX325" s="184">
        <v>2680</v>
      </c>
      <c r="AY325" s="146">
        <f t="shared" si="62"/>
        <v>2180</v>
      </c>
      <c r="AZ325" s="146">
        <f t="shared" si="63"/>
        <v>2180</v>
      </c>
      <c r="BA325" s="146">
        <f t="shared" si="63"/>
        <v>2180</v>
      </c>
      <c r="BB325" s="184"/>
      <c r="BC325" s="184"/>
      <c r="BD325" s="184"/>
      <c r="BE325" s="184"/>
      <c r="BF325" s="184">
        <v>2150</v>
      </c>
      <c r="BG325" s="184">
        <v>2150</v>
      </c>
      <c r="BH325" s="184">
        <v>2150</v>
      </c>
      <c r="BI325" s="184"/>
      <c r="BJ325" s="184"/>
      <c r="BK325" s="184"/>
      <c r="BL325" s="202">
        <v>2710</v>
      </c>
      <c r="BM325" s="202">
        <v>2710</v>
      </c>
      <c r="BN325" s="202">
        <v>2710</v>
      </c>
      <c r="BO325" s="184">
        <v>2450</v>
      </c>
      <c r="BP325" s="184">
        <v>2450</v>
      </c>
      <c r="BQ325" s="184">
        <v>2450</v>
      </c>
      <c r="BR325" s="184"/>
      <c r="BS325" s="184"/>
      <c r="BT325" s="184"/>
      <c r="BU325" s="146" cm="1">
        <f t="array" ref="BU325">LOOKUP(2,1/(Y325:BT325&lt;&gt;""),Y325:BH325)</f>
        <v>2450</v>
      </c>
      <c r="BV325" s="145" cm="1">
        <f t="array" aca="1" ref="BV325" ca="1">_xlfn.LET(
    _xlpm.last_col_idx, LOOKUP(2, 1/(Y325:BT325&lt;&gt;""), COLUMN(Y325:BT325) - COLUMN(Y325) + 1),
    _xlpm.header_val, INDEX($Y$3:$BT$3, 1, _xlpm.last_col_idx),
    _xlpm.header_date, IF(ISNUMBER(_xlpm.header_val), _xlpm.header_val, DATEVALUE(_xlpm.header_val)),
    IF(_xlpm.header_date &gt; TODAY(), TODAY(), _xlpm.header_date)
)</f>
        <v>46212</v>
      </c>
      <c r="BW325" s="209" cm="1">
        <f t="array" ref="BW325">(LOOKUP(2,1/(BH325:BT325&lt;&gt;""),BH325:BT325))/(INDEX(BH325:BT325,MATCH(TRUE,INDEX((BH325:BT325&lt;&gt;0),0),0)))-1</f>
        <v>0.13953488372093026</v>
      </c>
      <c r="BX325" s="210">
        <f t="shared" si="64"/>
        <v>2.4500000000000002</v>
      </c>
      <c r="BY325" s="210">
        <f t="shared" si="65"/>
        <v>14.455000000000002</v>
      </c>
      <c r="BZ325" s="210">
        <f ca="1">IF(L325="BR",'Impostos e Frete'!$F$6,IF(L325="EU",'Impostos e Frete'!$I$3,IF(L325="CN",'Impostos e Frete'!$I$4,IF(L325="JP",'Impostos e Frete'!$I$5,IF(L325="RU",'Impostos e Frete'!$I$7,"ERRO")))))</f>
        <v>0.1410816</v>
      </c>
      <c r="CA325" s="210">
        <f>VLOOKUP(L325,'Impostos e Frete'!$A$3:$B$7,2,0)*'Preços e Condições'!BY325</f>
        <v>1.8791500000000003</v>
      </c>
      <c r="CB325" s="147">
        <f t="shared" si="66"/>
        <v>0</v>
      </c>
      <c r="CC325" s="147">
        <f>IF(X325="BRL",'Impostos e Frete'!$B$11,'Impostos e Frete'!$B$12)</f>
        <v>9.1999999999999998E-2</v>
      </c>
      <c r="CD325" s="211">
        <f t="shared" ca="1" si="67"/>
        <v>16.5672316</v>
      </c>
      <c r="CE325" s="212">
        <f t="shared" ca="1" si="68"/>
        <v>1.1597062119999999</v>
      </c>
      <c r="CF325" s="213">
        <f>VLOOKUP(L325,'Impostos e Frete'!$A$3:$C$7,3,0)</f>
        <v>105</v>
      </c>
      <c r="CG325" s="213">
        <f t="shared" si="69"/>
        <v>30</v>
      </c>
      <c r="CH325" s="213">
        <f t="shared" si="70"/>
        <v>-75</v>
      </c>
      <c r="CI325" s="214">
        <f t="shared" ca="1" si="71"/>
        <v>0.62827792646749359</v>
      </c>
      <c r="CJ325" s="215">
        <f t="shared" ca="1" si="72"/>
        <v>17.195509526467493</v>
      </c>
      <c r="CK325" s="216">
        <f t="shared" ca="1" si="73"/>
        <v>1.2036856668527245</v>
      </c>
    </row>
    <row r="326" spans="1:89">
      <c r="A326" s="176">
        <v>19517</v>
      </c>
      <c r="B326" s="177">
        <v>104</v>
      </c>
      <c r="C326" s="178">
        <v>70</v>
      </c>
      <c r="D326" s="178">
        <v>1870</v>
      </c>
      <c r="E326" s="178" t="s">
        <v>50</v>
      </c>
      <c r="F326" s="179" t="s">
        <v>108</v>
      </c>
      <c r="G326" s="189" t="s">
        <v>439</v>
      </c>
      <c r="H326" s="178" t="s">
        <v>43</v>
      </c>
      <c r="I326" s="178" t="s">
        <v>118</v>
      </c>
      <c r="J326" s="178"/>
      <c r="K326" s="178"/>
      <c r="L326" s="178" t="s">
        <v>59</v>
      </c>
      <c r="M326" s="178">
        <v>30</v>
      </c>
      <c r="N326" s="178">
        <v>500</v>
      </c>
      <c r="O326" s="178"/>
      <c r="P326" s="178"/>
      <c r="Q326" s="178"/>
      <c r="R326" s="178" t="s">
        <v>19</v>
      </c>
      <c r="S326" s="181"/>
      <c r="T326" s="181"/>
      <c r="U326" s="182"/>
      <c r="V326" s="182" t="s">
        <v>35</v>
      </c>
      <c r="W326" s="183">
        <v>20</v>
      </c>
      <c r="X326" s="182" t="s">
        <v>51</v>
      </c>
      <c r="Y326" s="184">
        <v>3230</v>
      </c>
      <c r="Z326" s="184">
        <v>3230</v>
      </c>
      <c r="AA326" s="184">
        <v>3230</v>
      </c>
      <c r="AB326" s="184">
        <v>3230</v>
      </c>
      <c r="AC326" s="184">
        <v>3230</v>
      </c>
      <c r="AD326" s="184">
        <v>3230</v>
      </c>
      <c r="AE326" s="184">
        <v>3130</v>
      </c>
      <c r="AF326" s="184">
        <v>3130</v>
      </c>
      <c r="AG326" s="184">
        <v>3130</v>
      </c>
      <c r="AH326" s="184">
        <v>2750</v>
      </c>
      <c r="AI326" s="184">
        <v>2750</v>
      </c>
      <c r="AJ326" s="184">
        <v>2750</v>
      </c>
      <c r="AK326" s="184">
        <v>2750</v>
      </c>
      <c r="AL326" s="184">
        <v>2750</v>
      </c>
      <c r="AM326" s="184">
        <v>2750</v>
      </c>
      <c r="AN326" s="184">
        <v>2750</v>
      </c>
      <c r="AO326" s="184">
        <v>2750</v>
      </c>
      <c r="AP326" s="184">
        <v>2750</v>
      </c>
      <c r="AQ326" s="184">
        <v>2700</v>
      </c>
      <c r="AR326" s="184">
        <v>2860</v>
      </c>
      <c r="AS326" s="184">
        <v>2860</v>
      </c>
      <c r="AT326" s="184">
        <v>2860</v>
      </c>
      <c r="AU326" s="184">
        <v>2860</v>
      </c>
      <c r="AV326" s="184">
        <v>2860</v>
      </c>
      <c r="AW326" s="184">
        <v>2730</v>
      </c>
      <c r="AX326" s="184">
        <v>2730</v>
      </c>
      <c r="AY326" s="146">
        <f t="shared" si="62"/>
        <v>2230</v>
      </c>
      <c r="AZ326" s="146">
        <f t="shared" si="63"/>
        <v>2230</v>
      </c>
      <c r="BA326" s="146">
        <f t="shared" si="63"/>
        <v>2230</v>
      </c>
      <c r="BB326" s="184"/>
      <c r="BC326" s="184"/>
      <c r="BD326" s="184"/>
      <c r="BE326" s="184"/>
      <c r="BF326" s="184">
        <v>2200</v>
      </c>
      <c r="BG326" s="184">
        <v>2200</v>
      </c>
      <c r="BH326" s="184">
        <v>2200</v>
      </c>
      <c r="BI326" s="184"/>
      <c r="BJ326" s="184"/>
      <c r="BK326" s="184"/>
      <c r="BL326" s="184">
        <v>2760</v>
      </c>
      <c r="BM326" s="184">
        <v>2760</v>
      </c>
      <c r="BN326" s="184">
        <v>2760</v>
      </c>
      <c r="BO326" s="184">
        <v>2950</v>
      </c>
      <c r="BP326" s="184">
        <v>2950</v>
      </c>
      <c r="BQ326" s="184">
        <v>2950</v>
      </c>
      <c r="BR326" s="184"/>
      <c r="BS326" s="184"/>
      <c r="BT326" s="184"/>
      <c r="BU326" s="146" cm="1">
        <f t="array" ref="BU326">LOOKUP(2,1/(Y326:BT326&lt;&gt;""),Y326:BH326)</f>
        <v>2950</v>
      </c>
      <c r="BV326" s="145" cm="1">
        <f t="array" aca="1" ref="BV326" ca="1">_xlfn.LET(
    _xlpm.last_col_idx, LOOKUP(2, 1/(Y326:BT326&lt;&gt;""), COLUMN(Y326:BT326) - COLUMN(Y326) + 1),
    _xlpm.header_val, INDEX($Y$3:$BT$3, 1, _xlpm.last_col_idx),
    _xlpm.header_date, IF(ISNUMBER(_xlpm.header_val), _xlpm.header_val, DATEVALUE(_xlpm.header_val)),
    IF(_xlpm.header_date &gt; TODAY(), TODAY(), _xlpm.header_date)
)</f>
        <v>46212</v>
      </c>
      <c r="BW326" s="209" cm="1">
        <f t="array" ref="BW326">(LOOKUP(2,1/(BH326:BT326&lt;&gt;""),BH326:BT326))/(INDEX(BH326:BT326,MATCH(TRUE,INDEX((BH326:BT326&lt;&gt;0),0),0)))-1</f>
        <v>0.34090909090909083</v>
      </c>
      <c r="BX326" s="210">
        <f t="shared" si="64"/>
        <v>2.95</v>
      </c>
      <c r="BY326" s="210">
        <f t="shared" si="65"/>
        <v>17.405000000000001</v>
      </c>
      <c r="BZ326" s="210">
        <f ca="1">IF(L326="BR",'Impostos e Frete'!$F$6,IF(L326="EU",'Impostos e Frete'!$I$3,IF(L326="CN",'Impostos e Frete'!$I$4,IF(L326="JP",'Impostos e Frete'!$I$5,IF(L326="RU",'Impostos e Frete'!$I$7,"ERRO")))))</f>
        <v>0.1410816</v>
      </c>
      <c r="CA326" s="210">
        <f>VLOOKUP(L326,'Impostos e Frete'!$A$3:$B$7,2,0)*'Preços e Condições'!BY326</f>
        <v>2.2626500000000003</v>
      </c>
      <c r="CB326" s="147">
        <f t="shared" si="66"/>
        <v>0</v>
      </c>
      <c r="CC326" s="147">
        <f>IF(X326="BRL",'Impostos e Frete'!$B$11,'Impostos e Frete'!$B$12)</f>
        <v>9.1999999999999998E-2</v>
      </c>
      <c r="CD326" s="211">
        <f t="shared" ca="1" si="67"/>
        <v>19.9007316</v>
      </c>
      <c r="CE326" s="212">
        <f t="shared" ca="1" si="68"/>
        <v>1.393051212</v>
      </c>
      <c r="CF326" s="213">
        <f>VLOOKUP(L326,'Impostos e Frete'!$A$3:$C$7,3,0)</f>
        <v>105</v>
      </c>
      <c r="CG326" s="213">
        <f t="shared" si="69"/>
        <v>30</v>
      </c>
      <c r="CH326" s="213">
        <f t="shared" si="70"/>
        <v>-75</v>
      </c>
      <c r="CI326" s="214">
        <f t="shared" ca="1" si="71"/>
        <v>0.75469400601812708</v>
      </c>
      <c r="CJ326" s="215">
        <f t="shared" ca="1" si="72"/>
        <v>20.655425606018127</v>
      </c>
      <c r="CK326" s="216">
        <f t="shared" ca="1" si="73"/>
        <v>1.4458797924212687</v>
      </c>
    </row>
    <row r="327" spans="1:89">
      <c r="A327" s="176">
        <v>19519</v>
      </c>
      <c r="B327" s="177">
        <v>248</v>
      </c>
      <c r="C327" s="178">
        <v>65</v>
      </c>
      <c r="D327" s="178">
        <v>1870</v>
      </c>
      <c r="E327" s="178" t="s">
        <v>50</v>
      </c>
      <c r="F327" s="179" t="s">
        <v>108</v>
      </c>
      <c r="G327" s="189" t="s">
        <v>109</v>
      </c>
      <c r="H327" s="178" t="s">
        <v>63</v>
      </c>
      <c r="I327" s="178" t="s">
        <v>112</v>
      </c>
      <c r="J327" s="178"/>
      <c r="K327" s="178"/>
      <c r="L327" s="178" t="s">
        <v>59</v>
      </c>
      <c r="M327" s="178">
        <v>30</v>
      </c>
      <c r="N327" s="178">
        <v>500</v>
      </c>
      <c r="O327" s="178"/>
      <c r="P327" s="178"/>
      <c r="Q327" s="178"/>
      <c r="R327" s="178" t="s">
        <v>19</v>
      </c>
      <c r="S327" s="181"/>
      <c r="T327" s="181"/>
      <c r="U327" s="182"/>
      <c r="V327" s="182" t="s">
        <v>35</v>
      </c>
      <c r="W327" s="183">
        <v>80</v>
      </c>
      <c r="X327" s="182" t="s">
        <v>51</v>
      </c>
      <c r="Y327" s="184">
        <v>2840</v>
      </c>
      <c r="Z327" s="184">
        <v>2840</v>
      </c>
      <c r="AA327" s="184">
        <v>2840</v>
      </c>
      <c r="AB327" s="184">
        <v>2740</v>
      </c>
      <c r="AC327" s="184">
        <v>2740</v>
      </c>
      <c r="AD327" s="184">
        <v>2740</v>
      </c>
      <c r="AE327" s="184">
        <v>2540</v>
      </c>
      <c r="AF327" s="184">
        <v>2540</v>
      </c>
      <c r="AG327" s="184">
        <v>2540</v>
      </c>
      <c r="AH327" s="184">
        <v>2400</v>
      </c>
      <c r="AI327" s="184">
        <v>1800</v>
      </c>
      <c r="AJ327" s="184">
        <v>1800</v>
      </c>
      <c r="AK327" s="184">
        <v>1800</v>
      </c>
      <c r="AL327" s="184">
        <v>1800</v>
      </c>
      <c r="AM327" s="184">
        <v>1800</v>
      </c>
      <c r="AN327" s="184">
        <v>1800</v>
      </c>
      <c r="AO327" s="184">
        <v>1800</v>
      </c>
      <c r="AP327" s="184">
        <v>1800</v>
      </c>
      <c r="AQ327" s="184">
        <v>1960</v>
      </c>
      <c r="AR327" s="184">
        <v>2650</v>
      </c>
      <c r="AS327" s="184">
        <v>2650</v>
      </c>
      <c r="AT327" s="184">
        <v>2650</v>
      </c>
      <c r="AU327" s="184">
        <v>2650</v>
      </c>
      <c r="AV327" s="184">
        <v>2650</v>
      </c>
      <c r="AW327" s="184">
        <v>3000</v>
      </c>
      <c r="AX327" s="184">
        <v>3000</v>
      </c>
      <c r="AY327" s="146">
        <f t="shared" si="62"/>
        <v>2500</v>
      </c>
      <c r="AZ327" s="146">
        <f t="shared" ref="AZ327:BA346" si="74">AY327</f>
        <v>2500</v>
      </c>
      <c r="BA327" s="146">
        <f t="shared" si="74"/>
        <v>2500</v>
      </c>
      <c r="BB327" s="184">
        <v>2630</v>
      </c>
      <c r="BC327" s="184">
        <v>2630</v>
      </c>
      <c r="BD327" s="184">
        <v>2630</v>
      </c>
      <c r="BE327" s="184">
        <v>2630</v>
      </c>
      <c r="BF327" s="184">
        <v>2480</v>
      </c>
      <c r="BG327" s="184">
        <v>2480</v>
      </c>
      <c r="BH327" s="184">
        <v>2480</v>
      </c>
      <c r="BI327" s="184"/>
      <c r="BJ327" s="184"/>
      <c r="BK327" s="184"/>
      <c r="BL327" s="184">
        <v>2450</v>
      </c>
      <c r="BM327" s="184">
        <v>2450</v>
      </c>
      <c r="BN327" s="184">
        <v>2450</v>
      </c>
      <c r="BO327" s="184">
        <v>2530</v>
      </c>
      <c r="BP327" s="184">
        <v>2530</v>
      </c>
      <c r="BQ327" s="184">
        <v>2530</v>
      </c>
      <c r="BR327" s="184"/>
      <c r="BS327" s="184"/>
      <c r="BT327" s="184"/>
      <c r="BU327" s="146" cm="1">
        <f t="array" ref="BU327">LOOKUP(2,1/(Y327:BT327&lt;&gt;""),Y327:BH327)</f>
        <v>2530</v>
      </c>
      <c r="BV327" s="145" cm="1">
        <f t="array" aca="1" ref="BV327" ca="1">_xlfn.LET(
    _xlpm.last_col_idx, LOOKUP(2, 1/(Y327:BT327&lt;&gt;""), COLUMN(Y327:BT327) - COLUMN(Y327) + 1),
    _xlpm.header_val, INDEX($Y$3:$BT$3, 1, _xlpm.last_col_idx),
    _xlpm.header_date, IF(ISNUMBER(_xlpm.header_val), _xlpm.header_val, DATEVALUE(_xlpm.header_val)),
    IF(_xlpm.header_date &gt; TODAY(), TODAY(), _xlpm.header_date)
)</f>
        <v>46212</v>
      </c>
      <c r="BW327" s="209" cm="1">
        <f t="array" ref="BW327">(LOOKUP(2,1/(BH327:BT327&lt;&gt;""),BH327:BT327))/(INDEX(BH327:BT327,MATCH(TRUE,INDEX((BH327:BT327&lt;&gt;0),0),0)))-1</f>
        <v>2.0161290322580738E-2</v>
      </c>
      <c r="BX327" s="210">
        <f t="shared" si="64"/>
        <v>2.5299999999999998</v>
      </c>
      <c r="BY327" s="210">
        <f t="shared" si="65"/>
        <v>14.927</v>
      </c>
      <c r="BZ327" s="210">
        <f ca="1">IF(L327="BR",'Impostos e Frete'!$F$6,IF(L327="EU",'Impostos e Frete'!$I$3,IF(L327="CN",'Impostos e Frete'!$I$4,IF(L327="JP",'Impostos e Frete'!$I$5,IF(L327="RU",'Impostos e Frete'!$I$7,"ERRO")))))</f>
        <v>0.1410816</v>
      </c>
      <c r="CA327" s="210">
        <f>VLOOKUP(L327,'Impostos e Frete'!$A$3:$B$7,2,0)*'Preços e Condições'!BY327</f>
        <v>1.94051</v>
      </c>
      <c r="CB327" s="147">
        <f t="shared" si="66"/>
        <v>0</v>
      </c>
      <c r="CC327" s="147">
        <f>IF(X327="BRL",'Impostos e Frete'!$B$11,'Impostos e Frete'!$B$12)</f>
        <v>9.1999999999999998E-2</v>
      </c>
      <c r="CD327" s="211">
        <f t="shared" ca="1" si="67"/>
        <v>17.100591599999998</v>
      </c>
      <c r="CE327" s="212">
        <f t="shared" ca="1" si="68"/>
        <v>1.111538454</v>
      </c>
      <c r="CF327" s="213">
        <f>VLOOKUP(L327,'Impostos e Frete'!$A$3:$C$7,3,0)</f>
        <v>105</v>
      </c>
      <c r="CG327" s="213">
        <f t="shared" si="69"/>
        <v>30</v>
      </c>
      <c r="CH327" s="213">
        <f t="shared" si="70"/>
        <v>-75</v>
      </c>
      <c r="CI327" s="214">
        <f t="shared" ca="1" si="71"/>
        <v>0.64850449919559594</v>
      </c>
      <c r="CJ327" s="215">
        <f t="shared" ca="1" si="72"/>
        <v>17.749096099195594</v>
      </c>
      <c r="CK327" s="216">
        <f t="shared" ca="1" si="73"/>
        <v>1.1536912464477136</v>
      </c>
    </row>
    <row r="328" spans="1:89">
      <c r="A328" s="176">
        <v>19519</v>
      </c>
      <c r="B328" s="177">
        <v>248</v>
      </c>
      <c r="C328" s="178">
        <v>65</v>
      </c>
      <c r="D328" s="178">
        <v>1870</v>
      </c>
      <c r="E328" s="178" t="s">
        <v>50</v>
      </c>
      <c r="F328" s="179" t="s">
        <v>108</v>
      </c>
      <c r="G328" s="189" t="s">
        <v>109</v>
      </c>
      <c r="H328" s="178" t="s">
        <v>63</v>
      </c>
      <c r="I328" s="178" t="s">
        <v>112</v>
      </c>
      <c r="J328" s="178"/>
      <c r="K328" s="178"/>
      <c r="L328" s="178" t="s">
        <v>59</v>
      </c>
      <c r="M328" s="178">
        <v>30</v>
      </c>
      <c r="N328" s="178">
        <v>500</v>
      </c>
      <c r="O328" s="178"/>
      <c r="P328" s="178"/>
      <c r="Q328" s="178"/>
      <c r="R328" s="178" t="s">
        <v>19</v>
      </c>
      <c r="S328" s="181"/>
      <c r="T328" s="181"/>
      <c r="U328" s="182"/>
      <c r="V328" s="182" t="s">
        <v>35</v>
      </c>
      <c r="W328" s="183">
        <v>50</v>
      </c>
      <c r="X328" s="182" t="s">
        <v>51</v>
      </c>
      <c r="Y328" s="184">
        <v>3040</v>
      </c>
      <c r="Z328" s="184">
        <v>3040</v>
      </c>
      <c r="AA328" s="184">
        <v>3040</v>
      </c>
      <c r="AB328" s="184">
        <v>2940</v>
      </c>
      <c r="AC328" s="184">
        <v>2940</v>
      </c>
      <c r="AD328" s="184">
        <v>2940</v>
      </c>
      <c r="AE328" s="184">
        <v>2740</v>
      </c>
      <c r="AF328" s="184">
        <v>2740</v>
      </c>
      <c r="AG328" s="184">
        <v>2740</v>
      </c>
      <c r="AH328" s="184">
        <v>2600</v>
      </c>
      <c r="AI328" s="184">
        <v>2600</v>
      </c>
      <c r="AJ328" s="184">
        <v>2600</v>
      </c>
      <c r="AK328" s="184">
        <v>2600</v>
      </c>
      <c r="AL328" s="184">
        <v>2600</v>
      </c>
      <c r="AM328" s="184">
        <v>2600</v>
      </c>
      <c r="AN328" s="184">
        <v>2600</v>
      </c>
      <c r="AO328" s="184">
        <v>2600</v>
      </c>
      <c r="AP328" s="184">
        <v>2600</v>
      </c>
      <c r="AQ328" s="184">
        <v>2160</v>
      </c>
      <c r="AR328" s="184">
        <v>2850</v>
      </c>
      <c r="AS328" s="184">
        <v>2850</v>
      </c>
      <c r="AT328" s="184">
        <v>2850</v>
      </c>
      <c r="AU328" s="184">
        <v>2850</v>
      </c>
      <c r="AV328" s="184">
        <v>2850</v>
      </c>
      <c r="AW328" s="184">
        <v>3020</v>
      </c>
      <c r="AX328" s="184">
        <v>3020</v>
      </c>
      <c r="AY328" s="146">
        <f t="shared" si="62"/>
        <v>2520</v>
      </c>
      <c r="AZ328" s="146">
        <f t="shared" si="74"/>
        <v>2520</v>
      </c>
      <c r="BA328" s="146">
        <f t="shared" si="74"/>
        <v>2520</v>
      </c>
      <c r="BB328" s="184">
        <v>2650</v>
      </c>
      <c r="BC328" s="184">
        <v>2650</v>
      </c>
      <c r="BD328" s="184">
        <v>2650</v>
      </c>
      <c r="BE328" s="184">
        <v>2650</v>
      </c>
      <c r="BF328" s="184">
        <v>2500</v>
      </c>
      <c r="BG328" s="184">
        <v>2500</v>
      </c>
      <c r="BH328" s="184">
        <v>2500</v>
      </c>
      <c r="BI328" s="184"/>
      <c r="BJ328" s="184"/>
      <c r="BK328" s="184"/>
      <c r="BL328" s="184">
        <v>2470</v>
      </c>
      <c r="BM328" s="184">
        <v>2470</v>
      </c>
      <c r="BN328" s="184">
        <v>2470</v>
      </c>
      <c r="BO328" s="184">
        <v>2730</v>
      </c>
      <c r="BP328" s="184">
        <v>2730</v>
      </c>
      <c r="BQ328" s="184">
        <v>2730</v>
      </c>
      <c r="BR328" s="184"/>
      <c r="BS328" s="184"/>
      <c r="BT328" s="184"/>
      <c r="BU328" s="146" cm="1">
        <f t="array" ref="BU328">LOOKUP(2,1/(Y328:BT328&lt;&gt;""),Y328:BH328)</f>
        <v>2730</v>
      </c>
      <c r="BV328" s="145" cm="1">
        <f t="array" aca="1" ref="BV328" ca="1">_xlfn.LET(
    _xlpm.last_col_idx, LOOKUP(2, 1/(Y328:BT328&lt;&gt;""), COLUMN(Y328:BT328) - COLUMN(Y328) + 1),
    _xlpm.header_val, INDEX($Y$3:$BT$3, 1, _xlpm.last_col_idx),
    _xlpm.header_date, IF(ISNUMBER(_xlpm.header_val), _xlpm.header_val, DATEVALUE(_xlpm.header_val)),
    IF(_xlpm.header_date &gt; TODAY(), TODAY(), _xlpm.header_date)
)</f>
        <v>46212</v>
      </c>
      <c r="BW328" s="209" cm="1">
        <f t="array" ref="BW328">(LOOKUP(2,1/(BH328:BT328&lt;&gt;""),BH328:BT328))/(INDEX(BH328:BT328,MATCH(TRUE,INDEX((BH328:BT328&lt;&gt;0),0),0)))-1</f>
        <v>9.2000000000000082E-2</v>
      </c>
      <c r="BX328" s="210">
        <f t="shared" si="64"/>
        <v>2.73</v>
      </c>
      <c r="BY328" s="210">
        <f t="shared" si="65"/>
        <v>16.106999999999999</v>
      </c>
      <c r="BZ328" s="210">
        <f ca="1">IF(L328="BR",'Impostos e Frete'!$F$6,IF(L328="EU",'Impostos e Frete'!$I$3,IF(L328="CN",'Impostos e Frete'!$I$4,IF(L328="JP",'Impostos e Frete'!$I$5,IF(L328="RU",'Impostos e Frete'!$I$7,"ERRO")))))</f>
        <v>0.1410816</v>
      </c>
      <c r="CA328" s="210">
        <f>VLOOKUP(L328,'Impostos e Frete'!$A$3:$B$7,2,0)*'Preços e Condições'!BY328</f>
        <v>2.0939100000000002</v>
      </c>
      <c r="CB328" s="147">
        <f t="shared" si="66"/>
        <v>0</v>
      </c>
      <c r="CC328" s="147">
        <f>IF(X328="BRL",'Impostos e Frete'!$B$11,'Impostos e Frete'!$B$12)</f>
        <v>9.1999999999999998E-2</v>
      </c>
      <c r="CD328" s="211">
        <f t="shared" ca="1" si="67"/>
        <v>18.433991599999999</v>
      </c>
      <c r="CE328" s="212">
        <f t="shared" ca="1" si="68"/>
        <v>1.1982094539999999</v>
      </c>
      <c r="CF328" s="213">
        <f>VLOOKUP(L328,'Impostos e Frete'!$A$3:$C$7,3,0)</f>
        <v>105</v>
      </c>
      <c r="CG328" s="213">
        <f t="shared" si="69"/>
        <v>30</v>
      </c>
      <c r="CH328" s="213">
        <f t="shared" si="70"/>
        <v>-75</v>
      </c>
      <c r="CI328" s="214">
        <f t="shared" ca="1" si="71"/>
        <v>0.69907093101585005</v>
      </c>
      <c r="CJ328" s="215">
        <f t="shared" ca="1" si="72"/>
        <v>19.133062531015849</v>
      </c>
      <c r="CK328" s="216">
        <f t="shared" ca="1" si="73"/>
        <v>1.2436490645160301</v>
      </c>
    </row>
    <row r="329" spans="1:89">
      <c r="A329" s="176">
        <v>19519</v>
      </c>
      <c r="B329" s="177">
        <v>248</v>
      </c>
      <c r="C329" s="178">
        <v>65</v>
      </c>
      <c r="D329" s="178">
        <v>1870</v>
      </c>
      <c r="E329" s="178" t="s">
        <v>50</v>
      </c>
      <c r="F329" s="179" t="s">
        <v>108</v>
      </c>
      <c r="G329" s="189" t="s">
        <v>109</v>
      </c>
      <c r="H329" s="178" t="s">
        <v>63</v>
      </c>
      <c r="I329" s="178" t="s">
        <v>112</v>
      </c>
      <c r="J329" s="178"/>
      <c r="K329" s="178"/>
      <c r="L329" s="178" t="s">
        <v>59</v>
      </c>
      <c r="M329" s="178">
        <v>30</v>
      </c>
      <c r="N329" s="178">
        <v>500</v>
      </c>
      <c r="O329" s="178"/>
      <c r="P329" s="178"/>
      <c r="Q329" s="178"/>
      <c r="R329" s="178" t="s">
        <v>19</v>
      </c>
      <c r="S329" s="181"/>
      <c r="T329" s="181"/>
      <c r="U329" s="182"/>
      <c r="V329" s="182" t="s">
        <v>35</v>
      </c>
      <c r="W329" s="183">
        <v>20</v>
      </c>
      <c r="X329" s="182" t="s">
        <v>51</v>
      </c>
      <c r="Y329" s="184">
        <v>3540</v>
      </c>
      <c r="Z329" s="184">
        <v>3540</v>
      </c>
      <c r="AA329" s="184">
        <v>3540</v>
      </c>
      <c r="AB329" s="184">
        <v>3440</v>
      </c>
      <c r="AC329" s="184">
        <v>3440</v>
      </c>
      <c r="AD329" s="184">
        <v>3440</v>
      </c>
      <c r="AE329" s="184">
        <v>3240</v>
      </c>
      <c r="AF329" s="184">
        <v>3240</v>
      </c>
      <c r="AG329" s="184">
        <v>3240</v>
      </c>
      <c r="AH329" s="184">
        <v>3100</v>
      </c>
      <c r="AI329" s="184">
        <v>3100</v>
      </c>
      <c r="AJ329" s="184">
        <v>3100</v>
      </c>
      <c r="AK329" s="184">
        <v>3100</v>
      </c>
      <c r="AL329" s="184">
        <v>3100</v>
      </c>
      <c r="AM329" s="184">
        <v>3100</v>
      </c>
      <c r="AN329" s="184">
        <v>3100</v>
      </c>
      <c r="AO329" s="184">
        <v>3100</v>
      </c>
      <c r="AP329" s="184">
        <v>3100</v>
      </c>
      <c r="AQ329" s="184">
        <v>2660</v>
      </c>
      <c r="AR329" s="184">
        <v>3350</v>
      </c>
      <c r="AS329" s="184">
        <v>3350</v>
      </c>
      <c r="AT329" s="184">
        <v>3350</v>
      </c>
      <c r="AU329" s="184">
        <v>3350</v>
      </c>
      <c r="AV329" s="184">
        <v>3350</v>
      </c>
      <c r="AW329" s="184">
        <v>3070</v>
      </c>
      <c r="AX329" s="184">
        <v>3070</v>
      </c>
      <c r="AY329" s="146">
        <f t="shared" si="62"/>
        <v>2570</v>
      </c>
      <c r="AZ329" s="146">
        <f t="shared" si="74"/>
        <v>2570</v>
      </c>
      <c r="BA329" s="146">
        <f t="shared" si="74"/>
        <v>2570</v>
      </c>
      <c r="BB329" s="184">
        <v>2700</v>
      </c>
      <c r="BC329" s="184">
        <v>2700</v>
      </c>
      <c r="BD329" s="184">
        <v>2700</v>
      </c>
      <c r="BE329" s="184">
        <v>2700</v>
      </c>
      <c r="BF329" s="184">
        <v>2550</v>
      </c>
      <c r="BG329" s="184">
        <v>2550</v>
      </c>
      <c r="BH329" s="184">
        <v>2550</v>
      </c>
      <c r="BI329" s="184"/>
      <c r="BJ329" s="184"/>
      <c r="BK329" s="184"/>
      <c r="BL329" s="184">
        <v>2500</v>
      </c>
      <c r="BM329" s="184">
        <v>2500</v>
      </c>
      <c r="BN329" s="184">
        <v>2500</v>
      </c>
      <c r="BO329" s="184">
        <v>3230</v>
      </c>
      <c r="BP329" s="184">
        <v>3230</v>
      </c>
      <c r="BQ329" s="184">
        <v>3230</v>
      </c>
      <c r="BR329" s="184"/>
      <c r="BS329" s="184"/>
      <c r="BT329" s="184"/>
      <c r="BU329" s="146" cm="1">
        <f t="array" ref="BU329">LOOKUP(2,1/(Y329:BT329&lt;&gt;""),Y329:BH329)</f>
        <v>3230</v>
      </c>
      <c r="BV329" s="145" cm="1">
        <f t="array" aca="1" ref="BV329" ca="1">_xlfn.LET(
    _xlpm.last_col_idx, LOOKUP(2, 1/(Y329:BT329&lt;&gt;""), COLUMN(Y329:BT329) - COLUMN(Y329) + 1),
    _xlpm.header_val, INDEX($Y$3:$BT$3, 1, _xlpm.last_col_idx),
    _xlpm.header_date, IF(ISNUMBER(_xlpm.header_val), _xlpm.header_val, DATEVALUE(_xlpm.header_val)),
    IF(_xlpm.header_date &gt; TODAY(), TODAY(), _xlpm.header_date)
)</f>
        <v>46212</v>
      </c>
      <c r="BW329" s="209" cm="1">
        <f t="array" ref="BW329">(LOOKUP(2,1/(BH329:BT329&lt;&gt;""),BH329:BT329))/(INDEX(BH329:BT329,MATCH(TRUE,INDEX((BH329:BT329&lt;&gt;0),0),0)))-1</f>
        <v>0.26666666666666661</v>
      </c>
      <c r="BX329" s="210">
        <f t="shared" si="64"/>
        <v>3.23</v>
      </c>
      <c r="BY329" s="210">
        <f t="shared" si="65"/>
        <v>19.057000000000002</v>
      </c>
      <c r="BZ329" s="210">
        <f ca="1">IF(L329="BR",'Impostos e Frete'!$F$6,IF(L329="EU",'Impostos e Frete'!$I$3,IF(L329="CN",'Impostos e Frete'!$I$4,IF(L329="JP",'Impostos e Frete'!$I$5,IF(L329="RU",'Impostos e Frete'!$I$7,"ERRO")))))</f>
        <v>0.1410816</v>
      </c>
      <c r="CA329" s="210">
        <f>VLOOKUP(L329,'Impostos e Frete'!$A$3:$B$7,2,0)*'Preços e Condições'!BY329</f>
        <v>2.4774100000000003</v>
      </c>
      <c r="CB329" s="147">
        <f t="shared" si="66"/>
        <v>0</v>
      </c>
      <c r="CC329" s="147">
        <f>IF(X329="BRL",'Impostos e Frete'!$B$11,'Impostos e Frete'!$B$12)</f>
        <v>9.1999999999999998E-2</v>
      </c>
      <c r="CD329" s="211">
        <f t="shared" ca="1" si="67"/>
        <v>21.7674916</v>
      </c>
      <c r="CE329" s="212">
        <f t="shared" ca="1" si="68"/>
        <v>1.414886954</v>
      </c>
      <c r="CF329" s="213">
        <f>VLOOKUP(L329,'Impostos e Frete'!$A$3:$C$7,3,0)</f>
        <v>105</v>
      </c>
      <c r="CG329" s="213">
        <f t="shared" si="69"/>
        <v>30</v>
      </c>
      <c r="CH329" s="213">
        <f t="shared" si="70"/>
        <v>-75</v>
      </c>
      <c r="CI329" s="214">
        <f t="shared" ca="1" si="71"/>
        <v>0.82548701056648355</v>
      </c>
      <c r="CJ329" s="215">
        <f t="shared" ca="1" si="72"/>
        <v>22.592978610566483</v>
      </c>
      <c r="CK329" s="216">
        <f t="shared" ca="1" si="73"/>
        <v>1.4685436096868214</v>
      </c>
    </row>
    <row r="330" spans="1:89">
      <c r="A330" s="176">
        <v>19521</v>
      </c>
      <c r="B330" s="177">
        <v>104</v>
      </c>
      <c r="C330" s="178">
        <v>78</v>
      </c>
      <c r="D330" s="178">
        <v>1860</v>
      </c>
      <c r="E330" s="178" t="s">
        <v>49</v>
      </c>
      <c r="F330" s="179" t="s">
        <v>108</v>
      </c>
      <c r="G330" s="189" t="s">
        <v>114</v>
      </c>
      <c r="H330" s="178" t="s">
        <v>43</v>
      </c>
      <c r="I330" s="178" t="s">
        <v>118</v>
      </c>
      <c r="J330" s="178"/>
      <c r="K330" s="178"/>
      <c r="L330" s="178" t="s">
        <v>59</v>
      </c>
      <c r="M330" s="178">
        <v>30</v>
      </c>
      <c r="N330" s="178">
        <v>500</v>
      </c>
      <c r="O330" s="178"/>
      <c r="P330" s="178"/>
      <c r="Q330" s="178"/>
      <c r="R330" s="178" t="s">
        <v>19</v>
      </c>
      <c r="S330" s="181"/>
      <c r="T330" s="181"/>
      <c r="U330" s="182"/>
      <c r="V330" s="182" t="s">
        <v>35</v>
      </c>
      <c r="W330" s="183">
        <v>200</v>
      </c>
      <c r="X330" s="182" t="s">
        <v>51</v>
      </c>
      <c r="Y330" s="184">
        <v>2500</v>
      </c>
      <c r="Z330" s="184">
        <v>2500</v>
      </c>
      <c r="AA330" s="184">
        <v>2500</v>
      </c>
      <c r="AB330" s="184">
        <v>2500</v>
      </c>
      <c r="AC330" s="184">
        <v>2500</v>
      </c>
      <c r="AD330" s="184">
        <v>2500</v>
      </c>
      <c r="AE330" s="184">
        <v>2200</v>
      </c>
      <c r="AF330" s="184">
        <v>2200</v>
      </c>
      <c r="AG330" s="184">
        <v>2000</v>
      </c>
      <c r="AH330" s="184">
        <v>1950</v>
      </c>
      <c r="AI330" s="184">
        <v>1950</v>
      </c>
      <c r="AJ330" s="184">
        <v>1950</v>
      </c>
      <c r="AK330" s="184">
        <v>1950</v>
      </c>
      <c r="AL330" s="184">
        <v>1950</v>
      </c>
      <c r="AM330" s="184">
        <v>1950</v>
      </c>
      <c r="AN330" s="184">
        <v>1900</v>
      </c>
      <c r="AO330" s="184">
        <v>1900</v>
      </c>
      <c r="AP330" s="184">
        <v>1900</v>
      </c>
      <c r="AQ330" s="184">
        <v>1900</v>
      </c>
      <c r="AR330" s="184">
        <v>1900</v>
      </c>
      <c r="AS330" s="184">
        <v>1900</v>
      </c>
      <c r="AT330" s="184">
        <v>1900</v>
      </c>
      <c r="AU330" s="184"/>
      <c r="AV330" s="184"/>
      <c r="AW330" s="184">
        <v>2660</v>
      </c>
      <c r="AX330" s="184">
        <v>2660</v>
      </c>
      <c r="AY330" s="146">
        <f t="shared" si="62"/>
        <v>2160</v>
      </c>
      <c r="AZ330" s="146">
        <f t="shared" si="74"/>
        <v>2160</v>
      </c>
      <c r="BA330" s="146">
        <f t="shared" si="74"/>
        <v>2160</v>
      </c>
      <c r="BB330" s="184"/>
      <c r="BC330" s="184"/>
      <c r="BD330" s="184"/>
      <c r="BE330" s="184"/>
      <c r="BF330" s="184"/>
      <c r="BG330" s="146">
        <f>2160-500</f>
        <v>1660</v>
      </c>
      <c r="BH330" s="146">
        <f>2160-500</f>
        <v>1660</v>
      </c>
      <c r="BI330" s="184"/>
      <c r="BJ330" s="184"/>
      <c r="BK330" s="184"/>
      <c r="BL330" s="184"/>
      <c r="BM330" s="184"/>
      <c r="BN330" s="184"/>
      <c r="BO330" s="184"/>
      <c r="BP330" s="184"/>
      <c r="BQ330" s="184"/>
      <c r="BR330" s="184"/>
      <c r="BS330" s="184"/>
      <c r="BT330" s="184"/>
      <c r="BU330" s="146" cm="1">
        <f t="array" ref="BU330">LOOKUP(2,1/(Y330:BT330&lt;&gt;""),Y330:BH330)</f>
        <v>1660</v>
      </c>
      <c r="BV330" s="145" cm="1">
        <f t="array" aca="1" ref="BV330" ca="1">_xlfn.LET(
    _xlpm.last_col_idx, LOOKUP(2, 1/(Y330:BT330&lt;&gt;""), COLUMN(Y330:BT330) - COLUMN(Y330) + 1),
    _xlpm.header_val, INDEX($Y$3:$BT$3, 1, _xlpm.last_col_idx),
    _xlpm.header_date, IF(ISNUMBER(_xlpm.header_val), _xlpm.header_val, DATEVALUE(_xlpm.header_val)),
    IF(_xlpm.header_date &gt; TODAY(), TODAY(), _xlpm.header_date)
)</f>
        <v>45992</v>
      </c>
      <c r="BW330" s="209" cm="1">
        <f t="array" ref="BW330">(LOOKUP(2,1/(BH330:BT330&lt;&gt;""),BH330:BT330))/(INDEX(BH330:BT330,MATCH(TRUE,INDEX((BH330:BT330&lt;&gt;0),0),0)))-1</f>
        <v>0</v>
      </c>
      <c r="BX330" s="210">
        <f t="shared" si="64"/>
        <v>1.66</v>
      </c>
      <c r="BY330" s="210">
        <f t="shared" si="65"/>
        <v>9.7940000000000005</v>
      </c>
      <c r="BZ330" s="210">
        <f ca="1">IF(L330="BR",'Impostos e Frete'!$F$6,IF(L330="EU",'Impostos e Frete'!$I$3,IF(L330="CN",'Impostos e Frete'!$I$4,IF(L330="JP",'Impostos e Frete'!$I$5,IF(L330="RU",'Impostos e Frete'!$I$7,"ERRO")))))</f>
        <v>0.1410816</v>
      </c>
      <c r="CA330" s="210">
        <f>VLOOKUP(L330,'Impostos e Frete'!$A$3:$B$7,2,0)*'Preços e Condições'!BY330</f>
        <v>1.27322</v>
      </c>
      <c r="CB330" s="147">
        <f t="shared" si="66"/>
        <v>0</v>
      </c>
      <c r="CC330" s="147">
        <f>IF(X330="BRL",'Impostos e Frete'!$B$11,'Impostos e Frete'!$B$12)</f>
        <v>9.1999999999999998E-2</v>
      </c>
      <c r="CD330" s="211">
        <f t="shared" ca="1" si="67"/>
        <v>11.300301600000001</v>
      </c>
      <c r="CE330" s="212">
        <f t="shared" ca="1" si="68"/>
        <v>0.88142352480000008</v>
      </c>
      <c r="CF330" s="213">
        <f>VLOOKUP(L330,'Impostos e Frete'!$A$3:$C$7,3,0)</f>
        <v>105</v>
      </c>
      <c r="CG330" s="213">
        <f t="shared" si="69"/>
        <v>30</v>
      </c>
      <c r="CH330" s="213">
        <f t="shared" si="70"/>
        <v>-75</v>
      </c>
      <c r="CI330" s="214">
        <f t="shared" ca="1" si="71"/>
        <v>0.42854052077749039</v>
      </c>
      <c r="CJ330" s="215">
        <f t="shared" ca="1" si="72"/>
        <v>11.728842120777491</v>
      </c>
      <c r="CK330" s="216">
        <f t="shared" ca="1" si="73"/>
        <v>0.91484968542064438</v>
      </c>
    </row>
    <row r="331" spans="1:89">
      <c r="A331" s="176">
        <v>19521</v>
      </c>
      <c r="B331" s="177">
        <v>104</v>
      </c>
      <c r="C331" s="178">
        <v>78</v>
      </c>
      <c r="D331" s="178">
        <v>1860</v>
      </c>
      <c r="E331" s="178" t="s">
        <v>49</v>
      </c>
      <c r="F331" s="179" t="s">
        <v>108</v>
      </c>
      <c r="G331" s="189" t="s">
        <v>114</v>
      </c>
      <c r="H331" s="178" t="s">
        <v>43</v>
      </c>
      <c r="I331" s="178" t="s">
        <v>118</v>
      </c>
      <c r="J331" s="178"/>
      <c r="K331" s="178"/>
      <c r="L331" s="178" t="s">
        <v>59</v>
      </c>
      <c r="M331" s="178">
        <v>30</v>
      </c>
      <c r="N331" s="178">
        <v>500</v>
      </c>
      <c r="O331" s="178"/>
      <c r="P331" s="178"/>
      <c r="Q331" s="178"/>
      <c r="R331" s="178" t="s">
        <v>19</v>
      </c>
      <c r="S331" s="181"/>
      <c r="T331" s="181"/>
      <c r="U331" s="182"/>
      <c r="V331" s="182" t="s">
        <v>35</v>
      </c>
      <c r="W331" s="183">
        <v>80</v>
      </c>
      <c r="X331" s="182" t="s">
        <v>51</v>
      </c>
      <c r="Y331" s="184">
        <v>2500</v>
      </c>
      <c r="Z331" s="184">
        <v>2500</v>
      </c>
      <c r="AA331" s="184">
        <v>2500</v>
      </c>
      <c r="AB331" s="184">
        <v>2500</v>
      </c>
      <c r="AC331" s="184">
        <v>2500</v>
      </c>
      <c r="AD331" s="184">
        <v>2500</v>
      </c>
      <c r="AE331" s="184">
        <v>2200</v>
      </c>
      <c r="AF331" s="184">
        <v>2200</v>
      </c>
      <c r="AG331" s="184">
        <v>2000</v>
      </c>
      <c r="AH331" s="184">
        <v>1950</v>
      </c>
      <c r="AI331" s="184">
        <v>1950</v>
      </c>
      <c r="AJ331" s="184">
        <v>1950</v>
      </c>
      <c r="AK331" s="184">
        <v>1950</v>
      </c>
      <c r="AL331" s="184">
        <v>1950</v>
      </c>
      <c r="AM331" s="184">
        <v>1950</v>
      </c>
      <c r="AN331" s="184">
        <v>1950</v>
      </c>
      <c r="AO331" s="184">
        <v>1950</v>
      </c>
      <c r="AP331" s="184">
        <v>1950</v>
      </c>
      <c r="AQ331" s="184">
        <v>1950</v>
      </c>
      <c r="AR331" s="184">
        <v>2050</v>
      </c>
      <c r="AS331" s="184">
        <v>2050</v>
      </c>
      <c r="AT331" s="184">
        <v>2050</v>
      </c>
      <c r="AU331" s="184">
        <v>2050</v>
      </c>
      <c r="AV331" s="184">
        <v>2050</v>
      </c>
      <c r="AW331" s="184">
        <v>2660</v>
      </c>
      <c r="AX331" s="184">
        <v>2660</v>
      </c>
      <c r="AY331" s="146">
        <f t="shared" si="62"/>
        <v>2160</v>
      </c>
      <c r="AZ331" s="146">
        <f t="shared" si="74"/>
        <v>2160</v>
      </c>
      <c r="BA331" s="146">
        <f t="shared" si="74"/>
        <v>2160</v>
      </c>
      <c r="BB331" s="184"/>
      <c r="BC331" s="184"/>
      <c r="BD331" s="184"/>
      <c r="BE331" s="184"/>
      <c r="BF331" s="184">
        <v>1850</v>
      </c>
      <c r="BG331" s="184">
        <v>1850</v>
      </c>
      <c r="BH331" s="184">
        <v>1850</v>
      </c>
      <c r="BI331" s="184"/>
      <c r="BJ331" s="184"/>
      <c r="BK331" s="184"/>
      <c r="BL331" s="184">
        <v>1650</v>
      </c>
      <c r="BM331" s="184">
        <v>1650</v>
      </c>
      <c r="BN331" s="184">
        <v>1650</v>
      </c>
      <c r="BO331" s="184">
        <v>1650</v>
      </c>
      <c r="BP331" s="184">
        <v>1650</v>
      </c>
      <c r="BQ331" s="184">
        <v>1650</v>
      </c>
      <c r="BR331" s="184"/>
      <c r="BS331" s="184"/>
      <c r="BT331" s="184"/>
      <c r="BU331" s="146" cm="1">
        <f t="array" ref="BU331">LOOKUP(2,1/(Y331:BT331&lt;&gt;""),Y331:BH331)</f>
        <v>1650</v>
      </c>
      <c r="BV331" s="145" cm="1">
        <f t="array" aca="1" ref="BV331" ca="1">_xlfn.LET(
    _xlpm.last_col_idx, LOOKUP(2, 1/(Y331:BT331&lt;&gt;""), COLUMN(Y331:BT331) - COLUMN(Y331) + 1),
    _xlpm.header_val, INDEX($Y$3:$BT$3, 1, _xlpm.last_col_idx),
    _xlpm.header_date, IF(ISNUMBER(_xlpm.header_val), _xlpm.header_val, DATEVALUE(_xlpm.header_val)),
    IF(_xlpm.header_date &gt; TODAY(), TODAY(), _xlpm.header_date)
)</f>
        <v>46212</v>
      </c>
      <c r="BW331" s="209" cm="1">
        <f t="array" ref="BW331">(LOOKUP(2,1/(BH331:BT331&lt;&gt;""),BH331:BT331))/(INDEX(BH331:BT331,MATCH(TRUE,INDEX((BH331:BT331&lt;&gt;0),0),0)))-1</f>
        <v>-0.10810810810810811</v>
      </c>
      <c r="BX331" s="210">
        <f t="shared" si="64"/>
        <v>1.65</v>
      </c>
      <c r="BY331" s="210">
        <f t="shared" si="65"/>
        <v>9.7349999999999994</v>
      </c>
      <c r="BZ331" s="210">
        <f ca="1">IF(L331="BR",'Impostos e Frete'!$F$6,IF(L331="EU",'Impostos e Frete'!$I$3,IF(L331="CN",'Impostos e Frete'!$I$4,IF(L331="JP",'Impostos e Frete'!$I$5,IF(L331="RU",'Impostos e Frete'!$I$7,"ERRO")))))</f>
        <v>0.1410816</v>
      </c>
      <c r="CA331" s="210">
        <f>VLOOKUP(L331,'Impostos e Frete'!$A$3:$B$7,2,0)*'Preços e Condições'!BY331</f>
        <v>1.26555</v>
      </c>
      <c r="CB331" s="147">
        <f t="shared" si="66"/>
        <v>0</v>
      </c>
      <c r="CC331" s="147">
        <f>IF(X331="BRL",'Impostos e Frete'!$B$11,'Impostos e Frete'!$B$12)</f>
        <v>9.1999999999999998E-2</v>
      </c>
      <c r="CD331" s="211">
        <f t="shared" ca="1" si="67"/>
        <v>11.233631599999999</v>
      </c>
      <c r="CE331" s="212">
        <f t="shared" ca="1" si="68"/>
        <v>0.8762232647999999</v>
      </c>
      <c r="CF331" s="213">
        <f>VLOOKUP(L331,'Impostos e Frete'!$A$3:$C$7,3,0)</f>
        <v>105</v>
      </c>
      <c r="CG331" s="213">
        <f t="shared" si="69"/>
        <v>30</v>
      </c>
      <c r="CH331" s="213">
        <f t="shared" si="70"/>
        <v>-75</v>
      </c>
      <c r="CI331" s="214">
        <f t="shared" ca="1" si="71"/>
        <v>0.42601219918647715</v>
      </c>
      <c r="CJ331" s="215">
        <f t="shared" ca="1" si="72"/>
        <v>11.659643799186476</v>
      </c>
      <c r="CK331" s="216">
        <f t="shared" ca="1" si="73"/>
        <v>0.90945221633654516</v>
      </c>
    </row>
    <row r="332" spans="1:89">
      <c r="A332" s="176">
        <v>19521</v>
      </c>
      <c r="B332" s="177">
        <v>104</v>
      </c>
      <c r="C332" s="178">
        <v>78</v>
      </c>
      <c r="D332" s="178">
        <v>1860</v>
      </c>
      <c r="E332" s="178" t="s">
        <v>49</v>
      </c>
      <c r="F332" s="179" t="s">
        <v>108</v>
      </c>
      <c r="G332" s="189" t="s">
        <v>114</v>
      </c>
      <c r="H332" s="178" t="s">
        <v>43</v>
      </c>
      <c r="I332" s="178" t="s">
        <v>118</v>
      </c>
      <c r="J332" s="178"/>
      <c r="K332" s="178"/>
      <c r="L332" s="178" t="s">
        <v>59</v>
      </c>
      <c r="M332" s="178">
        <v>30</v>
      </c>
      <c r="N332" s="178">
        <v>500</v>
      </c>
      <c r="O332" s="178"/>
      <c r="P332" s="178"/>
      <c r="Q332" s="178"/>
      <c r="R332" s="178" t="s">
        <v>19</v>
      </c>
      <c r="S332" s="181"/>
      <c r="T332" s="181"/>
      <c r="U332" s="182"/>
      <c r="V332" s="182" t="s">
        <v>35</v>
      </c>
      <c r="W332" s="183">
        <v>50</v>
      </c>
      <c r="X332" s="182" t="s">
        <v>51</v>
      </c>
      <c r="Y332" s="184">
        <v>2700</v>
      </c>
      <c r="Z332" s="184">
        <v>2700</v>
      </c>
      <c r="AA332" s="184">
        <v>2700</v>
      </c>
      <c r="AB332" s="184">
        <v>2700</v>
      </c>
      <c r="AC332" s="184">
        <v>2700</v>
      </c>
      <c r="AD332" s="184">
        <v>2700</v>
      </c>
      <c r="AE332" s="184">
        <v>2400</v>
      </c>
      <c r="AF332" s="184">
        <v>2400</v>
      </c>
      <c r="AG332" s="184">
        <v>2400</v>
      </c>
      <c r="AH332" s="184">
        <v>2150</v>
      </c>
      <c r="AI332" s="184">
        <v>2150</v>
      </c>
      <c r="AJ332" s="184">
        <v>2150</v>
      </c>
      <c r="AK332" s="184">
        <v>2150</v>
      </c>
      <c r="AL332" s="184">
        <v>2150</v>
      </c>
      <c r="AM332" s="184">
        <v>2150</v>
      </c>
      <c r="AN332" s="184">
        <v>2150</v>
      </c>
      <c r="AO332" s="184">
        <v>2150</v>
      </c>
      <c r="AP332" s="184">
        <v>2150</v>
      </c>
      <c r="AQ332" s="184">
        <v>2150</v>
      </c>
      <c r="AR332" s="184">
        <v>2250</v>
      </c>
      <c r="AS332" s="184">
        <v>2250</v>
      </c>
      <c r="AT332" s="184">
        <v>2250</v>
      </c>
      <c r="AU332" s="184">
        <v>2250</v>
      </c>
      <c r="AV332" s="184">
        <v>2250</v>
      </c>
      <c r="AW332" s="184">
        <v>2680</v>
      </c>
      <c r="AX332" s="184">
        <v>2680</v>
      </c>
      <c r="AY332" s="146">
        <f t="shared" si="62"/>
        <v>2180</v>
      </c>
      <c r="AZ332" s="146">
        <f t="shared" si="74"/>
        <v>2180</v>
      </c>
      <c r="BA332" s="146">
        <f t="shared" si="74"/>
        <v>2180</v>
      </c>
      <c r="BB332" s="184"/>
      <c r="BC332" s="184"/>
      <c r="BD332" s="184"/>
      <c r="BE332" s="184"/>
      <c r="BF332" s="184">
        <v>1870</v>
      </c>
      <c r="BG332" s="184">
        <v>1870</v>
      </c>
      <c r="BH332" s="184">
        <v>1870</v>
      </c>
      <c r="BI332" s="184"/>
      <c r="BJ332" s="184"/>
      <c r="BK332" s="184"/>
      <c r="BL332" s="184">
        <v>1670</v>
      </c>
      <c r="BM332" s="184">
        <v>1670</v>
      </c>
      <c r="BN332" s="184">
        <v>1670</v>
      </c>
      <c r="BO332" s="184">
        <v>1850</v>
      </c>
      <c r="BP332" s="184">
        <v>1850</v>
      </c>
      <c r="BQ332" s="184">
        <v>1850</v>
      </c>
      <c r="BR332" s="184"/>
      <c r="BS332" s="184"/>
      <c r="BT332" s="184"/>
      <c r="BU332" s="146" cm="1">
        <f t="array" ref="BU332">LOOKUP(2,1/(Y332:BT332&lt;&gt;""),Y332:BH332)</f>
        <v>1850</v>
      </c>
      <c r="BV332" s="145" cm="1">
        <f t="array" aca="1" ref="BV332" ca="1">_xlfn.LET(
    _xlpm.last_col_idx, LOOKUP(2, 1/(Y332:BT332&lt;&gt;""), COLUMN(Y332:BT332) - COLUMN(Y332) + 1),
    _xlpm.header_val, INDEX($Y$3:$BT$3, 1, _xlpm.last_col_idx),
    _xlpm.header_date, IF(ISNUMBER(_xlpm.header_val), _xlpm.header_val, DATEVALUE(_xlpm.header_val)),
    IF(_xlpm.header_date &gt; TODAY(), TODAY(), _xlpm.header_date)
)</f>
        <v>46212</v>
      </c>
      <c r="BW332" s="209" cm="1">
        <f t="array" ref="BW332">(LOOKUP(2,1/(BH332:BT332&lt;&gt;""),BH332:BT332))/(INDEX(BH332:BT332,MATCH(TRUE,INDEX((BH332:BT332&lt;&gt;0),0),0)))-1</f>
        <v>-1.0695187165775444E-2</v>
      </c>
      <c r="BX332" s="210">
        <f t="shared" si="64"/>
        <v>1.85</v>
      </c>
      <c r="BY332" s="210">
        <f t="shared" si="65"/>
        <v>10.915000000000001</v>
      </c>
      <c r="BZ332" s="210">
        <f ca="1">IF(L332="BR",'Impostos e Frete'!$F$6,IF(L332="EU",'Impostos e Frete'!$I$3,IF(L332="CN",'Impostos e Frete'!$I$4,IF(L332="JP",'Impostos e Frete'!$I$5,IF(L332="RU",'Impostos e Frete'!$I$7,"ERRO")))))</f>
        <v>0.1410816</v>
      </c>
      <c r="CA332" s="210">
        <f>VLOOKUP(L332,'Impostos e Frete'!$A$3:$B$7,2,0)*'Preços e Condições'!BY332</f>
        <v>1.4189500000000002</v>
      </c>
      <c r="CB332" s="147">
        <f t="shared" si="66"/>
        <v>0</v>
      </c>
      <c r="CC332" s="147">
        <f>IF(X332="BRL",'Impostos e Frete'!$B$11,'Impostos e Frete'!$B$12)</f>
        <v>9.1999999999999998E-2</v>
      </c>
      <c r="CD332" s="211">
        <f t="shared" ca="1" si="67"/>
        <v>12.567031600000002</v>
      </c>
      <c r="CE332" s="212">
        <f t="shared" ca="1" si="68"/>
        <v>0.98022846480000014</v>
      </c>
      <c r="CF332" s="213">
        <f>VLOOKUP(L332,'Impostos e Frete'!$A$3:$C$7,3,0)</f>
        <v>105</v>
      </c>
      <c r="CG332" s="213">
        <f t="shared" si="69"/>
        <v>30</v>
      </c>
      <c r="CH332" s="213">
        <f t="shared" si="70"/>
        <v>-75</v>
      </c>
      <c r="CI332" s="214">
        <f t="shared" ca="1" si="71"/>
        <v>0.47657863100673126</v>
      </c>
      <c r="CJ332" s="215">
        <f t="shared" ca="1" si="72"/>
        <v>13.043610231006733</v>
      </c>
      <c r="CK332" s="216">
        <f t="shared" ca="1" si="73"/>
        <v>1.0174015980185251</v>
      </c>
    </row>
    <row r="333" spans="1:89">
      <c r="A333" s="176">
        <v>19521</v>
      </c>
      <c r="B333" s="177">
        <v>104</v>
      </c>
      <c r="C333" s="178">
        <v>78</v>
      </c>
      <c r="D333" s="178">
        <v>1860</v>
      </c>
      <c r="E333" s="178" t="s">
        <v>49</v>
      </c>
      <c r="F333" s="179" t="s">
        <v>108</v>
      </c>
      <c r="G333" s="189" t="s">
        <v>114</v>
      </c>
      <c r="H333" s="178" t="s">
        <v>43</v>
      </c>
      <c r="I333" s="178" t="s">
        <v>118</v>
      </c>
      <c r="J333" s="178"/>
      <c r="K333" s="178"/>
      <c r="L333" s="178" t="s">
        <v>59</v>
      </c>
      <c r="M333" s="178">
        <v>30</v>
      </c>
      <c r="N333" s="178">
        <v>500</v>
      </c>
      <c r="O333" s="178"/>
      <c r="P333" s="178"/>
      <c r="Q333" s="178"/>
      <c r="R333" s="178" t="s">
        <v>19</v>
      </c>
      <c r="S333" s="181"/>
      <c r="T333" s="181"/>
      <c r="U333" s="182"/>
      <c r="V333" s="182" t="s">
        <v>35</v>
      </c>
      <c r="W333" s="183">
        <v>20</v>
      </c>
      <c r="X333" s="182" t="s">
        <v>51</v>
      </c>
      <c r="Y333" s="184">
        <v>3200</v>
      </c>
      <c r="Z333" s="184">
        <v>3200</v>
      </c>
      <c r="AA333" s="184">
        <v>3200</v>
      </c>
      <c r="AB333" s="184">
        <v>3200</v>
      </c>
      <c r="AC333" s="184">
        <v>3200</v>
      </c>
      <c r="AD333" s="184">
        <v>3200</v>
      </c>
      <c r="AE333" s="184">
        <v>2900</v>
      </c>
      <c r="AF333" s="184">
        <v>2900</v>
      </c>
      <c r="AG333" s="184">
        <v>2900</v>
      </c>
      <c r="AH333" s="184">
        <v>2650</v>
      </c>
      <c r="AI333" s="184">
        <v>2650</v>
      </c>
      <c r="AJ333" s="184">
        <v>2650</v>
      </c>
      <c r="AK333" s="184">
        <v>2650</v>
      </c>
      <c r="AL333" s="184">
        <v>2650</v>
      </c>
      <c r="AM333" s="184">
        <v>2650</v>
      </c>
      <c r="AN333" s="184">
        <v>2650</v>
      </c>
      <c r="AO333" s="184">
        <v>2650</v>
      </c>
      <c r="AP333" s="184">
        <v>2650</v>
      </c>
      <c r="AQ333" s="184">
        <v>2650</v>
      </c>
      <c r="AR333" s="184">
        <v>2750</v>
      </c>
      <c r="AS333" s="184">
        <v>2750</v>
      </c>
      <c r="AT333" s="184">
        <v>2750</v>
      </c>
      <c r="AU333" s="184">
        <v>2750</v>
      </c>
      <c r="AV333" s="184">
        <v>2750</v>
      </c>
      <c r="AW333" s="184">
        <v>2730</v>
      </c>
      <c r="AX333" s="184">
        <v>2730</v>
      </c>
      <c r="AY333" s="146">
        <f t="shared" si="62"/>
        <v>2230</v>
      </c>
      <c r="AZ333" s="146">
        <f t="shared" si="74"/>
        <v>2230</v>
      </c>
      <c r="BA333" s="146">
        <f t="shared" si="74"/>
        <v>2230</v>
      </c>
      <c r="BB333" s="184"/>
      <c r="BC333" s="184"/>
      <c r="BD333" s="184"/>
      <c r="BE333" s="184"/>
      <c r="BF333" s="184">
        <v>1920</v>
      </c>
      <c r="BG333" s="184">
        <v>1920</v>
      </c>
      <c r="BH333" s="184">
        <v>1920</v>
      </c>
      <c r="BI333" s="184"/>
      <c r="BJ333" s="184"/>
      <c r="BK333" s="184"/>
      <c r="BL333" s="184">
        <v>1720</v>
      </c>
      <c r="BM333" s="184">
        <v>1720</v>
      </c>
      <c r="BN333" s="184">
        <v>1720</v>
      </c>
      <c r="BO333" s="184">
        <v>2350</v>
      </c>
      <c r="BP333" s="184">
        <v>2350</v>
      </c>
      <c r="BQ333" s="184">
        <v>2350</v>
      </c>
      <c r="BR333" s="184"/>
      <c r="BS333" s="184"/>
      <c r="BT333" s="184"/>
      <c r="BU333" s="146" cm="1">
        <f t="array" ref="BU333">LOOKUP(2,1/(Y333:BT333&lt;&gt;""),Y333:BH333)</f>
        <v>2350</v>
      </c>
      <c r="BV333" s="145" cm="1">
        <f t="array" aca="1" ref="BV333" ca="1">_xlfn.LET(
    _xlpm.last_col_idx, LOOKUP(2, 1/(Y333:BT333&lt;&gt;""), COLUMN(Y333:BT333) - COLUMN(Y333) + 1),
    _xlpm.header_val, INDEX($Y$3:$BT$3, 1, _xlpm.last_col_idx),
    _xlpm.header_date, IF(ISNUMBER(_xlpm.header_val), _xlpm.header_val, DATEVALUE(_xlpm.header_val)),
    IF(_xlpm.header_date &gt; TODAY(), TODAY(), _xlpm.header_date)
)</f>
        <v>46212</v>
      </c>
      <c r="BW333" s="209" cm="1">
        <f t="array" ref="BW333">(LOOKUP(2,1/(BH333:BT333&lt;&gt;""),BH333:BT333))/(INDEX(BH333:BT333,MATCH(TRUE,INDEX((BH333:BT333&lt;&gt;0),0),0)))-1</f>
        <v>0.22395833333333326</v>
      </c>
      <c r="BX333" s="210">
        <f t="shared" si="64"/>
        <v>2.35</v>
      </c>
      <c r="BY333" s="210">
        <f t="shared" si="65"/>
        <v>13.865000000000002</v>
      </c>
      <c r="BZ333" s="210">
        <f ca="1">IF(L333="BR",'Impostos e Frete'!$F$6,IF(L333="EU",'Impostos e Frete'!$I$3,IF(L333="CN",'Impostos e Frete'!$I$4,IF(L333="JP",'Impostos e Frete'!$I$5,IF(L333="RU",'Impostos e Frete'!$I$7,"ERRO")))))</f>
        <v>0.1410816</v>
      </c>
      <c r="CA333" s="210">
        <f>VLOOKUP(L333,'Impostos e Frete'!$A$3:$B$7,2,0)*'Preços e Condições'!BY333</f>
        <v>1.8024500000000003</v>
      </c>
      <c r="CB333" s="147">
        <f t="shared" si="66"/>
        <v>0</v>
      </c>
      <c r="CC333" s="147">
        <f>IF(X333="BRL",'Impostos e Frete'!$B$11,'Impostos e Frete'!$B$12)</f>
        <v>9.1999999999999998E-2</v>
      </c>
      <c r="CD333" s="211">
        <f t="shared" ca="1" si="67"/>
        <v>15.900531600000003</v>
      </c>
      <c r="CE333" s="212">
        <f t="shared" ca="1" si="68"/>
        <v>1.2402414648000002</v>
      </c>
      <c r="CF333" s="213">
        <f>VLOOKUP(L333,'Impostos e Frete'!$A$3:$C$7,3,0)</f>
        <v>105</v>
      </c>
      <c r="CG333" s="213">
        <f t="shared" si="69"/>
        <v>30</v>
      </c>
      <c r="CH333" s="213">
        <f t="shared" si="70"/>
        <v>-75</v>
      </c>
      <c r="CI333" s="214">
        <f t="shared" ca="1" si="71"/>
        <v>0.60299471055736653</v>
      </c>
      <c r="CJ333" s="215">
        <f t="shared" ca="1" si="72"/>
        <v>16.503526310557369</v>
      </c>
      <c r="CK333" s="216">
        <f t="shared" ca="1" si="73"/>
        <v>1.2872750522234748</v>
      </c>
    </row>
    <row r="334" spans="1:89">
      <c r="A334" s="176">
        <v>19522</v>
      </c>
      <c r="B334" s="177">
        <v>104</v>
      </c>
      <c r="C334" s="178">
        <v>70</v>
      </c>
      <c r="D334" s="178">
        <v>2175</v>
      </c>
      <c r="E334" s="178" t="s">
        <v>50</v>
      </c>
      <c r="F334" s="179" t="s">
        <v>108</v>
      </c>
      <c r="G334" s="189" t="s">
        <v>439</v>
      </c>
      <c r="H334" s="178" t="s">
        <v>43</v>
      </c>
      <c r="I334" s="178" t="s">
        <v>118</v>
      </c>
      <c r="J334" s="178"/>
      <c r="K334" s="178"/>
      <c r="L334" s="178" t="s">
        <v>59</v>
      </c>
      <c r="M334" s="178">
        <v>30</v>
      </c>
      <c r="N334" s="178">
        <v>500</v>
      </c>
      <c r="O334" s="178"/>
      <c r="P334" s="178"/>
      <c r="Q334" s="178"/>
      <c r="R334" s="178" t="s">
        <v>19</v>
      </c>
      <c r="S334" s="181"/>
      <c r="T334" s="181"/>
      <c r="U334" s="182"/>
      <c r="V334" s="182" t="s">
        <v>35</v>
      </c>
      <c r="W334" s="183">
        <v>80</v>
      </c>
      <c r="X334" s="182" t="s">
        <v>51</v>
      </c>
      <c r="Y334" s="184">
        <v>2530</v>
      </c>
      <c r="Z334" s="184">
        <v>2530</v>
      </c>
      <c r="AA334" s="184">
        <v>2530</v>
      </c>
      <c r="AB334" s="184">
        <v>2530</v>
      </c>
      <c r="AC334" s="184">
        <v>2530</v>
      </c>
      <c r="AD334" s="184">
        <v>2530</v>
      </c>
      <c r="AE334" s="184">
        <v>2430</v>
      </c>
      <c r="AF334" s="184">
        <v>2430</v>
      </c>
      <c r="AG334" s="184">
        <v>2430</v>
      </c>
      <c r="AH334" s="184">
        <v>2050</v>
      </c>
      <c r="AI334" s="184">
        <v>2050</v>
      </c>
      <c r="AJ334" s="184">
        <v>2050</v>
      </c>
      <c r="AK334" s="184">
        <v>2050</v>
      </c>
      <c r="AL334" s="184">
        <v>2050</v>
      </c>
      <c r="AM334" s="184">
        <v>2050</v>
      </c>
      <c r="AN334" s="184">
        <v>2050</v>
      </c>
      <c r="AO334" s="184">
        <v>2050</v>
      </c>
      <c r="AP334" s="184">
        <v>2050</v>
      </c>
      <c r="AQ334" s="184">
        <v>2030</v>
      </c>
      <c r="AR334" s="184">
        <v>2160</v>
      </c>
      <c r="AS334" s="184">
        <v>2160</v>
      </c>
      <c r="AT334" s="184">
        <v>2160</v>
      </c>
      <c r="AU334" s="184">
        <v>2160</v>
      </c>
      <c r="AV334" s="184">
        <v>2160</v>
      </c>
      <c r="AW334" s="184">
        <v>2660</v>
      </c>
      <c r="AX334" s="184">
        <v>2660</v>
      </c>
      <c r="AY334" s="146">
        <f t="shared" si="62"/>
        <v>2160</v>
      </c>
      <c r="AZ334" s="146">
        <f t="shared" si="74"/>
        <v>2160</v>
      </c>
      <c r="BA334" s="146">
        <f t="shared" si="74"/>
        <v>2160</v>
      </c>
      <c r="BB334" s="184"/>
      <c r="BC334" s="184"/>
      <c r="BD334" s="184"/>
      <c r="BE334" s="184"/>
      <c r="BF334" s="184">
        <v>2130</v>
      </c>
      <c r="BG334" s="184">
        <v>2130</v>
      </c>
      <c r="BH334" s="184">
        <v>2130</v>
      </c>
      <c r="BI334" s="184"/>
      <c r="BJ334" s="184"/>
      <c r="BK334" s="184"/>
      <c r="BL334" s="184">
        <v>2690</v>
      </c>
      <c r="BM334" s="184">
        <v>2690</v>
      </c>
      <c r="BN334" s="184">
        <v>2690</v>
      </c>
      <c r="BO334" s="184">
        <v>2250</v>
      </c>
      <c r="BP334" s="184">
        <v>2250</v>
      </c>
      <c r="BQ334" s="184">
        <v>2250</v>
      </c>
      <c r="BR334" s="184"/>
      <c r="BS334" s="184"/>
      <c r="BT334" s="184"/>
      <c r="BU334" s="146" cm="1">
        <f t="array" ref="BU334">LOOKUP(2,1/(Y334:BT334&lt;&gt;""),Y334:BH334)</f>
        <v>2250</v>
      </c>
      <c r="BV334" s="145" cm="1">
        <f t="array" aca="1" ref="BV334" ca="1">_xlfn.LET(
    _xlpm.last_col_idx, LOOKUP(2, 1/(Y334:BT334&lt;&gt;""), COLUMN(Y334:BT334) - COLUMN(Y334) + 1),
    _xlpm.header_val, INDEX($Y$3:$BT$3, 1, _xlpm.last_col_idx),
    _xlpm.header_date, IF(ISNUMBER(_xlpm.header_val), _xlpm.header_val, DATEVALUE(_xlpm.header_val)),
    IF(_xlpm.header_date &gt; TODAY(), TODAY(), _xlpm.header_date)
)</f>
        <v>46212</v>
      </c>
      <c r="BW334" s="209" cm="1">
        <f t="array" ref="BW334">(LOOKUP(2,1/(BH334:BT334&lt;&gt;""),BH334:BT334))/(INDEX(BH334:BT334,MATCH(TRUE,INDEX((BH334:BT334&lt;&gt;0),0),0)))-1</f>
        <v>5.6338028169014009E-2</v>
      </c>
      <c r="BX334" s="210">
        <f t="shared" si="64"/>
        <v>2.25</v>
      </c>
      <c r="BY334" s="210">
        <f t="shared" si="65"/>
        <v>13.275</v>
      </c>
      <c r="BZ334" s="210">
        <f ca="1">IF(L334="BR",'Impostos e Frete'!$F$6,IF(L334="EU",'Impostos e Frete'!$I$3,IF(L334="CN",'Impostos e Frete'!$I$4,IF(L334="JP",'Impostos e Frete'!$I$5,IF(L334="RU",'Impostos e Frete'!$I$7,"ERRO")))))</f>
        <v>0.1410816</v>
      </c>
      <c r="CA334" s="210">
        <f>VLOOKUP(L334,'Impostos e Frete'!$A$3:$B$7,2,0)*'Preços e Condições'!BY334</f>
        <v>1.7257500000000001</v>
      </c>
      <c r="CB334" s="147">
        <f t="shared" si="66"/>
        <v>0</v>
      </c>
      <c r="CC334" s="147">
        <f>IF(X334="BRL",'Impostos e Frete'!$B$11,'Impostos e Frete'!$B$12)</f>
        <v>9.1999999999999998E-2</v>
      </c>
      <c r="CD334" s="211">
        <f t="shared" ca="1" si="67"/>
        <v>15.2338316</v>
      </c>
      <c r="CE334" s="212">
        <f t="shared" ca="1" si="68"/>
        <v>1.066368212</v>
      </c>
      <c r="CF334" s="213">
        <f>VLOOKUP(L334,'Impostos e Frete'!$A$3:$C$7,3,0)</f>
        <v>105</v>
      </c>
      <c r="CG334" s="213">
        <f t="shared" si="69"/>
        <v>30</v>
      </c>
      <c r="CH334" s="213">
        <f t="shared" si="70"/>
        <v>-75</v>
      </c>
      <c r="CI334" s="214">
        <f t="shared" ca="1" si="71"/>
        <v>0.57771149464723948</v>
      </c>
      <c r="CJ334" s="215">
        <f t="shared" ca="1" si="72"/>
        <v>15.81154309464724</v>
      </c>
      <c r="CK334" s="216">
        <f t="shared" ca="1" si="73"/>
        <v>1.1068080166253067</v>
      </c>
    </row>
    <row r="335" spans="1:89">
      <c r="A335" s="176">
        <v>19522</v>
      </c>
      <c r="B335" s="177">
        <v>104</v>
      </c>
      <c r="C335" s="178">
        <v>70</v>
      </c>
      <c r="D335" s="178">
        <v>2175</v>
      </c>
      <c r="E335" s="178" t="s">
        <v>50</v>
      </c>
      <c r="F335" s="179" t="s">
        <v>108</v>
      </c>
      <c r="G335" s="189" t="s">
        <v>439</v>
      </c>
      <c r="H335" s="178" t="s">
        <v>43</v>
      </c>
      <c r="I335" s="178" t="s">
        <v>118</v>
      </c>
      <c r="J335" s="178"/>
      <c r="K335" s="178"/>
      <c r="L335" s="178" t="s">
        <v>59</v>
      </c>
      <c r="M335" s="178">
        <v>30</v>
      </c>
      <c r="N335" s="178">
        <v>500</v>
      </c>
      <c r="O335" s="178"/>
      <c r="P335" s="178"/>
      <c r="Q335" s="178"/>
      <c r="R335" s="178" t="s">
        <v>19</v>
      </c>
      <c r="S335" s="181"/>
      <c r="T335" s="181"/>
      <c r="U335" s="182"/>
      <c r="V335" s="182" t="s">
        <v>35</v>
      </c>
      <c r="W335" s="183">
        <v>50</v>
      </c>
      <c r="X335" s="182" t="s">
        <v>51</v>
      </c>
      <c r="Y335" s="184">
        <v>2730</v>
      </c>
      <c r="Z335" s="184">
        <v>2730</v>
      </c>
      <c r="AA335" s="184">
        <v>2730</v>
      </c>
      <c r="AB335" s="184">
        <v>2730</v>
      </c>
      <c r="AC335" s="184">
        <v>2730</v>
      </c>
      <c r="AD335" s="184">
        <v>2730</v>
      </c>
      <c r="AE335" s="184">
        <v>2630</v>
      </c>
      <c r="AF335" s="184">
        <v>2630</v>
      </c>
      <c r="AG335" s="184">
        <v>2630</v>
      </c>
      <c r="AH335" s="184">
        <v>2250</v>
      </c>
      <c r="AI335" s="184">
        <v>2250</v>
      </c>
      <c r="AJ335" s="184">
        <v>2250</v>
      </c>
      <c r="AK335" s="184">
        <v>2250</v>
      </c>
      <c r="AL335" s="184">
        <v>2250</v>
      </c>
      <c r="AM335" s="184">
        <v>2250</v>
      </c>
      <c r="AN335" s="184">
        <v>2250</v>
      </c>
      <c r="AO335" s="184">
        <v>2250</v>
      </c>
      <c r="AP335" s="184">
        <v>2250</v>
      </c>
      <c r="AQ335" s="184">
        <v>2200</v>
      </c>
      <c r="AR335" s="184">
        <v>2360</v>
      </c>
      <c r="AS335" s="184">
        <v>2360</v>
      </c>
      <c r="AT335" s="184">
        <v>2360</v>
      </c>
      <c r="AU335" s="184">
        <v>2360</v>
      </c>
      <c r="AV335" s="184">
        <v>2360</v>
      </c>
      <c r="AW335" s="184">
        <v>2680</v>
      </c>
      <c r="AX335" s="184">
        <v>2680</v>
      </c>
      <c r="AY335" s="146">
        <f t="shared" si="62"/>
        <v>2180</v>
      </c>
      <c r="AZ335" s="146">
        <f t="shared" si="74"/>
        <v>2180</v>
      </c>
      <c r="BA335" s="146">
        <f t="shared" si="74"/>
        <v>2180</v>
      </c>
      <c r="BB335" s="184"/>
      <c r="BC335" s="184"/>
      <c r="BD335" s="184"/>
      <c r="BE335" s="184"/>
      <c r="BF335" s="184">
        <v>2150</v>
      </c>
      <c r="BG335" s="184">
        <v>2150</v>
      </c>
      <c r="BH335" s="184">
        <v>2150</v>
      </c>
      <c r="BI335" s="184"/>
      <c r="BJ335" s="184"/>
      <c r="BK335" s="184"/>
      <c r="BL335" s="184">
        <v>2710</v>
      </c>
      <c r="BM335" s="184">
        <v>2710</v>
      </c>
      <c r="BN335" s="184">
        <v>2710</v>
      </c>
      <c r="BO335" s="184">
        <v>2450</v>
      </c>
      <c r="BP335" s="184">
        <v>2450</v>
      </c>
      <c r="BQ335" s="184">
        <v>2450</v>
      </c>
      <c r="BR335" s="184"/>
      <c r="BS335" s="184"/>
      <c r="BT335" s="184"/>
      <c r="BU335" s="146" cm="1">
        <f t="array" ref="BU335">LOOKUP(2,1/(Y335:BT335&lt;&gt;""),Y335:BH335)</f>
        <v>2450</v>
      </c>
      <c r="BV335" s="145" cm="1">
        <f t="array" aca="1" ref="BV335" ca="1">_xlfn.LET(
    _xlpm.last_col_idx, LOOKUP(2, 1/(Y335:BT335&lt;&gt;""), COLUMN(Y335:BT335) - COLUMN(Y335) + 1),
    _xlpm.header_val, INDEX($Y$3:$BT$3, 1, _xlpm.last_col_idx),
    _xlpm.header_date, IF(ISNUMBER(_xlpm.header_val), _xlpm.header_val, DATEVALUE(_xlpm.header_val)),
    IF(_xlpm.header_date &gt; TODAY(), TODAY(), _xlpm.header_date)
)</f>
        <v>46212</v>
      </c>
      <c r="BW335" s="209" cm="1">
        <f t="array" ref="BW335">(LOOKUP(2,1/(BH335:BT335&lt;&gt;""),BH335:BT335))/(INDEX(BH335:BT335,MATCH(TRUE,INDEX((BH335:BT335&lt;&gt;0),0),0)))-1</f>
        <v>0.13953488372093026</v>
      </c>
      <c r="BX335" s="210">
        <f t="shared" si="64"/>
        <v>2.4500000000000002</v>
      </c>
      <c r="BY335" s="210">
        <f t="shared" si="65"/>
        <v>14.455000000000002</v>
      </c>
      <c r="BZ335" s="210">
        <f ca="1">IF(L335="BR",'Impostos e Frete'!$F$6,IF(L335="EU",'Impostos e Frete'!$I$3,IF(L335="CN",'Impostos e Frete'!$I$4,IF(L335="JP",'Impostos e Frete'!$I$5,IF(L335="RU",'Impostos e Frete'!$I$7,"ERRO")))))</f>
        <v>0.1410816</v>
      </c>
      <c r="CA335" s="210">
        <f>VLOOKUP(L335,'Impostos e Frete'!$A$3:$B$7,2,0)*'Preços e Condições'!BY335</f>
        <v>1.8791500000000003</v>
      </c>
      <c r="CB335" s="147">
        <f t="shared" si="66"/>
        <v>0</v>
      </c>
      <c r="CC335" s="147">
        <f>IF(X335="BRL",'Impostos e Frete'!$B$11,'Impostos e Frete'!$B$12)</f>
        <v>9.1999999999999998E-2</v>
      </c>
      <c r="CD335" s="211">
        <f t="shared" ca="1" si="67"/>
        <v>16.5672316</v>
      </c>
      <c r="CE335" s="212">
        <f t="shared" ca="1" si="68"/>
        <v>1.1597062119999999</v>
      </c>
      <c r="CF335" s="213">
        <f>VLOOKUP(L335,'Impostos e Frete'!$A$3:$C$7,3,0)</f>
        <v>105</v>
      </c>
      <c r="CG335" s="213">
        <f t="shared" si="69"/>
        <v>30</v>
      </c>
      <c r="CH335" s="213">
        <f t="shared" si="70"/>
        <v>-75</v>
      </c>
      <c r="CI335" s="214">
        <f t="shared" ca="1" si="71"/>
        <v>0.62827792646749359</v>
      </c>
      <c r="CJ335" s="215">
        <f t="shared" ca="1" si="72"/>
        <v>17.195509526467493</v>
      </c>
      <c r="CK335" s="216">
        <f t="shared" ca="1" si="73"/>
        <v>1.2036856668527245</v>
      </c>
    </row>
    <row r="336" spans="1:89">
      <c r="A336" s="176">
        <v>19522</v>
      </c>
      <c r="B336" s="177">
        <v>104</v>
      </c>
      <c r="C336" s="178">
        <v>70</v>
      </c>
      <c r="D336" s="178">
        <v>2175</v>
      </c>
      <c r="E336" s="178" t="s">
        <v>50</v>
      </c>
      <c r="F336" s="179" t="s">
        <v>108</v>
      </c>
      <c r="G336" s="189" t="s">
        <v>439</v>
      </c>
      <c r="H336" s="178" t="s">
        <v>43</v>
      </c>
      <c r="I336" s="178" t="s">
        <v>118</v>
      </c>
      <c r="J336" s="178"/>
      <c r="K336" s="178"/>
      <c r="L336" s="178" t="s">
        <v>59</v>
      </c>
      <c r="M336" s="178">
        <v>30</v>
      </c>
      <c r="N336" s="178">
        <v>500</v>
      </c>
      <c r="O336" s="178"/>
      <c r="P336" s="178"/>
      <c r="Q336" s="178"/>
      <c r="R336" s="178" t="s">
        <v>19</v>
      </c>
      <c r="S336" s="181"/>
      <c r="T336" s="181"/>
      <c r="U336" s="182"/>
      <c r="V336" s="182" t="s">
        <v>35</v>
      </c>
      <c r="W336" s="183">
        <v>20</v>
      </c>
      <c r="X336" s="182" t="s">
        <v>51</v>
      </c>
      <c r="Y336" s="184">
        <v>3230</v>
      </c>
      <c r="Z336" s="184">
        <v>3230</v>
      </c>
      <c r="AA336" s="184">
        <v>3230</v>
      </c>
      <c r="AB336" s="184">
        <v>3230</v>
      </c>
      <c r="AC336" s="184">
        <v>3230</v>
      </c>
      <c r="AD336" s="184">
        <v>3230</v>
      </c>
      <c r="AE336" s="184">
        <v>3130</v>
      </c>
      <c r="AF336" s="184">
        <v>3130</v>
      </c>
      <c r="AG336" s="184">
        <v>3130</v>
      </c>
      <c r="AH336" s="184">
        <v>2750</v>
      </c>
      <c r="AI336" s="184">
        <v>2750</v>
      </c>
      <c r="AJ336" s="184">
        <v>2750</v>
      </c>
      <c r="AK336" s="184">
        <v>2750</v>
      </c>
      <c r="AL336" s="184">
        <v>2750</v>
      </c>
      <c r="AM336" s="184">
        <v>2750</v>
      </c>
      <c r="AN336" s="184">
        <v>2750</v>
      </c>
      <c r="AO336" s="184">
        <v>2750</v>
      </c>
      <c r="AP336" s="184">
        <v>2750</v>
      </c>
      <c r="AQ336" s="184">
        <v>2700</v>
      </c>
      <c r="AR336" s="184">
        <v>2860</v>
      </c>
      <c r="AS336" s="184">
        <v>2860</v>
      </c>
      <c r="AT336" s="184">
        <v>2860</v>
      </c>
      <c r="AU336" s="184">
        <v>2860</v>
      </c>
      <c r="AV336" s="184">
        <v>2860</v>
      </c>
      <c r="AW336" s="184">
        <v>2730</v>
      </c>
      <c r="AX336" s="184">
        <v>2730</v>
      </c>
      <c r="AY336" s="146">
        <f t="shared" si="62"/>
        <v>2230</v>
      </c>
      <c r="AZ336" s="146">
        <f t="shared" si="74"/>
        <v>2230</v>
      </c>
      <c r="BA336" s="146">
        <f t="shared" si="74"/>
        <v>2230</v>
      </c>
      <c r="BB336" s="184"/>
      <c r="BC336" s="184"/>
      <c r="BD336" s="184"/>
      <c r="BE336" s="184"/>
      <c r="BF336" s="184">
        <v>2200</v>
      </c>
      <c r="BG336" s="184">
        <v>2200</v>
      </c>
      <c r="BH336" s="184">
        <v>2200</v>
      </c>
      <c r="BI336" s="184"/>
      <c r="BJ336" s="184"/>
      <c r="BK336" s="184"/>
      <c r="BL336" s="184">
        <v>2760</v>
      </c>
      <c r="BM336" s="184">
        <v>2760</v>
      </c>
      <c r="BN336" s="184">
        <v>2760</v>
      </c>
      <c r="BO336" s="184">
        <v>2950</v>
      </c>
      <c r="BP336" s="184">
        <v>2950</v>
      </c>
      <c r="BQ336" s="184">
        <v>2950</v>
      </c>
      <c r="BR336" s="184"/>
      <c r="BS336" s="184"/>
      <c r="BT336" s="184"/>
      <c r="BU336" s="146" cm="1">
        <f t="array" ref="BU336">LOOKUP(2,1/(Y336:BT336&lt;&gt;""),Y336:BH336)</f>
        <v>2950</v>
      </c>
      <c r="BV336" s="145" cm="1">
        <f t="array" aca="1" ref="BV336" ca="1">_xlfn.LET(
    _xlpm.last_col_idx, LOOKUP(2, 1/(Y336:BT336&lt;&gt;""), COLUMN(Y336:BT336) - COLUMN(Y336) + 1),
    _xlpm.header_val, INDEX($Y$3:$BT$3, 1, _xlpm.last_col_idx),
    _xlpm.header_date, IF(ISNUMBER(_xlpm.header_val), _xlpm.header_val, DATEVALUE(_xlpm.header_val)),
    IF(_xlpm.header_date &gt; TODAY(), TODAY(), _xlpm.header_date)
)</f>
        <v>46212</v>
      </c>
      <c r="BW336" s="209" cm="1">
        <f t="array" ref="BW336">(LOOKUP(2,1/(BH336:BT336&lt;&gt;""),BH336:BT336))/(INDEX(BH336:BT336,MATCH(TRUE,INDEX((BH336:BT336&lt;&gt;0),0),0)))-1</f>
        <v>0.34090909090909083</v>
      </c>
      <c r="BX336" s="210">
        <f t="shared" si="64"/>
        <v>2.95</v>
      </c>
      <c r="BY336" s="210">
        <f t="shared" si="65"/>
        <v>17.405000000000001</v>
      </c>
      <c r="BZ336" s="210">
        <f ca="1">IF(L336="BR",'Impostos e Frete'!$F$6,IF(L336="EU",'Impostos e Frete'!$I$3,IF(L336="CN",'Impostos e Frete'!$I$4,IF(L336="JP",'Impostos e Frete'!$I$5,IF(L336="RU",'Impostos e Frete'!$I$7,"ERRO")))))</f>
        <v>0.1410816</v>
      </c>
      <c r="CA336" s="210">
        <f>VLOOKUP(L336,'Impostos e Frete'!$A$3:$B$7,2,0)*'Preços e Condições'!BY336</f>
        <v>2.2626500000000003</v>
      </c>
      <c r="CB336" s="147">
        <f t="shared" si="66"/>
        <v>0</v>
      </c>
      <c r="CC336" s="147">
        <f>IF(X336="BRL",'Impostos e Frete'!$B$11,'Impostos e Frete'!$B$12)</f>
        <v>9.1999999999999998E-2</v>
      </c>
      <c r="CD336" s="211">
        <f t="shared" ca="1" si="67"/>
        <v>19.9007316</v>
      </c>
      <c r="CE336" s="212">
        <f t="shared" ca="1" si="68"/>
        <v>1.393051212</v>
      </c>
      <c r="CF336" s="213">
        <f>VLOOKUP(L336,'Impostos e Frete'!$A$3:$C$7,3,0)</f>
        <v>105</v>
      </c>
      <c r="CG336" s="213">
        <f t="shared" si="69"/>
        <v>30</v>
      </c>
      <c r="CH336" s="213">
        <f t="shared" si="70"/>
        <v>-75</v>
      </c>
      <c r="CI336" s="214">
        <f t="shared" ca="1" si="71"/>
        <v>0.75469400601812708</v>
      </c>
      <c r="CJ336" s="215">
        <f t="shared" ca="1" si="72"/>
        <v>20.655425606018127</v>
      </c>
      <c r="CK336" s="216">
        <f t="shared" ca="1" si="73"/>
        <v>1.4458797924212687</v>
      </c>
    </row>
    <row r="337" spans="1:89">
      <c r="A337" s="176">
        <v>19526</v>
      </c>
      <c r="B337" s="177" t="s">
        <v>372</v>
      </c>
      <c r="C337" s="178">
        <v>65</v>
      </c>
      <c r="D337" s="178">
        <v>2175</v>
      </c>
      <c r="E337" s="178" t="s">
        <v>50</v>
      </c>
      <c r="F337" s="179" t="s">
        <v>108</v>
      </c>
      <c r="G337" s="189" t="s">
        <v>115</v>
      </c>
      <c r="H337" s="178" t="s">
        <v>43</v>
      </c>
      <c r="I337" s="178" t="s">
        <v>119</v>
      </c>
      <c r="J337" s="178"/>
      <c r="K337" s="178"/>
      <c r="L337" s="178" t="s">
        <v>59</v>
      </c>
      <c r="M337" s="178">
        <v>30</v>
      </c>
      <c r="N337" s="178">
        <v>500</v>
      </c>
      <c r="O337" s="178"/>
      <c r="P337" s="178"/>
      <c r="Q337" s="178"/>
      <c r="R337" s="178" t="s">
        <v>19</v>
      </c>
      <c r="S337" s="181"/>
      <c r="T337" s="181"/>
      <c r="U337" s="182"/>
      <c r="V337" s="182" t="s">
        <v>35</v>
      </c>
      <c r="W337" s="183">
        <v>80</v>
      </c>
      <c r="X337" s="182" t="s">
        <v>51</v>
      </c>
      <c r="Y337" s="184">
        <v>2280</v>
      </c>
      <c r="Z337" s="184">
        <v>2280</v>
      </c>
      <c r="AA337" s="184">
        <v>2280</v>
      </c>
      <c r="AB337" s="184">
        <v>2210</v>
      </c>
      <c r="AC337" s="184">
        <v>2210</v>
      </c>
      <c r="AD337" s="184">
        <v>2210</v>
      </c>
      <c r="AE337" s="184">
        <v>2060</v>
      </c>
      <c r="AF337" s="184">
        <v>2060</v>
      </c>
      <c r="AG337" s="184">
        <v>2060</v>
      </c>
      <c r="AH337" s="184">
        <v>1910</v>
      </c>
      <c r="AI337" s="184">
        <v>1910</v>
      </c>
      <c r="AJ337" s="184">
        <v>1910</v>
      </c>
      <c r="AK337" s="184">
        <v>1910</v>
      </c>
      <c r="AL337" s="184">
        <v>1910</v>
      </c>
      <c r="AM337" s="184">
        <v>1910</v>
      </c>
      <c r="AN337" s="184">
        <v>1910</v>
      </c>
      <c r="AO337" s="184">
        <v>1910</v>
      </c>
      <c r="AP337" s="184">
        <v>1910</v>
      </c>
      <c r="AQ337" s="184">
        <v>1960</v>
      </c>
      <c r="AR337" s="184">
        <v>2110</v>
      </c>
      <c r="AS337" s="184">
        <v>2110</v>
      </c>
      <c r="AT337" s="184">
        <v>2110</v>
      </c>
      <c r="AU337" s="184">
        <v>2110</v>
      </c>
      <c r="AV337" s="184">
        <v>2110</v>
      </c>
      <c r="AW337" s="184">
        <v>2510</v>
      </c>
      <c r="AX337" s="184">
        <v>2510</v>
      </c>
      <c r="AY337" s="146">
        <f t="shared" si="62"/>
        <v>2010</v>
      </c>
      <c r="AZ337" s="146">
        <f t="shared" si="74"/>
        <v>2010</v>
      </c>
      <c r="BA337" s="146">
        <f t="shared" si="74"/>
        <v>2010</v>
      </c>
      <c r="BB337" s="184">
        <v>2140</v>
      </c>
      <c r="BC337" s="184">
        <v>2140</v>
      </c>
      <c r="BD337" s="184">
        <v>2140</v>
      </c>
      <c r="BE337" s="184">
        <v>2140</v>
      </c>
      <c r="BF337" s="184">
        <v>1990</v>
      </c>
      <c r="BG337" s="184">
        <v>1990</v>
      </c>
      <c r="BH337" s="184">
        <v>1990</v>
      </c>
      <c r="BI337" s="184"/>
      <c r="BJ337" s="184"/>
      <c r="BK337" s="184"/>
      <c r="BL337" s="184">
        <v>1960</v>
      </c>
      <c r="BM337" s="184">
        <v>1960</v>
      </c>
      <c r="BN337" s="184">
        <v>1960</v>
      </c>
      <c r="BO337" s="184">
        <v>2040</v>
      </c>
      <c r="BP337" s="184">
        <v>2040</v>
      </c>
      <c r="BQ337" s="184">
        <v>2040</v>
      </c>
      <c r="BR337" s="184"/>
      <c r="BS337" s="184"/>
      <c r="BT337" s="184"/>
      <c r="BU337" s="146" cm="1">
        <f t="array" ref="BU337">LOOKUP(2,1/(Y337:BT337&lt;&gt;""),Y337:BH337)</f>
        <v>2040</v>
      </c>
      <c r="BV337" s="145" cm="1">
        <f t="array" aca="1" ref="BV337" ca="1">_xlfn.LET(
    _xlpm.last_col_idx, LOOKUP(2, 1/(Y337:BT337&lt;&gt;""), COLUMN(Y337:BT337) - COLUMN(Y337) + 1),
    _xlpm.header_val, INDEX($Y$3:$BT$3, 1, _xlpm.last_col_idx),
    _xlpm.header_date, IF(ISNUMBER(_xlpm.header_val), _xlpm.header_val, DATEVALUE(_xlpm.header_val)),
    IF(_xlpm.header_date &gt; TODAY(), TODAY(), _xlpm.header_date)
)</f>
        <v>46212</v>
      </c>
      <c r="BW337" s="209" cm="1">
        <f t="array" ref="BW337">(LOOKUP(2,1/(BH337:BT337&lt;&gt;""),BH337:BT337))/(INDEX(BH337:BT337,MATCH(TRUE,INDEX((BH337:BT337&lt;&gt;0),0),0)))-1</f>
        <v>2.5125628140703515E-2</v>
      </c>
      <c r="BX337" s="210">
        <f t="shared" si="64"/>
        <v>2.04</v>
      </c>
      <c r="BY337" s="210">
        <f t="shared" si="65"/>
        <v>12.036000000000001</v>
      </c>
      <c r="BZ337" s="210">
        <f ca="1">IF(L337="BR",'Impostos e Frete'!$F$6,IF(L337="EU",'Impostos e Frete'!$I$3,IF(L337="CN",'Impostos e Frete'!$I$4,IF(L337="JP",'Impostos e Frete'!$I$5,IF(L337="RU",'Impostos e Frete'!$I$7,"ERRO")))))</f>
        <v>0.1410816</v>
      </c>
      <c r="CA337" s="210">
        <f>VLOOKUP(L337,'Impostos e Frete'!$A$3:$B$7,2,0)*'Preços e Condições'!BY337</f>
        <v>1.5646800000000003</v>
      </c>
      <c r="CB337" s="147">
        <f t="shared" si="66"/>
        <v>0</v>
      </c>
      <c r="CC337" s="147">
        <f>IF(X337="BRL",'Impostos e Frete'!$B$11,'Impostos e Frete'!$B$12)</f>
        <v>9.1999999999999998E-2</v>
      </c>
      <c r="CD337" s="211">
        <f t="shared" ca="1" si="67"/>
        <v>13.833761600000003</v>
      </c>
      <c r="CE337" s="212">
        <f t="shared" ca="1" si="68"/>
        <v>0.89919450400000023</v>
      </c>
      <c r="CF337" s="213">
        <f>VLOOKUP(L337,'Impostos e Frete'!$A$3:$C$7,3,0)</f>
        <v>105</v>
      </c>
      <c r="CG337" s="213">
        <f t="shared" si="69"/>
        <v>30</v>
      </c>
      <c r="CH337" s="213">
        <f t="shared" si="70"/>
        <v>-75</v>
      </c>
      <c r="CI337" s="214">
        <f t="shared" ca="1" si="71"/>
        <v>0.52461674123597213</v>
      </c>
      <c r="CJ337" s="215">
        <f t="shared" ca="1" si="72"/>
        <v>14.358378341235975</v>
      </c>
      <c r="CK337" s="216">
        <f t="shared" ca="1" si="73"/>
        <v>0.93329459218033839</v>
      </c>
    </row>
    <row r="338" spans="1:89">
      <c r="A338" s="176">
        <v>19526</v>
      </c>
      <c r="B338" s="177" t="s">
        <v>372</v>
      </c>
      <c r="C338" s="178">
        <v>65</v>
      </c>
      <c r="D338" s="178">
        <v>2175</v>
      </c>
      <c r="E338" s="178" t="s">
        <v>50</v>
      </c>
      <c r="F338" s="179" t="s">
        <v>108</v>
      </c>
      <c r="G338" s="189" t="s">
        <v>115</v>
      </c>
      <c r="H338" s="178" t="s">
        <v>43</v>
      </c>
      <c r="I338" s="178" t="s">
        <v>119</v>
      </c>
      <c r="J338" s="178"/>
      <c r="K338" s="178"/>
      <c r="L338" s="178" t="s">
        <v>59</v>
      </c>
      <c r="M338" s="178">
        <v>30</v>
      </c>
      <c r="N338" s="178">
        <v>500</v>
      </c>
      <c r="O338" s="178"/>
      <c r="P338" s="178"/>
      <c r="Q338" s="178"/>
      <c r="R338" s="178" t="s">
        <v>19</v>
      </c>
      <c r="S338" s="181"/>
      <c r="T338" s="181"/>
      <c r="U338" s="182"/>
      <c r="V338" s="182" t="s">
        <v>35</v>
      </c>
      <c r="W338" s="183">
        <v>50</v>
      </c>
      <c r="X338" s="182" t="s">
        <v>51</v>
      </c>
      <c r="Y338" s="184">
        <v>2480</v>
      </c>
      <c r="Z338" s="184">
        <v>2480</v>
      </c>
      <c r="AA338" s="184">
        <v>2480</v>
      </c>
      <c r="AB338" s="184">
        <v>2410</v>
      </c>
      <c r="AC338" s="184">
        <v>2410</v>
      </c>
      <c r="AD338" s="184">
        <v>2410</v>
      </c>
      <c r="AE338" s="184">
        <v>2260</v>
      </c>
      <c r="AF338" s="184">
        <v>2260</v>
      </c>
      <c r="AG338" s="184">
        <v>2260</v>
      </c>
      <c r="AH338" s="184">
        <v>2110</v>
      </c>
      <c r="AI338" s="184">
        <v>2110</v>
      </c>
      <c r="AJ338" s="184">
        <v>2110</v>
      </c>
      <c r="AK338" s="184">
        <v>2110</v>
      </c>
      <c r="AL338" s="184">
        <v>2110</v>
      </c>
      <c r="AM338" s="184">
        <v>2110</v>
      </c>
      <c r="AN338" s="184">
        <v>2110</v>
      </c>
      <c r="AO338" s="184">
        <v>2110</v>
      </c>
      <c r="AP338" s="184">
        <v>2110</v>
      </c>
      <c r="AQ338" s="184">
        <v>2160</v>
      </c>
      <c r="AR338" s="184">
        <v>2310</v>
      </c>
      <c r="AS338" s="184">
        <v>2310</v>
      </c>
      <c r="AT338" s="184">
        <v>2310</v>
      </c>
      <c r="AU338" s="184">
        <v>2310</v>
      </c>
      <c r="AV338" s="184">
        <v>2310</v>
      </c>
      <c r="AW338" s="184">
        <v>2530</v>
      </c>
      <c r="AX338" s="184">
        <v>2530</v>
      </c>
      <c r="AY338" s="146">
        <f t="shared" si="62"/>
        <v>2030</v>
      </c>
      <c r="AZ338" s="146">
        <f t="shared" si="74"/>
        <v>2030</v>
      </c>
      <c r="BA338" s="146">
        <f t="shared" si="74"/>
        <v>2030</v>
      </c>
      <c r="BB338" s="184">
        <v>2160</v>
      </c>
      <c r="BC338" s="184">
        <v>2160</v>
      </c>
      <c r="BD338" s="184">
        <v>2160</v>
      </c>
      <c r="BE338" s="184">
        <v>2160</v>
      </c>
      <c r="BF338" s="184">
        <v>2010</v>
      </c>
      <c r="BG338" s="184">
        <v>2010</v>
      </c>
      <c r="BH338" s="184">
        <v>2010</v>
      </c>
      <c r="BI338" s="184"/>
      <c r="BJ338" s="184"/>
      <c r="BK338" s="184"/>
      <c r="BL338" s="184">
        <v>1980</v>
      </c>
      <c r="BM338" s="184">
        <v>1980</v>
      </c>
      <c r="BN338" s="184">
        <v>1980</v>
      </c>
      <c r="BO338" s="184">
        <v>2240</v>
      </c>
      <c r="BP338" s="184">
        <v>2240</v>
      </c>
      <c r="BQ338" s="184">
        <v>2240</v>
      </c>
      <c r="BR338" s="184"/>
      <c r="BS338" s="184"/>
      <c r="BT338" s="184"/>
      <c r="BU338" s="146" cm="1">
        <f t="array" ref="BU338">LOOKUP(2,1/(Y338:BT338&lt;&gt;""),Y338:BH338)</f>
        <v>2240</v>
      </c>
      <c r="BV338" s="145" cm="1">
        <f t="array" aca="1" ref="BV338" ca="1">_xlfn.LET(
    _xlpm.last_col_idx, LOOKUP(2, 1/(Y338:BT338&lt;&gt;""), COLUMN(Y338:BT338) - COLUMN(Y338) + 1),
    _xlpm.header_val, INDEX($Y$3:$BT$3, 1, _xlpm.last_col_idx),
    _xlpm.header_date, IF(ISNUMBER(_xlpm.header_val), _xlpm.header_val, DATEVALUE(_xlpm.header_val)),
    IF(_xlpm.header_date &gt; TODAY(), TODAY(), _xlpm.header_date)
)</f>
        <v>46212</v>
      </c>
      <c r="BW338" s="209" cm="1">
        <f t="array" ref="BW338">(LOOKUP(2,1/(BH338:BT338&lt;&gt;""),BH338:BT338))/(INDEX(BH338:BT338,MATCH(TRUE,INDEX((BH338:BT338&lt;&gt;0),0),0)))-1</f>
        <v>0.11442786069651745</v>
      </c>
      <c r="BX338" s="210">
        <f t="shared" si="64"/>
        <v>2.2400000000000002</v>
      </c>
      <c r="BY338" s="210">
        <f t="shared" si="65"/>
        <v>13.216000000000003</v>
      </c>
      <c r="BZ338" s="210">
        <f ca="1">IF(L338="BR",'Impostos e Frete'!$F$6,IF(L338="EU",'Impostos e Frete'!$I$3,IF(L338="CN",'Impostos e Frete'!$I$4,IF(L338="JP",'Impostos e Frete'!$I$5,IF(L338="RU",'Impostos e Frete'!$I$7,"ERRO")))))</f>
        <v>0.1410816</v>
      </c>
      <c r="CA338" s="210">
        <f>VLOOKUP(L338,'Impostos e Frete'!$A$3:$B$7,2,0)*'Preços e Condições'!BY338</f>
        <v>1.7180800000000005</v>
      </c>
      <c r="CB338" s="147">
        <f t="shared" si="66"/>
        <v>0</v>
      </c>
      <c r="CC338" s="147">
        <f>IF(X338="BRL",'Impostos e Frete'!$B$11,'Impostos e Frete'!$B$12)</f>
        <v>9.1999999999999998E-2</v>
      </c>
      <c r="CD338" s="211">
        <f t="shared" ca="1" si="67"/>
        <v>15.167161600000004</v>
      </c>
      <c r="CE338" s="212">
        <f t="shared" ca="1" si="68"/>
        <v>0.98586550400000017</v>
      </c>
      <c r="CF338" s="213">
        <f>VLOOKUP(L338,'Impostos e Frete'!$A$3:$C$7,3,0)</f>
        <v>105</v>
      </c>
      <c r="CG338" s="213">
        <f t="shared" si="69"/>
        <v>30</v>
      </c>
      <c r="CH338" s="213">
        <f t="shared" si="70"/>
        <v>-75</v>
      </c>
      <c r="CI338" s="214">
        <f t="shared" ca="1" si="71"/>
        <v>0.57518317305622624</v>
      </c>
      <c r="CJ338" s="215">
        <f t="shared" ca="1" si="72"/>
        <v>15.74234477305623</v>
      </c>
      <c r="CK338" s="216">
        <f t="shared" ca="1" si="73"/>
        <v>1.0232524102486549</v>
      </c>
    </row>
    <row r="339" spans="1:89">
      <c r="A339" s="176">
        <v>19526</v>
      </c>
      <c r="B339" s="177" t="s">
        <v>372</v>
      </c>
      <c r="C339" s="178">
        <v>65</v>
      </c>
      <c r="D339" s="178">
        <v>2175</v>
      </c>
      <c r="E339" s="178" t="s">
        <v>50</v>
      </c>
      <c r="F339" s="179" t="s">
        <v>108</v>
      </c>
      <c r="G339" s="189" t="s">
        <v>115</v>
      </c>
      <c r="H339" s="178" t="s">
        <v>43</v>
      </c>
      <c r="I339" s="178" t="s">
        <v>119</v>
      </c>
      <c r="J339" s="178"/>
      <c r="K339" s="178"/>
      <c r="L339" s="178" t="s">
        <v>59</v>
      </c>
      <c r="M339" s="178">
        <v>30</v>
      </c>
      <c r="N339" s="178">
        <v>500</v>
      </c>
      <c r="O339" s="178"/>
      <c r="P339" s="178"/>
      <c r="Q339" s="178"/>
      <c r="R339" s="178" t="s">
        <v>19</v>
      </c>
      <c r="S339" s="181"/>
      <c r="T339" s="181"/>
      <c r="U339" s="182"/>
      <c r="V339" s="182" t="s">
        <v>35</v>
      </c>
      <c r="W339" s="183">
        <v>20</v>
      </c>
      <c r="X339" s="182" t="s">
        <v>51</v>
      </c>
      <c r="Y339" s="184">
        <v>2980</v>
      </c>
      <c r="Z339" s="184">
        <v>2980</v>
      </c>
      <c r="AA339" s="184">
        <v>2980</v>
      </c>
      <c r="AB339" s="184">
        <v>2910</v>
      </c>
      <c r="AC339" s="184">
        <v>2910</v>
      </c>
      <c r="AD339" s="184">
        <v>2910</v>
      </c>
      <c r="AE339" s="184">
        <v>2760</v>
      </c>
      <c r="AF339" s="184">
        <v>2760</v>
      </c>
      <c r="AG339" s="184">
        <v>2760</v>
      </c>
      <c r="AH339" s="184">
        <v>2610</v>
      </c>
      <c r="AI339" s="184">
        <v>2610</v>
      </c>
      <c r="AJ339" s="184">
        <v>2610</v>
      </c>
      <c r="AK339" s="184">
        <v>2610</v>
      </c>
      <c r="AL339" s="184">
        <v>2610</v>
      </c>
      <c r="AM339" s="184">
        <v>2610</v>
      </c>
      <c r="AN339" s="184">
        <v>2610</v>
      </c>
      <c r="AO339" s="184">
        <v>2610</v>
      </c>
      <c r="AP339" s="184">
        <v>2610</v>
      </c>
      <c r="AQ339" s="184">
        <v>2660</v>
      </c>
      <c r="AR339" s="184">
        <v>2810</v>
      </c>
      <c r="AS339" s="184">
        <v>2810</v>
      </c>
      <c r="AT339" s="184">
        <v>2810</v>
      </c>
      <c r="AU339" s="184">
        <v>2810</v>
      </c>
      <c r="AV339" s="184">
        <v>2810</v>
      </c>
      <c r="AW339" s="184">
        <v>2580</v>
      </c>
      <c r="AX339" s="184">
        <v>2580</v>
      </c>
      <c r="AY339" s="146">
        <f t="shared" ref="AY339:AY370" si="75">AX339-500</f>
        <v>2080</v>
      </c>
      <c r="AZ339" s="146">
        <f t="shared" si="74"/>
        <v>2080</v>
      </c>
      <c r="BA339" s="146">
        <f t="shared" si="74"/>
        <v>2080</v>
      </c>
      <c r="BB339" s="184">
        <v>2210</v>
      </c>
      <c r="BC339" s="184">
        <v>2210</v>
      </c>
      <c r="BD339" s="184">
        <v>2210</v>
      </c>
      <c r="BE339" s="184">
        <v>2210</v>
      </c>
      <c r="BF339" s="184">
        <v>2060</v>
      </c>
      <c r="BG339" s="184">
        <v>2060</v>
      </c>
      <c r="BH339" s="184">
        <v>2060</v>
      </c>
      <c r="BI339" s="184"/>
      <c r="BJ339" s="184"/>
      <c r="BK339" s="184"/>
      <c r="BL339" s="184">
        <v>2010</v>
      </c>
      <c r="BM339" s="184">
        <v>2010</v>
      </c>
      <c r="BN339" s="184">
        <v>2010</v>
      </c>
      <c r="BO339" s="184">
        <v>2740</v>
      </c>
      <c r="BP339" s="184">
        <v>2740</v>
      </c>
      <c r="BQ339" s="184">
        <v>2740</v>
      </c>
      <c r="BR339" s="184"/>
      <c r="BS339" s="184"/>
      <c r="BT339" s="184"/>
      <c r="BU339" s="146" cm="1">
        <f t="array" ref="BU339">LOOKUP(2,1/(Y339:BT339&lt;&gt;""),Y339:BH339)</f>
        <v>2740</v>
      </c>
      <c r="BV339" s="145" cm="1">
        <f t="array" aca="1" ref="BV339" ca="1">_xlfn.LET(
    _xlpm.last_col_idx, LOOKUP(2, 1/(Y339:BT339&lt;&gt;""), COLUMN(Y339:BT339) - COLUMN(Y339) + 1),
    _xlpm.header_val, INDEX($Y$3:$BT$3, 1, _xlpm.last_col_idx),
    _xlpm.header_date, IF(ISNUMBER(_xlpm.header_val), _xlpm.header_val, DATEVALUE(_xlpm.header_val)),
    IF(_xlpm.header_date &gt; TODAY(), TODAY(), _xlpm.header_date)
)</f>
        <v>46212</v>
      </c>
      <c r="BW339" s="209" cm="1">
        <f t="array" ref="BW339">(LOOKUP(2,1/(BH339:BT339&lt;&gt;""),BH339:BT339))/(INDEX(BH339:BT339,MATCH(TRUE,INDEX((BH339:BT339&lt;&gt;0),0),0)))-1</f>
        <v>0.33009708737864085</v>
      </c>
      <c r="BX339" s="210">
        <f t="shared" si="64"/>
        <v>2.74</v>
      </c>
      <c r="BY339" s="210">
        <f t="shared" si="65"/>
        <v>16.166000000000004</v>
      </c>
      <c r="BZ339" s="210">
        <f ca="1">IF(L339="BR",'Impostos e Frete'!$F$6,IF(L339="EU",'Impostos e Frete'!$I$3,IF(L339="CN",'Impostos e Frete'!$I$4,IF(L339="JP",'Impostos e Frete'!$I$5,IF(L339="RU",'Impostos e Frete'!$I$7,"ERRO")))))</f>
        <v>0.1410816</v>
      </c>
      <c r="CA339" s="210">
        <f>VLOOKUP(L339,'Impostos e Frete'!$A$3:$B$7,2,0)*'Preços e Condições'!BY339</f>
        <v>2.1015800000000007</v>
      </c>
      <c r="CB339" s="147">
        <f t="shared" si="66"/>
        <v>0</v>
      </c>
      <c r="CC339" s="147">
        <f>IF(X339="BRL",'Impostos e Frete'!$B$11,'Impostos e Frete'!$B$12)</f>
        <v>9.1999999999999998E-2</v>
      </c>
      <c r="CD339" s="211">
        <f t="shared" ca="1" si="67"/>
        <v>18.500661600000004</v>
      </c>
      <c r="CE339" s="212">
        <f t="shared" ca="1" si="68"/>
        <v>1.2025430040000002</v>
      </c>
      <c r="CF339" s="213">
        <f>VLOOKUP(L339,'Impostos e Frete'!$A$3:$C$7,3,0)</f>
        <v>105</v>
      </c>
      <c r="CG339" s="213">
        <f t="shared" si="69"/>
        <v>30</v>
      </c>
      <c r="CH339" s="213">
        <f t="shared" si="70"/>
        <v>-75</v>
      </c>
      <c r="CI339" s="214">
        <f t="shared" ca="1" si="71"/>
        <v>0.70159925260686151</v>
      </c>
      <c r="CJ339" s="215">
        <f t="shared" ca="1" si="72"/>
        <v>19.202260852606866</v>
      </c>
      <c r="CK339" s="216">
        <f t="shared" ca="1" si="73"/>
        <v>1.2481469554194462</v>
      </c>
    </row>
    <row r="340" spans="1:89">
      <c r="A340" s="176">
        <v>19527</v>
      </c>
      <c r="B340" s="177">
        <v>248</v>
      </c>
      <c r="C340" s="178">
        <v>65</v>
      </c>
      <c r="D340" s="178">
        <v>1270</v>
      </c>
      <c r="E340" s="178" t="s">
        <v>50</v>
      </c>
      <c r="F340" s="179" t="s">
        <v>108</v>
      </c>
      <c r="G340" s="189" t="s">
        <v>109</v>
      </c>
      <c r="H340" s="178" t="s">
        <v>63</v>
      </c>
      <c r="I340" s="178" t="s">
        <v>112</v>
      </c>
      <c r="J340" s="178"/>
      <c r="K340" s="178"/>
      <c r="L340" s="178" t="s">
        <v>59</v>
      </c>
      <c r="M340" s="178">
        <v>30</v>
      </c>
      <c r="N340" s="178">
        <v>500</v>
      </c>
      <c r="O340" s="178"/>
      <c r="P340" s="178"/>
      <c r="Q340" s="178"/>
      <c r="R340" s="178" t="s">
        <v>19</v>
      </c>
      <c r="S340" s="181"/>
      <c r="T340" s="181"/>
      <c r="U340" s="182"/>
      <c r="V340" s="182" t="s">
        <v>35</v>
      </c>
      <c r="W340" s="183">
        <v>80</v>
      </c>
      <c r="X340" s="182" t="s">
        <v>51</v>
      </c>
      <c r="Y340" s="184">
        <v>2840</v>
      </c>
      <c r="Z340" s="184">
        <v>2840</v>
      </c>
      <c r="AA340" s="184">
        <v>2840</v>
      </c>
      <c r="AB340" s="184">
        <v>2740</v>
      </c>
      <c r="AC340" s="184">
        <v>2740</v>
      </c>
      <c r="AD340" s="184">
        <v>2740</v>
      </c>
      <c r="AE340" s="184">
        <v>2540</v>
      </c>
      <c r="AF340" s="184">
        <v>2540</v>
      </c>
      <c r="AG340" s="184">
        <v>2540</v>
      </c>
      <c r="AH340" s="184">
        <v>2400</v>
      </c>
      <c r="AI340" s="184">
        <v>1800</v>
      </c>
      <c r="AJ340" s="184">
        <v>1800</v>
      </c>
      <c r="AK340" s="184">
        <v>1800</v>
      </c>
      <c r="AL340" s="184">
        <v>1800</v>
      </c>
      <c r="AM340" s="184">
        <v>1800</v>
      </c>
      <c r="AN340" s="184">
        <v>1800</v>
      </c>
      <c r="AO340" s="184">
        <v>1800</v>
      </c>
      <c r="AP340" s="184">
        <v>1800</v>
      </c>
      <c r="AQ340" s="184">
        <v>1960</v>
      </c>
      <c r="AR340" s="184">
        <v>2650</v>
      </c>
      <c r="AS340" s="184">
        <v>2650</v>
      </c>
      <c r="AT340" s="184">
        <v>2650</v>
      </c>
      <c r="AU340" s="184">
        <v>2650</v>
      </c>
      <c r="AV340" s="184">
        <v>2650</v>
      </c>
      <c r="AW340" s="184">
        <v>3000</v>
      </c>
      <c r="AX340" s="184">
        <v>3000</v>
      </c>
      <c r="AY340" s="146">
        <f t="shared" si="75"/>
        <v>2500</v>
      </c>
      <c r="AZ340" s="146">
        <f t="shared" si="74"/>
        <v>2500</v>
      </c>
      <c r="BA340" s="146">
        <f t="shared" si="74"/>
        <v>2500</v>
      </c>
      <c r="BB340" s="184">
        <v>2830</v>
      </c>
      <c r="BC340" s="184">
        <v>2830</v>
      </c>
      <c r="BD340" s="184">
        <v>2830</v>
      </c>
      <c r="BE340" s="184">
        <v>2830</v>
      </c>
      <c r="BF340" s="184">
        <v>2680</v>
      </c>
      <c r="BG340" s="184">
        <v>2680</v>
      </c>
      <c r="BH340" s="184">
        <v>2680</v>
      </c>
      <c r="BI340" s="184"/>
      <c r="BJ340" s="184"/>
      <c r="BK340" s="184"/>
      <c r="BL340" s="184">
        <v>2650</v>
      </c>
      <c r="BM340" s="184">
        <v>2650</v>
      </c>
      <c r="BN340" s="184">
        <v>2650</v>
      </c>
      <c r="BO340" s="184">
        <v>2730</v>
      </c>
      <c r="BP340" s="184">
        <v>2730</v>
      </c>
      <c r="BQ340" s="184">
        <v>2730</v>
      </c>
      <c r="BR340" s="184"/>
      <c r="BS340" s="184"/>
      <c r="BT340" s="184"/>
      <c r="BU340" s="146" cm="1">
        <f t="array" ref="BU340">LOOKUP(2,1/(Y340:BT340&lt;&gt;""),Y340:BH340)</f>
        <v>2730</v>
      </c>
      <c r="BV340" s="145" cm="1">
        <f t="array" aca="1" ref="BV340" ca="1">_xlfn.LET(
    _xlpm.last_col_idx, LOOKUP(2, 1/(Y340:BT340&lt;&gt;""), COLUMN(Y340:BT340) - COLUMN(Y340) + 1),
    _xlpm.header_val, INDEX($Y$3:$BT$3, 1, _xlpm.last_col_idx),
    _xlpm.header_date, IF(ISNUMBER(_xlpm.header_val), _xlpm.header_val, DATEVALUE(_xlpm.header_val)),
    IF(_xlpm.header_date &gt; TODAY(), TODAY(), _xlpm.header_date)
)</f>
        <v>46212</v>
      </c>
      <c r="BW340" s="209" cm="1">
        <f t="array" ref="BW340">(LOOKUP(2,1/(BH340:BT340&lt;&gt;""),BH340:BT340))/(INDEX(BH340:BT340,MATCH(TRUE,INDEX((BH340:BT340&lt;&gt;0),0),0)))-1</f>
        <v>1.8656716417910557E-2</v>
      </c>
      <c r="BX340" s="210">
        <f t="shared" si="64"/>
        <v>2.73</v>
      </c>
      <c r="BY340" s="210">
        <f t="shared" si="65"/>
        <v>16.106999999999999</v>
      </c>
      <c r="BZ340" s="210">
        <f ca="1">IF(L340="BR",'Impostos e Frete'!$F$6,IF(L340="EU",'Impostos e Frete'!$I$3,IF(L340="CN",'Impostos e Frete'!$I$4,IF(L340="JP",'Impostos e Frete'!$I$5,IF(L340="RU",'Impostos e Frete'!$I$7,"ERRO")))))</f>
        <v>0.1410816</v>
      </c>
      <c r="CA340" s="210">
        <f>VLOOKUP(L340,'Impostos e Frete'!$A$3:$B$7,2,0)*'Preços e Condições'!BY340</f>
        <v>2.0939100000000002</v>
      </c>
      <c r="CB340" s="147">
        <f t="shared" si="66"/>
        <v>0</v>
      </c>
      <c r="CC340" s="147">
        <f>IF(X340="BRL",'Impostos e Frete'!$B$11,'Impostos e Frete'!$B$12)</f>
        <v>9.1999999999999998E-2</v>
      </c>
      <c r="CD340" s="211">
        <f t="shared" ca="1" si="67"/>
        <v>18.433991599999999</v>
      </c>
      <c r="CE340" s="212">
        <f t="shared" ca="1" si="68"/>
        <v>1.1982094539999999</v>
      </c>
      <c r="CF340" s="213">
        <f>VLOOKUP(L340,'Impostos e Frete'!$A$3:$C$7,3,0)</f>
        <v>105</v>
      </c>
      <c r="CG340" s="213">
        <f t="shared" si="69"/>
        <v>30</v>
      </c>
      <c r="CH340" s="213">
        <f t="shared" si="70"/>
        <v>-75</v>
      </c>
      <c r="CI340" s="214">
        <f t="shared" ca="1" si="71"/>
        <v>0.69907093101585005</v>
      </c>
      <c r="CJ340" s="215">
        <f t="shared" ca="1" si="72"/>
        <v>19.133062531015849</v>
      </c>
      <c r="CK340" s="216">
        <f t="shared" ca="1" si="73"/>
        <v>1.2436490645160301</v>
      </c>
    </row>
    <row r="341" spans="1:89">
      <c r="A341" s="176">
        <v>19527</v>
      </c>
      <c r="B341" s="177">
        <v>248</v>
      </c>
      <c r="C341" s="178">
        <v>65</v>
      </c>
      <c r="D341" s="178">
        <v>1270</v>
      </c>
      <c r="E341" s="178" t="s">
        <v>50</v>
      </c>
      <c r="F341" s="179" t="s">
        <v>108</v>
      </c>
      <c r="G341" s="189" t="s">
        <v>109</v>
      </c>
      <c r="H341" s="178" t="s">
        <v>63</v>
      </c>
      <c r="I341" s="178" t="s">
        <v>112</v>
      </c>
      <c r="J341" s="178"/>
      <c r="K341" s="178"/>
      <c r="L341" s="178" t="s">
        <v>59</v>
      </c>
      <c r="M341" s="178">
        <v>30</v>
      </c>
      <c r="N341" s="178">
        <v>500</v>
      </c>
      <c r="O341" s="178"/>
      <c r="P341" s="178"/>
      <c r="Q341" s="178"/>
      <c r="R341" s="178" t="s">
        <v>19</v>
      </c>
      <c r="S341" s="181"/>
      <c r="T341" s="181"/>
      <c r="U341" s="182"/>
      <c r="V341" s="182" t="s">
        <v>35</v>
      </c>
      <c r="W341" s="183">
        <v>50</v>
      </c>
      <c r="X341" s="182" t="s">
        <v>51</v>
      </c>
      <c r="Y341" s="184">
        <v>3040</v>
      </c>
      <c r="Z341" s="184">
        <v>3040</v>
      </c>
      <c r="AA341" s="184">
        <v>3040</v>
      </c>
      <c r="AB341" s="184">
        <v>2940</v>
      </c>
      <c r="AC341" s="184">
        <v>2940</v>
      </c>
      <c r="AD341" s="184">
        <v>2940</v>
      </c>
      <c r="AE341" s="184">
        <v>2740</v>
      </c>
      <c r="AF341" s="184">
        <v>2740</v>
      </c>
      <c r="AG341" s="184">
        <v>2740</v>
      </c>
      <c r="AH341" s="184">
        <v>2600</v>
      </c>
      <c r="AI341" s="184">
        <v>2600</v>
      </c>
      <c r="AJ341" s="184">
        <v>2600</v>
      </c>
      <c r="AK341" s="184">
        <v>2600</v>
      </c>
      <c r="AL341" s="184">
        <v>2600</v>
      </c>
      <c r="AM341" s="184">
        <v>2600</v>
      </c>
      <c r="AN341" s="184">
        <v>2600</v>
      </c>
      <c r="AO341" s="184">
        <v>2600</v>
      </c>
      <c r="AP341" s="184">
        <v>2600</v>
      </c>
      <c r="AQ341" s="184">
        <v>2160</v>
      </c>
      <c r="AR341" s="184">
        <v>2850</v>
      </c>
      <c r="AS341" s="184">
        <v>2850</v>
      </c>
      <c r="AT341" s="184">
        <v>2850</v>
      </c>
      <c r="AU341" s="184">
        <v>2850</v>
      </c>
      <c r="AV341" s="184">
        <v>2850</v>
      </c>
      <c r="AW341" s="184">
        <v>3020</v>
      </c>
      <c r="AX341" s="184">
        <v>3020</v>
      </c>
      <c r="AY341" s="146">
        <f t="shared" si="75"/>
        <v>2520</v>
      </c>
      <c r="AZ341" s="146">
        <f t="shared" si="74"/>
        <v>2520</v>
      </c>
      <c r="BA341" s="146">
        <f t="shared" si="74"/>
        <v>2520</v>
      </c>
      <c r="BB341" s="184">
        <v>2850</v>
      </c>
      <c r="BC341" s="184">
        <v>2850</v>
      </c>
      <c r="BD341" s="184">
        <v>2850</v>
      </c>
      <c r="BE341" s="184">
        <v>2850</v>
      </c>
      <c r="BF341" s="184">
        <v>2700</v>
      </c>
      <c r="BG341" s="184">
        <v>2700</v>
      </c>
      <c r="BH341" s="184">
        <v>2700</v>
      </c>
      <c r="BI341" s="184"/>
      <c r="BJ341" s="184"/>
      <c r="BK341" s="184"/>
      <c r="BL341" s="184">
        <v>2670</v>
      </c>
      <c r="BM341" s="184">
        <v>2670</v>
      </c>
      <c r="BN341" s="184">
        <v>2670</v>
      </c>
      <c r="BO341" s="184">
        <v>2930</v>
      </c>
      <c r="BP341" s="184">
        <v>2930</v>
      </c>
      <c r="BQ341" s="184">
        <v>2930</v>
      </c>
      <c r="BR341" s="184"/>
      <c r="BS341" s="184"/>
      <c r="BT341" s="184"/>
      <c r="BU341" s="146" cm="1">
        <f t="array" ref="BU341">LOOKUP(2,1/(Y341:BT341&lt;&gt;""),Y341:BH341)</f>
        <v>2930</v>
      </c>
      <c r="BV341" s="145" cm="1">
        <f t="array" aca="1" ref="BV341" ca="1">_xlfn.LET(
    _xlpm.last_col_idx, LOOKUP(2, 1/(Y341:BT341&lt;&gt;""), COLUMN(Y341:BT341) - COLUMN(Y341) + 1),
    _xlpm.header_val, INDEX($Y$3:$BT$3, 1, _xlpm.last_col_idx),
    _xlpm.header_date, IF(ISNUMBER(_xlpm.header_val), _xlpm.header_val, DATEVALUE(_xlpm.header_val)),
    IF(_xlpm.header_date &gt; TODAY(), TODAY(), _xlpm.header_date)
)</f>
        <v>46212</v>
      </c>
      <c r="BW341" s="209" cm="1">
        <f t="array" ref="BW341">(LOOKUP(2,1/(BH341:BT341&lt;&gt;""),BH341:BT341))/(INDEX(BH341:BT341,MATCH(TRUE,INDEX((BH341:BT341&lt;&gt;0),0),0)))-1</f>
        <v>8.5185185185185253E-2</v>
      </c>
      <c r="BX341" s="210">
        <f t="shared" si="64"/>
        <v>2.93</v>
      </c>
      <c r="BY341" s="210">
        <f t="shared" si="65"/>
        <v>17.287000000000003</v>
      </c>
      <c r="BZ341" s="210">
        <f ca="1">IF(L341="BR",'Impostos e Frete'!$F$6,IF(L341="EU",'Impostos e Frete'!$I$3,IF(L341="CN",'Impostos e Frete'!$I$4,IF(L341="JP",'Impostos e Frete'!$I$5,IF(L341="RU",'Impostos e Frete'!$I$7,"ERRO")))))</f>
        <v>0.1410816</v>
      </c>
      <c r="CA341" s="210">
        <f>VLOOKUP(L341,'Impostos e Frete'!$A$3:$B$7,2,0)*'Preços e Condições'!BY341</f>
        <v>2.2473100000000006</v>
      </c>
      <c r="CB341" s="147">
        <f t="shared" si="66"/>
        <v>0</v>
      </c>
      <c r="CC341" s="147">
        <f>IF(X341="BRL",'Impostos e Frete'!$B$11,'Impostos e Frete'!$B$12)</f>
        <v>9.1999999999999998E-2</v>
      </c>
      <c r="CD341" s="211">
        <f t="shared" ca="1" si="67"/>
        <v>19.767391600000003</v>
      </c>
      <c r="CE341" s="212">
        <f t="shared" ca="1" si="68"/>
        <v>1.2848804540000003</v>
      </c>
      <c r="CF341" s="213">
        <f>VLOOKUP(L341,'Impostos e Frete'!$A$3:$C$7,3,0)</f>
        <v>105</v>
      </c>
      <c r="CG341" s="213">
        <f t="shared" si="69"/>
        <v>30</v>
      </c>
      <c r="CH341" s="213">
        <f t="shared" si="70"/>
        <v>-75</v>
      </c>
      <c r="CI341" s="214">
        <f t="shared" ca="1" si="71"/>
        <v>0.74963736283610416</v>
      </c>
      <c r="CJ341" s="215">
        <f t="shared" ca="1" si="72"/>
        <v>20.517028962836108</v>
      </c>
      <c r="CK341" s="216">
        <f t="shared" ca="1" si="73"/>
        <v>1.333606882584347</v>
      </c>
    </row>
    <row r="342" spans="1:89">
      <c r="A342" s="176">
        <v>19527</v>
      </c>
      <c r="B342" s="177">
        <v>248</v>
      </c>
      <c r="C342" s="178">
        <v>65</v>
      </c>
      <c r="D342" s="178">
        <v>1270</v>
      </c>
      <c r="E342" s="178" t="s">
        <v>50</v>
      </c>
      <c r="F342" s="179" t="s">
        <v>108</v>
      </c>
      <c r="G342" s="189" t="s">
        <v>109</v>
      </c>
      <c r="H342" s="178" t="s">
        <v>63</v>
      </c>
      <c r="I342" s="178" t="s">
        <v>112</v>
      </c>
      <c r="J342" s="178"/>
      <c r="K342" s="178"/>
      <c r="L342" s="178" t="s">
        <v>59</v>
      </c>
      <c r="M342" s="178">
        <v>30</v>
      </c>
      <c r="N342" s="178">
        <v>500</v>
      </c>
      <c r="O342" s="178"/>
      <c r="P342" s="178"/>
      <c r="Q342" s="178"/>
      <c r="R342" s="178" t="s">
        <v>19</v>
      </c>
      <c r="S342" s="181"/>
      <c r="T342" s="181"/>
      <c r="U342" s="182"/>
      <c r="V342" s="182" t="s">
        <v>35</v>
      </c>
      <c r="W342" s="183">
        <v>20</v>
      </c>
      <c r="X342" s="182" t="s">
        <v>51</v>
      </c>
      <c r="Y342" s="184">
        <v>3540</v>
      </c>
      <c r="Z342" s="184">
        <v>3540</v>
      </c>
      <c r="AA342" s="184">
        <v>3540</v>
      </c>
      <c r="AB342" s="184">
        <v>3440</v>
      </c>
      <c r="AC342" s="184">
        <v>3440</v>
      </c>
      <c r="AD342" s="184">
        <v>3440</v>
      </c>
      <c r="AE342" s="184">
        <v>3240</v>
      </c>
      <c r="AF342" s="184">
        <v>3240</v>
      </c>
      <c r="AG342" s="184">
        <v>3240</v>
      </c>
      <c r="AH342" s="184">
        <v>3100</v>
      </c>
      <c r="AI342" s="184">
        <v>3100</v>
      </c>
      <c r="AJ342" s="184">
        <v>3100</v>
      </c>
      <c r="AK342" s="184">
        <v>3100</v>
      </c>
      <c r="AL342" s="184">
        <v>3100</v>
      </c>
      <c r="AM342" s="184">
        <v>3100</v>
      </c>
      <c r="AN342" s="184">
        <v>3100</v>
      </c>
      <c r="AO342" s="184">
        <v>3100</v>
      </c>
      <c r="AP342" s="184">
        <v>3100</v>
      </c>
      <c r="AQ342" s="184">
        <v>2660</v>
      </c>
      <c r="AR342" s="184">
        <v>3350</v>
      </c>
      <c r="AS342" s="184">
        <v>3350</v>
      </c>
      <c r="AT342" s="184">
        <v>3350</v>
      </c>
      <c r="AU342" s="184">
        <v>3350</v>
      </c>
      <c r="AV342" s="184">
        <v>3350</v>
      </c>
      <c r="AW342" s="184">
        <v>3070</v>
      </c>
      <c r="AX342" s="184">
        <v>3070</v>
      </c>
      <c r="AY342" s="146">
        <f t="shared" si="75"/>
        <v>2570</v>
      </c>
      <c r="AZ342" s="146">
        <f t="shared" si="74"/>
        <v>2570</v>
      </c>
      <c r="BA342" s="146">
        <f t="shared" si="74"/>
        <v>2570</v>
      </c>
      <c r="BB342" s="184">
        <v>2900</v>
      </c>
      <c r="BC342" s="184">
        <v>2900</v>
      </c>
      <c r="BD342" s="184">
        <v>2900</v>
      </c>
      <c r="BE342" s="184">
        <v>2900</v>
      </c>
      <c r="BF342" s="184">
        <v>2750</v>
      </c>
      <c r="BG342" s="184">
        <v>2750</v>
      </c>
      <c r="BH342" s="184">
        <v>2750</v>
      </c>
      <c r="BI342" s="184"/>
      <c r="BJ342" s="184"/>
      <c r="BK342" s="184"/>
      <c r="BL342" s="184">
        <v>2700</v>
      </c>
      <c r="BM342" s="184">
        <v>2700</v>
      </c>
      <c r="BN342" s="184">
        <v>2700</v>
      </c>
      <c r="BO342" s="184">
        <v>3430</v>
      </c>
      <c r="BP342" s="184">
        <v>3430</v>
      </c>
      <c r="BQ342" s="184">
        <v>3430</v>
      </c>
      <c r="BR342" s="184"/>
      <c r="BS342" s="184"/>
      <c r="BT342" s="184"/>
      <c r="BU342" s="146" cm="1">
        <f t="array" ref="BU342">LOOKUP(2,1/(Y342:BT342&lt;&gt;""),Y342:BH342)</f>
        <v>3430</v>
      </c>
      <c r="BV342" s="145" cm="1">
        <f t="array" aca="1" ref="BV342" ca="1">_xlfn.LET(
    _xlpm.last_col_idx, LOOKUP(2, 1/(Y342:BT342&lt;&gt;""), COLUMN(Y342:BT342) - COLUMN(Y342) + 1),
    _xlpm.header_val, INDEX($Y$3:$BT$3, 1, _xlpm.last_col_idx),
    _xlpm.header_date, IF(ISNUMBER(_xlpm.header_val), _xlpm.header_val, DATEVALUE(_xlpm.header_val)),
    IF(_xlpm.header_date &gt; TODAY(), TODAY(), _xlpm.header_date)
)</f>
        <v>46212</v>
      </c>
      <c r="BW342" s="209" cm="1">
        <f t="array" ref="BW342">(LOOKUP(2,1/(BH342:BT342&lt;&gt;""),BH342:BT342))/(INDEX(BH342:BT342,MATCH(TRUE,INDEX((BH342:BT342&lt;&gt;0),0),0)))-1</f>
        <v>0.24727272727272731</v>
      </c>
      <c r="BX342" s="210">
        <f t="shared" si="64"/>
        <v>3.43</v>
      </c>
      <c r="BY342" s="210">
        <f t="shared" si="65"/>
        <v>20.237000000000002</v>
      </c>
      <c r="BZ342" s="210">
        <f ca="1">IF(L342="BR",'Impostos e Frete'!$F$6,IF(L342="EU",'Impostos e Frete'!$I$3,IF(L342="CN",'Impostos e Frete'!$I$4,IF(L342="JP",'Impostos e Frete'!$I$5,IF(L342="RU",'Impostos e Frete'!$I$7,"ERRO")))))</f>
        <v>0.1410816</v>
      </c>
      <c r="CA342" s="210">
        <f>VLOOKUP(L342,'Impostos e Frete'!$A$3:$B$7,2,0)*'Preços e Condições'!BY342</f>
        <v>2.6308100000000003</v>
      </c>
      <c r="CB342" s="147">
        <f t="shared" si="66"/>
        <v>0</v>
      </c>
      <c r="CC342" s="147">
        <f>IF(X342="BRL",'Impostos e Frete'!$B$11,'Impostos e Frete'!$B$12)</f>
        <v>9.1999999999999998E-2</v>
      </c>
      <c r="CD342" s="211">
        <f t="shared" ca="1" si="67"/>
        <v>23.100891600000001</v>
      </c>
      <c r="CE342" s="212">
        <f t="shared" ca="1" si="68"/>
        <v>1.5015579539999999</v>
      </c>
      <c r="CF342" s="213">
        <f>VLOOKUP(L342,'Impostos e Frete'!$A$3:$C$7,3,0)</f>
        <v>105</v>
      </c>
      <c r="CG342" s="213">
        <f t="shared" si="69"/>
        <v>30</v>
      </c>
      <c r="CH342" s="213">
        <f t="shared" si="70"/>
        <v>-75</v>
      </c>
      <c r="CI342" s="214">
        <f t="shared" ca="1" si="71"/>
        <v>0.87605344238673766</v>
      </c>
      <c r="CJ342" s="215">
        <f t="shared" ca="1" si="72"/>
        <v>23.976945042386738</v>
      </c>
      <c r="CK342" s="216">
        <f t="shared" ca="1" si="73"/>
        <v>1.5585014277551381</v>
      </c>
    </row>
    <row r="343" spans="1:89">
      <c r="A343" s="176">
        <v>19528</v>
      </c>
      <c r="B343" s="177">
        <v>244</v>
      </c>
      <c r="C343" s="178">
        <v>65</v>
      </c>
      <c r="D343" s="178">
        <v>1270</v>
      </c>
      <c r="E343" s="178" t="s">
        <v>50</v>
      </c>
      <c r="F343" s="179" t="s">
        <v>108</v>
      </c>
      <c r="G343" s="189" t="s">
        <v>116</v>
      </c>
      <c r="H343" s="178" t="s">
        <v>42</v>
      </c>
      <c r="I343" s="178" t="s">
        <v>121</v>
      </c>
      <c r="J343" s="178"/>
      <c r="K343" s="178"/>
      <c r="L343" s="178" t="s">
        <v>59</v>
      </c>
      <c r="M343" s="178">
        <v>30</v>
      </c>
      <c r="N343" s="178">
        <v>500</v>
      </c>
      <c r="O343" s="178"/>
      <c r="P343" s="178"/>
      <c r="Q343" s="178"/>
      <c r="R343" s="178" t="s">
        <v>19</v>
      </c>
      <c r="S343" s="181"/>
      <c r="T343" s="181"/>
      <c r="U343" s="182"/>
      <c r="V343" s="182" t="s">
        <v>35</v>
      </c>
      <c r="W343" s="183">
        <v>80</v>
      </c>
      <c r="X343" s="182" t="s">
        <v>51</v>
      </c>
      <c r="Y343" s="184">
        <v>2280</v>
      </c>
      <c r="Z343" s="184">
        <v>2280</v>
      </c>
      <c r="AA343" s="184">
        <v>2280</v>
      </c>
      <c r="AB343" s="184">
        <v>2130</v>
      </c>
      <c r="AC343" s="184">
        <v>2130</v>
      </c>
      <c r="AD343" s="184">
        <v>2130</v>
      </c>
      <c r="AE343" s="184">
        <v>2030</v>
      </c>
      <c r="AF343" s="184">
        <v>2030</v>
      </c>
      <c r="AG343" s="184">
        <v>2030</v>
      </c>
      <c r="AH343" s="184">
        <v>1830</v>
      </c>
      <c r="AI343" s="184">
        <v>1830</v>
      </c>
      <c r="AJ343" s="184">
        <v>1830</v>
      </c>
      <c r="AK343" s="184">
        <v>1830</v>
      </c>
      <c r="AL343" s="184">
        <v>1830</v>
      </c>
      <c r="AM343" s="184">
        <v>1830</v>
      </c>
      <c r="AN343" s="184">
        <v>1830</v>
      </c>
      <c r="AO343" s="184">
        <v>1830</v>
      </c>
      <c r="AP343" s="184">
        <v>1830</v>
      </c>
      <c r="AQ343" s="184">
        <v>1880</v>
      </c>
      <c r="AR343" s="184">
        <v>2080</v>
      </c>
      <c r="AS343" s="184">
        <v>2080</v>
      </c>
      <c r="AT343" s="184">
        <v>2080</v>
      </c>
      <c r="AU343" s="184">
        <v>2080</v>
      </c>
      <c r="AV343" s="184">
        <v>2080</v>
      </c>
      <c r="AW343" s="184">
        <v>2480</v>
      </c>
      <c r="AX343" s="184">
        <v>2480</v>
      </c>
      <c r="AY343" s="146">
        <f t="shared" si="75"/>
        <v>1980</v>
      </c>
      <c r="AZ343" s="146">
        <f t="shared" si="74"/>
        <v>1980</v>
      </c>
      <c r="BA343" s="146">
        <f t="shared" si="74"/>
        <v>1980</v>
      </c>
      <c r="BB343" s="184">
        <v>2310</v>
      </c>
      <c r="BC343" s="184">
        <v>2310</v>
      </c>
      <c r="BD343" s="184">
        <v>2310</v>
      </c>
      <c r="BE343" s="184">
        <v>2310</v>
      </c>
      <c r="BF343" s="184">
        <v>2220</v>
      </c>
      <c r="BG343" s="184">
        <v>2220</v>
      </c>
      <c r="BH343" s="184">
        <v>2220</v>
      </c>
      <c r="BI343" s="184"/>
      <c r="BJ343" s="184"/>
      <c r="BK343" s="184"/>
      <c r="BL343" s="184">
        <v>2190</v>
      </c>
      <c r="BM343" s="184">
        <v>2190</v>
      </c>
      <c r="BN343" s="184">
        <v>2190</v>
      </c>
      <c r="BO343" s="184">
        <v>2270</v>
      </c>
      <c r="BP343" s="184">
        <v>2270</v>
      </c>
      <c r="BQ343" s="184">
        <v>2270</v>
      </c>
      <c r="BR343" s="184"/>
      <c r="BS343" s="184"/>
      <c r="BT343" s="184"/>
      <c r="BU343" s="146" cm="1">
        <f t="array" ref="BU343">LOOKUP(2,1/(Y343:BT343&lt;&gt;""),Y343:BH343)</f>
        <v>2270</v>
      </c>
      <c r="BV343" s="145" cm="1">
        <f t="array" aca="1" ref="BV343" ca="1">_xlfn.LET(
    _xlpm.last_col_idx, LOOKUP(2, 1/(Y343:BT343&lt;&gt;""), COLUMN(Y343:BT343) - COLUMN(Y343) + 1),
    _xlpm.header_val, INDEX($Y$3:$BT$3, 1, _xlpm.last_col_idx),
    _xlpm.header_date, IF(ISNUMBER(_xlpm.header_val), _xlpm.header_val, DATEVALUE(_xlpm.header_val)),
    IF(_xlpm.header_date &gt; TODAY(), TODAY(), _xlpm.header_date)
)</f>
        <v>46212</v>
      </c>
      <c r="BW343" s="209" cm="1">
        <f t="array" ref="BW343">(LOOKUP(2,1/(BH343:BT343&lt;&gt;""),BH343:BT343))/(INDEX(BH343:BT343,MATCH(TRUE,INDEX((BH343:BT343&lt;&gt;0),0),0)))-1</f>
        <v>2.2522522522522515E-2</v>
      </c>
      <c r="BX343" s="210">
        <f t="shared" si="64"/>
        <v>2.27</v>
      </c>
      <c r="BY343" s="210">
        <f t="shared" si="65"/>
        <v>13.393000000000001</v>
      </c>
      <c r="BZ343" s="210">
        <f ca="1">IF(L343="BR",'Impostos e Frete'!$F$6,IF(L343="EU",'Impostos e Frete'!$I$3,IF(L343="CN",'Impostos e Frete'!$I$4,IF(L343="JP",'Impostos e Frete'!$I$5,IF(L343="RU",'Impostos e Frete'!$I$7,"ERRO")))))</f>
        <v>0.1410816</v>
      </c>
      <c r="CA343" s="210">
        <f>VLOOKUP(L343,'Impostos e Frete'!$A$3:$B$7,2,0)*'Preços e Condições'!BY343</f>
        <v>1.7410900000000002</v>
      </c>
      <c r="CB343" s="147">
        <f t="shared" si="66"/>
        <v>0</v>
      </c>
      <c r="CC343" s="147">
        <f>IF(X343="BRL",'Impostos e Frete'!$B$11,'Impostos e Frete'!$B$12)</f>
        <v>9.1999999999999998E-2</v>
      </c>
      <c r="CD343" s="211">
        <f t="shared" ca="1" si="67"/>
        <v>15.367171600000001</v>
      </c>
      <c r="CE343" s="212">
        <f t="shared" ca="1" si="68"/>
        <v>0.99886615400000001</v>
      </c>
      <c r="CF343" s="213">
        <f>VLOOKUP(L343,'Impostos e Frete'!$A$3:$C$7,3,0)</f>
        <v>105</v>
      </c>
      <c r="CG343" s="213">
        <f t="shared" si="69"/>
        <v>30</v>
      </c>
      <c r="CH343" s="213">
        <f t="shared" si="70"/>
        <v>-75</v>
      </c>
      <c r="CI343" s="214">
        <f t="shared" ca="1" si="71"/>
        <v>0.58276813782926418</v>
      </c>
      <c r="CJ343" s="215">
        <f t="shared" ca="1" si="72"/>
        <v>15.949939737829265</v>
      </c>
      <c r="CK343" s="216">
        <f t="shared" ca="1" si="73"/>
        <v>1.0367460829589024</v>
      </c>
    </row>
    <row r="344" spans="1:89">
      <c r="A344" s="176">
        <v>19528</v>
      </c>
      <c r="B344" s="177">
        <v>244</v>
      </c>
      <c r="C344" s="178">
        <v>65</v>
      </c>
      <c r="D344" s="178">
        <v>1270</v>
      </c>
      <c r="E344" s="178" t="s">
        <v>50</v>
      </c>
      <c r="F344" s="179" t="s">
        <v>108</v>
      </c>
      <c r="G344" s="189" t="s">
        <v>116</v>
      </c>
      <c r="H344" s="178" t="s">
        <v>42</v>
      </c>
      <c r="I344" s="178" t="s">
        <v>121</v>
      </c>
      <c r="J344" s="178"/>
      <c r="K344" s="178"/>
      <c r="L344" s="178" t="s">
        <v>59</v>
      </c>
      <c r="M344" s="178">
        <v>30</v>
      </c>
      <c r="N344" s="178">
        <v>500</v>
      </c>
      <c r="O344" s="178"/>
      <c r="P344" s="178"/>
      <c r="Q344" s="178"/>
      <c r="R344" s="178" t="s">
        <v>19</v>
      </c>
      <c r="S344" s="181"/>
      <c r="T344" s="181"/>
      <c r="U344" s="182"/>
      <c r="V344" s="182" t="s">
        <v>35</v>
      </c>
      <c r="W344" s="183">
        <v>50</v>
      </c>
      <c r="X344" s="182" t="s">
        <v>51</v>
      </c>
      <c r="Y344" s="184">
        <v>2480</v>
      </c>
      <c r="Z344" s="184">
        <v>2480</v>
      </c>
      <c r="AA344" s="184">
        <v>2480</v>
      </c>
      <c r="AB344" s="184">
        <v>2330</v>
      </c>
      <c r="AC344" s="184">
        <v>2330</v>
      </c>
      <c r="AD344" s="184">
        <v>2330</v>
      </c>
      <c r="AE344" s="184">
        <v>2230</v>
      </c>
      <c r="AF344" s="184">
        <v>2230</v>
      </c>
      <c r="AG344" s="184">
        <v>2230</v>
      </c>
      <c r="AH344" s="184">
        <v>2030</v>
      </c>
      <c r="AI344" s="184">
        <v>2030</v>
      </c>
      <c r="AJ344" s="184">
        <v>2030</v>
      </c>
      <c r="AK344" s="184">
        <v>2030</v>
      </c>
      <c r="AL344" s="184">
        <v>2030</v>
      </c>
      <c r="AM344" s="184">
        <v>2030</v>
      </c>
      <c r="AN344" s="184">
        <v>2030</v>
      </c>
      <c r="AO344" s="184">
        <v>2030</v>
      </c>
      <c r="AP344" s="184">
        <v>2030</v>
      </c>
      <c r="AQ344" s="184">
        <v>2080</v>
      </c>
      <c r="AR344" s="184">
        <v>2280</v>
      </c>
      <c r="AS344" s="184">
        <v>2280</v>
      </c>
      <c r="AT344" s="184">
        <v>2280</v>
      </c>
      <c r="AU344" s="184">
        <v>2280</v>
      </c>
      <c r="AV344" s="184">
        <v>2280</v>
      </c>
      <c r="AW344" s="184">
        <v>2500</v>
      </c>
      <c r="AX344" s="184">
        <v>2500</v>
      </c>
      <c r="AY344" s="146">
        <f t="shared" si="75"/>
        <v>2000</v>
      </c>
      <c r="AZ344" s="146">
        <f t="shared" si="74"/>
        <v>2000</v>
      </c>
      <c r="BA344" s="146">
        <f t="shared" si="74"/>
        <v>2000</v>
      </c>
      <c r="BB344" s="184">
        <v>2330</v>
      </c>
      <c r="BC344" s="184">
        <v>2330</v>
      </c>
      <c r="BD344" s="184">
        <v>2330</v>
      </c>
      <c r="BE344" s="184">
        <v>2330</v>
      </c>
      <c r="BF344" s="184">
        <v>2240</v>
      </c>
      <c r="BG344" s="184">
        <v>2240</v>
      </c>
      <c r="BH344" s="184">
        <v>2240</v>
      </c>
      <c r="BI344" s="184"/>
      <c r="BJ344" s="184"/>
      <c r="BK344" s="184"/>
      <c r="BL344" s="184">
        <v>2210</v>
      </c>
      <c r="BM344" s="184">
        <v>2210</v>
      </c>
      <c r="BN344" s="184">
        <v>2210</v>
      </c>
      <c r="BO344" s="184">
        <v>2470</v>
      </c>
      <c r="BP344" s="184">
        <v>2470</v>
      </c>
      <c r="BQ344" s="184">
        <v>2470</v>
      </c>
      <c r="BR344" s="184"/>
      <c r="BS344" s="184"/>
      <c r="BT344" s="184"/>
      <c r="BU344" s="146" cm="1">
        <f t="array" ref="BU344">LOOKUP(2,1/(Y344:BT344&lt;&gt;""),Y344:BH344)</f>
        <v>2470</v>
      </c>
      <c r="BV344" s="145" cm="1">
        <f t="array" aca="1" ref="BV344" ca="1">_xlfn.LET(
    _xlpm.last_col_idx, LOOKUP(2, 1/(Y344:BT344&lt;&gt;""), COLUMN(Y344:BT344) - COLUMN(Y344) + 1),
    _xlpm.header_val, INDEX($Y$3:$BT$3, 1, _xlpm.last_col_idx),
    _xlpm.header_date, IF(ISNUMBER(_xlpm.header_val), _xlpm.header_val, DATEVALUE(_xlpm.header_val)),
    IF(_xlpm.header_date &gt; TODAY(), TODAY(), _xlpm.header_date)
)</f>
        <v>46212</v>
      </c>
      <c r="BW344" s="209" cm="1">
        <f t="array" ref="BW344">(LOOKUP(2,1/(BH344:BT344&lt;&gt;""),BH344:BT344))/(INDEX(BH344:BT344,MATCH(TRUE,INDEX((BH344:BT344&lt;&gt;0),0),0)))-1</f>
        <v>0.1026785714285714</v>
      </c>
      <c r="BX344" s="210">
        <f t="shared" si="64"/>
        <v>2.4700000000000002</v>
      </c>
      <c r="BY344" s="210">
        <f t="shared" si="65"/>
        <v>14.573000000000002</v>
      </c>
      <c r="BZ344" s="210">
        <f ca="1">IF(L344="BR",'Impostos e Frete'!$F$6,IF(L344="EU",'Impostos e Frete'!$I$3,IF(L344="CN",'Impostos e Frete'!$I$4,IF(L344="JP",'Impostos e Frete'!$I$5,IF(L344="RU",'Impostos e Frete'!$I$7,"ERRO")))))</f>
        <v>0.1410816</v>
      </c>
      <c r="CA344" s="210">
        <f>VLOOKUP(L344,'Impostos e Frete'!$A$3:$B$7,2,0)*'Preços e Condições'!BY344</f>
        <v>1.8944900000000005</v>
      </c>
      <c r="CB344" s="147">
        <f t="shared" si="66"/>
        <v>0</v>
      </c>
      <c r="CC344" s="147">
        <f>IF(X344="BRL",'Impostos e Frete'!$B$11,'Impostos e Frete'!$B$12)</f>
        <v>9.1999999999999998E-2</v>
      </c>
      <c r="CD344" s="211">
        <f t="shared" ca="1" si="67"/>
        <v>16.7005716</v>
      </c>
      <c r="CE344" s="212">
        <f t="shared" ca="1" si="68"/>
        <v>1.0855371539999998</v>
      </c>
      <c r="CF344" s="213">
        <f>VLOOKUP(L344,'Impostos e Frete'!$A$3:$C$7,3,0)</f>
        <v>105</v>
      </c>
      <c r="CG344" s="213">
        <f t="shared" si="69"/>
        <v>30</v>
      </c>
      <c r="CH344" s="213">
        <f t="shared" si="70"/>
        <v>-75</v>
      </c>
      <c r="CI344" s="214">
        <f t="shared" ca="1" si="71"/>
        <v>0.63333456964952006</v>
      </c>
      <c r="CJ344" s="215">
        <f t="shared" ca="1" si="72"/>
        <v>17.33390616964952</v>
      </c>
      <c r="CK344" s="216">
        <f t="shared" ca="1" si="73"/>
        <v>1.1267039010272188</v>
      </c>
    </row>
    <row r="345" spans="1:89">
      <c r="A345" s="176">
        <v>19528</v>
      </c>
      <c r="B345" s="177">
        <v>244</v>
      </c>
      <c r="C345" s="178">
        <v>65</v>
      </c>
      <c r="D345" s="178">
        <v>1270</v>
      </c>
      <c r="E345" s="178" t="s">
        <v>50</v>
      </c>
      <c r="F345" s="179" t="s">
        <v>108</v>
      </c>
      <c r="G345" s="189" t="s">
        <v>116</v>
      </c>
      <c r="H345" s="178" t="s">
        <v>42</v>
      </c>
      <c r="I345" s="178" t="s">
        <v>121</v>
      </c>
      <c r="J345" s="178"/>
      <c r="K345" s="178"/>
      <c r="L345" s="178" t="s">
        <v>59</v>
      </c>
      <c r="M345" s="178">
        <v>30</v>
      </c>
      <c r="N345" s="178">
        <v>500</v>
      </c>
      <c r="O345" s="178"/>
      <c r="P345" s="178"/>
      <c r="Q345" s="178"/>
      <c r="R345" s="178" t="s">
        <v>19</v>
      </c>
      <c r="S345" s="181"/>
      <c r="T345" s="181"/>
      <c r="U345" s="182"/>
      <c r="V345" s="182" t="s">
        <v>35</v>
      </c>
      <c r="W345" s="183">
        <v>20</v>
      </c>
      <c r="X345" s="182" t="s">
        <v>51</v>
      </c>
      <c r="Y345" s="184">
        <v>2980</v>
      </c>
      <c r="Z345" s="184">
        <v>2980</v>
      </c>
      <c r="AA345" s="184">
        <v>2980</v>
      </c>
      <c r="AB345" s="184">
        <v>2830</v>
      </c>
      <c r="AC345" s="184">
        <v>2830</v>
      </c>
      <c r="AD345" s="184">
        <v>2830</v>
      </c>
      <c r="AE345" s="184">
        <v>2730</v>
      </c>
      <c r="AF345" s="184">
        <v>2730</v>
      </c>
      <c r="AG345" s="184">
        <v>2730</v>
      </c>
      <c r="AH345" s="184">
        <v>2530</v>
      </c>
      <c r="AI345" s="184">
        <v>2530</v>
      </c>
      <c r="AJ345" s="184">
        <v>2530</v>
      </c>
      <c r="AK345" s="184">
        <v>2530</v>
      </c>
      <c r="AL345" s="184">
        <v>2530</v>
      </c>
      <c r="AM345" s="184">
        <v>2530</v>
      </c>
      <c r="AN345" s="184">
        <v>2530</v>
      </c>
      <c r="AO345" s="184">
        <v>2530</v>
      </c>
      <c r="AP345" s="184">
        <v>2530</v>
      </c>
      <c r="AQ345" s="184">
        <v>2580</v>
      </c>
      <c r="AR345" s="184">
        <v>2780</v>
      </c>
      <c r="AS345" s="184">
        <v>2780</v>
      </c>
      <c r="AT345" s="184">
        <v>2780</v>
      </c>
      <c r="AU345" s="184">
        <v>2780</v>
      </c>
      <c r="AV345" s="184">
        <v>2780</v>
      </c>
      <c r="AW345" s="184">
        <v>2550</v>
      </c>
      <c r="AX345" s="184">
        <v>2550</v>
      </c>
      <c r="AY345" s="146">
        <f t="shared" si="75"/>
        <v>2050</v>
      </c>
      <c r="AZ345" s="146">
        <f t="shared" si="74"/>
        <v>2050</v>
      </c>
      <c r="BA345" s="146">
        <f t="shared" si="74"/>
        <v>2050</v>
      </c>
      <c r="BB345" s="184">
        <v>2380</v>
      </c>
      <c r="BC345" s="184">
        <v>2380</v>
      </c>
      <c r="BD345" s="184">
        <v>2380</v>
      </c>
      <c r="BE345" s="184">
        <v>2380</v>
      </c>
      <c r="BF345" s="184">
        <v>2290</v>
      </c>
      <c r="BG345" s="184">
        <v>2290</v>
      </c>
      <c r="BH345" s="184">
        <v>2290</v>
      </c>
      <c r="BI345" s="184"/>
      <c r="BJ345" s="184"/>
      <c r="BK345" s="184"/>
      <c r="BL345" s="184">
        <v>2240</v>
      </c>
      <c r="BM345" s="184">
        <v>2240</v>
      </c>
      <c r="BN345" s="184">
        <v>2240</v>
      </c>
      <c r="BO345" s="184">
        <v>2770</v>
      </c>
      <c r="BP345" s="184">
        <v>2770</v>
      </c>
      <c r="BQ345" s="184">
        <v>2770</v>
      </c>
      <c r="BR345" s="184"/>
      <c r="BS345" s="184"/>
      <c r="BT345" s="184"/>
      <c r="BU345" s="146" cm="1">
        <f t="array" ref="BU345">LOOKUP(2,1/(Y345:BT345&lt;&gt;""),Y345:BH345)</f>
        <v>2770</v>
      </c>
      <c r="BV345" s="145" cm="1">
        <f t="array" aca="1" ref="BV345" ca="1">_xlfn.LET(
    _xlpm.last_col_idx, LOOKUP(2, 1/(Y345:BT345&lt;&gt;""), COLUMN(Y345:BT345) - COLUMN(Y345) + 1),
    _xlpm.header_val, INDEX($Y$3:$BT$3, 1, _xlpm.last_col_idx),
    _xlpm.header_date, IF(ISNUMBER(_xlpm.header_val), _xlpm.header_val, DATEVALUE(_xlpm.header_val)),
    IF(_xlpm.header_date &gt; TODAY(), TODAY(), _xlpm.header_date)
)</f>
        <v>46212</v>
      </c>
      <c r="BW345" s="209" cm="1">
        <f t="array" ref="BW345">(LOOKUP(2,1/(BH345:BT345&lt;&gt;""),BH345:BT345))/(INDEX(BH345:BT345,MATCH(TRUE,INDEX((BH345:BT345&lt;&gt;0),0),0)))-1</f>
        <v>0.20960698689956336</v>
      </c>
      <c r="BX345" s="210">
        <f t="shared" si="64"/>
        <v>2.77</v>
      </c>
      <c r="BY345" s="210">
        <f t="shared" si="65"/>
        <v>16.343</v>
      </c>
      <c r="BZ345" s="210">
        <f ca="1">IF(L345="BR",'Impostos e Frete'!$F$6,IF(L345="EU",'Impostos e Frete'!$I$3,IF(L345="CN",'Impostos e Frete'!$I$4,IF(L345="JP",'Impostos e Frete'!$I$5,IF(L345="RU",'Impostos e Frete'!$I$7,"ERRO")))))</f>
        <v>0.1410816</v>
      </c>
      <c r="CA345" s="210">
        <f>VLOOKUP(L345,'Impostos e Frete'!$A$3:$B$7,2,0)*'Preços e Condições'!BY345</f>
        <v>2.12459</v>
      </c>
      <c r="CB345" s="147">
        <f t="shared" si="66"/>
        <v>0</v>
      </c>
      <c r="CC345" s="147">
        <f>IF(X345="BRL",'Impostos e Frete'!$B$11,'Impostos e Frete'!$B$12)</f>
        <v>9.1999999999999998E-2</v>
      </c>
      <c r="CD345" s="211">
        <f t="shared" ca="1" si="67"/>
        <v>18.7006716</v>
      </c>
      <c r="CE345" s="212">
        <f t="shared" ca="1" si="68"/>
        <v>1.215543654</v>
      </c>
      <c r="CF345" s="213">
        <f>VLOOKUP(L345,'Impostos e Frete'!$A$3:$C$7,3,0)</f>
        <v>105</v>
      </c>
      <c r="CG345" s="213">
        <f t="shared" si="69"/>
        <v>30</v>
      </c>
      <c r="CH345" s="213">
        <f t="shared" si="70"/>
        <v>-75</v>
      </c>
      <c r="CI345" s="214">
        <f t="shared" ca="1" si="71"/>
        <v>0.70918421737989945</v>
      </c>
      <c r="CJ345" s="215">
        <f t="shared" ca="1" si="72"/>
        <v>19.409855817379899</v>
      </c>
      <c r="CK345" s="216">
        <f t="shared" ca="1" si="73"/>
        <v>1.2616406281296935</v>
      </c>
    </row>
    <row r="346" spans="1:89">
      <c r="A346" s="176">
        <v>19531</v>
      </c>
      <c r="B346" s="177">
        <v>301</v>
      </c>
      <c r="C346" s="178">
        <v>65</v>
      </c>
      <c r="D346" s="178">
        <v>2120</v>
      </c>
      <c r="E346" s="178" t="s">
        <v>50</v>
      </c>
      <c r="F346" s="179" t="s">
        <v>108</v>
      </c>
      <c r="G346" s="189" t="s">
        <v>111</v>
      </c>
      <c r="H346" s="178" t="s">
        <v>345</v>
      </c>
      <c r="I346" s="178" t="s">
        <v>113</v>
      </c>
      <c r="J346" s="178"/>
      <c r="K346" s="178"/>
      <c r="L346" s="178" t="s">
        <v>59</v>
      </c>
      <c r="M346" s="178">
        <v>30</v>
      </c>
      <c r="N346" s="178">
        <v>500</v>
      </c>
      <c r="O346" s="178"/>
      <c r="P346" s="178"/>
      <c r="Q346" s="178"/>
      <c r="R346" s="178" t="s">
        <v>19</v>
      </c>
      <c r="S346" s="181"/>
      <c r="T346" s="181"/>
      <c r="U346" s="182"/>
      <c r="V346" s="182" t="s">
        <v>35</v>
      </c>
      <c r="W346" s="183">
        <v>80</v>
      </c>
      <c r="X346" s="182" t="s">
        <v>51</v>
      </c>
      <c r="Y346" s="184">
        <v>2650</v>
      </c>
      <c r="Z346" s="184">
        <v>2650</v>
      </c>
      <c r="AA346" s="184">
        <v>2650</v>
      </c>
      <c r="AB346" s="184">
        <v>2550</v>
      </c>
      <c r="AC346" s="184">
        <v>2550</v>
      </c>
      <c r="AD346" s="184">
        <v>2550</v>
      </c>
      <c r="AE346" s="184">
        <v>2350</v>
      </c>
      <c r="AF346" s="184">
        <v>2350</v>
      </c>
      <c r="AG346" s="184">
        <v>2350</v>
      </c>
      <c r="AH346" s="184">
        <v>2200</v>
      </c>
      <c r="AI346" s="184">
        <v>1900</v>
      </c>
      <c r="AJ346" s="184">
        <v>1900</v>
      </c>
      <c r="AK346" s="184">
        <v>1900</v>
      </c>
      <c r="AL346" s="184">
        <v>1900</v>
      </c>
      <c r="AM346" s="184">
        <v>1900</v>
      </c>
      <c r="AN346" s="184">
        <v>1900</v>
      </c>
      <c r="AO346" s="184">
        <v>1900</v>
      </c>
      <c r="AP346" s="184">
        <v>1900</v>
      </c>
      <c r="AQ346" s="184">
        <v>2010</v>
      </c>
      <c r="AR346" s="184">
        <v>2400</v>
      </c>
      <c r="AS346" s="184">
        <v>2400</v>
      </c>
      <c r="AT346" s="184">
        <v>2400</v>
      </c>
      <c r="AU346" s="184">
        <v>2400</v>
      </c>
      <c r="AV346" s="184">
        <v>2400</v>
      </c>
      <c r="AW346" s="184">
        <v>2800</v>
      </c>
      <c r="AX346" s="184">
        <v>2800</v>
      </c>
      <c r="AY346" s="146">
        <f t="shared" si="75"/>
        <v>2300</v>
      </c>
      <c r="AZ346" s="146">
        <f t="shared" si="74"/>
        <v>2300</v>
      </c>
      <c r="BA346" s="146">
        <f t="shared" si="74"/>
        <v>2300</v>
      </c>
      <c r="BB346" s="184">
        <v>2430</v>
      </c>
      <c r="BC346" s="184">
        <v>2430</v>
      </c>
      <c r="BD346" s="184">
        <v>2430</v>
      </c>
      <c r="BE346" s="184">
        <v>2430</v>
      </c>
      <c r="BF346" s="184">
        <v>2280</v>
      </c>
      <c r="BG346" s="184">
        <v>2280</v>
      </c>
      <c r="BH346" s="184">
        <v>2280</v>
      </c>
      <c r="BI346" s="184"/>
      <c r="BJ346" s="184"/>
      <c r="BK346" s="184"/>
      <c r="BL346" s="184">
        <v>2250</v>
      </c>
      <c r="BM346" s="184">
        <v>2250</v>
      </c>
      <c r="BN346" s="184">
        <v>2250</v>
      </c>
      <c r="BO346" s="184">
        <v>2330</v>
      </c>
      <c r="BP346" s="184">
        <v>2330</v>
      </c>
      <c r="BQ346" s="184">
        <v>2330</v>
      </c>
      <c r="BR346" s="184"/>
      <c r="BS346" s="184"/>
      <c r="BT346" s="184"/>
      <c r="BU346" s="146" cm="1">
        <f t="array" ref="BU346">LOOKUP(2,1/(Y346:BT346&lt;&gt;""),Y346:BH346)</f>
        <v>2330</v>
      </c>
      <c r="BV346" s="145" cm="1">
        <f t="array" aca="1" ref="BV346" ca="1">_xlfn.LET(
    _xlpm.last_col_idx, LOOKUP(2, 1/(Y346:BT346&lt;&gt;""), COLUMN(Y346:BT346) - COLUMN(Y346) + 1),
    _xlpm.header_val, INDEX($Y$3:$BT$3, 1, _xlpm.last_col_idx),
    _xlpm.header_date, IF(ISNUMBER(_xlpm.header_val), _xlpm.header_val, DATEVALUE(_xlpm.header_val)),
    IF(_xlpm.header_date &gt; TODAY(), TODAY(), _xlpm.header_date)
)</f>
        <v>46212</v>
      </c>
      <c r="BW346" s="209" cm="1">
        <f t="array" ref="BW346">(LOOKUP(2,1/(BH346:BT346&lt;&gt;""),BH346:BT346))/(INDEX(BH346:BT346,MATCH(TRUE,INDEX((BH346:BT346&lt;&gt;0),0),0)))-1</f>
        <v>2.1929824561403466E-2</v>
      </c>
      <c r="BX346" s="210">
        <f t="shared" si="64"/>
        <v>2.33</v>
      </c>
      <c r="BY346" s="210">
        <f t="shared" si="65"/>
        <v>13.747000000000002</v>
      </c>
      <c r="BZ346" s="210">
        <f ca="1">IF(L346="BR",'Impostos e Frete'!$F$6,IF(L346="EU",'Impostos e Frete'!$I$3,IF(L346="CN",'Impostos e Frete'!$I$4,IF(L346="JP",'Impostos e Frete'!$I$5,IF(L346="RU",'Impostos e Frete'!$I$7,"ERRO")))))</f>
        <v>0.1410816</v>
      </c>
      <c r="CA346" s="210">
        <f>VLOOKUP(L346,'Impostos e Frete'!$A$3:$B$7,2,0)*'Preços e Condições'!BY346</f>
        <v>1.7871100000000002</v>
      </c>
      <c r="CB346" s="147">
        <f t="shared" si="66"/>
        <v>0</v>
      </c>
      <c r="CC346" s="147">
        <f>IF(X346="BRL",'Impostos e Frete'!$B$11,'Impostos e Frete'!$B$12)</f>
        <v>9.1999999999999998E-2</v>
      </c>
      <c r="CD346" s="211">
        <f t="shared" ca="1" si="67"/>
        <v>15.767191600000002</v>
      </c>
      <c r="CE346" s="212">
        <f t="shared" ca="1" si="68"/>
        <v>1.024867454</v>
      </c>
      <c r="CF346" s="213">
        <f>VLOOKUP(L346,'Impostos e Frete'!$A$3:$C$7,3,0)</f>
        <v>105</v>
      </c>
      <c r="CG346" s="213">
        <f t="shared" si="69"/>
        <v>30</v>
      </c>
      <c r="CH346" s="213">
        <f t="shared" si="70"/>
        <v>-75</v>
      </c>
      <c r="CI346" s="214">
        <f t="shared" ca="1" si="71"/>
        <v>0.59793806737534005</v>
      </c>
      <c r="CJ346" s="215">
        <f t="shared" ca="1" si="72"/>
        <v>16.365129667375342</v>
      </c>
      <c r="CK346" s="216">
        <f t="shared" ca="1" si="73"/>
        <v>1.0637334283793971</v>
      </c>
    </row>
    <row r="347" spans="1:89">
      <c r="A347" s="176">
        <v>19531</v>
      </c>
      <c r="B347" s="177">
        <v>301</v>
      </c>
      <c r="C347" s="178">
        <v>65</v>
      </c>
      <c r="D347" s="178">
        <v>2120</v>
      </c>
      <c r="E347" s="178" t="s">
        <v>50</v>
      </c>
      <c r="F347" s="179" t="s">
        <v>108</v>
      </c>
      <c r="G347" s="189" t="s">
        <v>111</v>
      </c>
      <c r="H347" s="178" t="s">
        <v>345</v>
      </c>
      <c r="I347" s="178" t="s">
        <v>113</v>
      </c>
      <c r="J347" s="178"/>
      <c r="K347" s="178"/>
      <c r="L347" s="178" t="s">
        <v>59</v>
      </c>
      <c r="M347" s="178">
        <v>30</v>
      </c>
      <c r="N347" s="178">
        <v>500</v>
      </c>
      <c r="O347" s="178"/>
      <c r="P347" s="178"/>
      <c r="Q347" s="178"/>
      <c r="R347" s="178" t="s">
        <v>19</v>
      </c>
      <c r="S347" s="181"/>
      <c r="T347" s="181"/>
      <c r="U347" s="182"/>
      <c r="V347" s="182" t="s">
        <v>35</v>
      </c>
      <c r="W347" s="183">
        <v>50</v>
      </c>
      <c r="X347" s="182" t="s">
        <v>51</v>
      </c>
      <c r="Y347" s="184">
        <v>2850</v>
      </c>
      <c r="Z347" s="184">
        <v>2850</v>
      </c>
      <c r="AA347" s="184">
        <v>2850</v>
      </c>
      <c r="AB347" s="184">
        <v>2750</v>
      </c>
      <c r="AC347" s="184">
        <v>2750</v>
      </c>
      <c r="AD347" s="184">
        <v>2750</v>
      </c>
      <c r="AE347" s="184">
        <v>2550</v>
      </c>
      <c r="AF347" s="184">
        <v>2550</v>
      </c>
      <c r="AG347" s="184">
        <v>2550</v>
      </c>
      <c r="AH347" s="184">
        <v>2400</v>
      </c>
      <c r="AI347" s="184">
        <v>2400</v>
      </c>
      <c r="AJ347" s="184">
        <v>2400</v>
      </c>
      <c r="AK347" s="184">
        <v>2400</v>
      </c>
      <c r="AL347" s="184">
        <v>2400</v>
      </c>
      <c r="AM347" s="184">
        <v>2400</v>
      </c>
      <c r="AN347" s="184">
        <v>2400</v>
      </c>
      <c r="AO347" s="184">
        <v>2400</v>
      </c>
      <c r="AP347" s="184">
        <v>2400</v>
      </c>
      <c r="AQ347" s="184">
        <v>2210</v>
      </c>
      <c r="AR347" s="184">
        <v>2600</v>
      </c>
      <c r="AS347" s="184">
        <v>2600</v>
      </c>
      <c r="AT347" s="184">
        <v>2600</v>
      </c>
      <c r="AU347" s="184">
        <v>2600</v>
      </c>
      <c r="AV347" s="184">
        <v>2600</v>
      </c>
      <c r="AW347" s="184">
        <v>2820</v>
      </c>
      <c r="AX347" s="184">
        <v>2820</v>
      </c>
      <c r="AY347" s="146">
        <f t="shared" si="75"/>
        <v>2320</v>
      </c>
      <c r="AZ347" s="146">
        <f t="shared" ref="AZ347:BA366" si="76">AY347</f>
        <v>2320</v>
      </c>
      <c r="BA347" s="146">
        <f t="shared" si="76"/>
        <v>2320</v>
      </c>
      <c r="BB347" s="184">
        <v>2450</v>
      </c>
      <c r="BC347" s="184">
        <v>2450</v>
      </c>
      <c r="BD347" s="184">
        <v>2450</v>
      </c>
      <c r="BE347" s="184">
        <v>2450</v>
      </c>
      <c r="BF347" s="184">
        <v>2300</v>
      </c>
      <c r="BG347" s="184">
        <v>2300</v>
      </c>
      <c r="BH347" s="184">
        <v>2300</v>
      </c>
      <c r="BI347" s="184"/>
      <c r="BJ347" s="184"/>
      <c r="BK347" s="184"/>
      <c r="BL347" s="184">
        <v>2270</v>
      </c>
      <c r="BM347" s="184">
        <v>2270</v>
      </c>
      <c r="BN347" s="184">
        <v>2270</v>
      </c>
      <c r="BO347" s="184">
        <v>2530</v>
      </c>
      <c r="BP347" s="184">
        <v>2530</v>
      </c>
      <c r="BQ347" s="184">
        <v>2530</v>
      </c>
      <c r="BR347" s="184"/>
      <c r="BS347" s="184"/>
      <c r="BT347" s="184"/>
      <c r="BU347" s="146" cm="1">
        <f t="array" ref="BU347">LOOKUP(2,1/(Y347:BT347&lt;&gt;""),Y347:BH347)</f>
        <v>2530</v>
      </c>
      <c r="BV347" s="145" cm="1">
        <f t="array" aca="1" ref="BV347" ca="1">_xlfn.LET(
    _xlpm.last_col_idx, LOOKUP(2, 1/(Y347:BT347&lt;&gt;""), COLUMN(Y347:BT347) - COLUMN(Y347) + 1),
    _xlpm.header_val, INDEX($Y$3:$BT$3, 1, _xlpm.last_col_idx),
    _xlpm.header_date, IF(ISNUMBER(_xlpm.header_val), _xlpm.header_val, DATEVALUE(_xlpm.header_val)),
    IF(_xlpm.header_date &gt; TODAY(), TODAY(), _xlpm.header_date)
)</f>
        <v>46212</v>
      </c>
      <c r="BW347" s="209" cm="1">
        <f t="array" ref="BW347">(LOOKUP(2,1/(BH347:BT347&lt;&gt;""),BH347:BT347))/(INDEX(BH347:BT347,MATCH(TRUE,INDEX((BH347:BT347&lt;&gt;0),0),0)))-1</f>
        <v>0.10000000000000009</v>
      </c>
      <c r="BX347" s="210">
        <f t="shared" si="64"/>
        <v>2.5299999999999998</v>
      </c>
      <c r="BY347" s="210">
        <f t="shared" si="65"/>
        <v>14.927</v>
      </c>
      <c r="BZ347" s="210">
        <f ca="1">IF(L347="BR",'Impostos e Frete'!$F$6,IF(L347="EU",'Impostos e Frete'!$I$3,IF(L347="CN",'Impostos e Frete'!$I$4,IF(L347="JP",'Impostos e Frete'!$I$5,IF(L347="RU",'Impostos e Frete'!$I$7,"ERRO")))))</f>
        <v>0.1410816</v>
      </c>
      <c r="CA347" s="210">
        <f>VLOOKUP(L347,'Impostos e Frete'!$A$3:$B$7,2,0)*'Preços e Condições'!BY347</f>
        <v>1.94051</v>
      </c>
      <c r="CB347" s="147">
        <f t="shared" si="66"/>
        <v>0</v>
      </c>
      <c r="CC347" s="147">
        <f>IF(X347="BRL",'Impostos e Frete'!$B$11,'Impostos e Frete'!$B$12)</f>
        <v>9.1999999999999998E-2</v>
      </c>
      <c r="CD347" s="211">
        <f t="shared" ca="1" si="67"/>
        <v>17.100591599999998</v>
      </c>
      <c r="CE347" s="212">
        <f t="shared" ca="1" si="68"/>
        <v>1.111538454</v>
      </c>
      <c r="CF347" s="213">
        <f>VLOOKUP(L347,'Impostos e Frete'!$A$3:$C$7,3,0)</f>
        <v>105</v>
      </c>
      <c r="CG347" s="213">
        <f t="shared" si="69"/>
        <v>30</v>
      </c>
      <c r="CH347" s="213">
        <f t="shared" si="70"/>
        <v>-75</v>
      </c>
      <c r="CI347" s="214">
        <f t="shared" ca="1" si="71"/>
        <v>0.64850449919559594</v>
      </c>
      <c r="CJ347" s="215">
        <f t="shared" ca="1" si="72"/>
        <v>17.749096099195594</v>
      </c>
      <c r="CK347" s="216">
        <f t="shared" ca="1" si="73"/>
        <v>1.1536912464477136</v>
      </c>
    </row>
    <row r="348" spans="1:89">
      <c r="A348" s="176">
        <v>19531</v>
      </c>
      <c r="B348" s="177">
        <v>301</v>
      </c>
      <c r="C348" s="178">
        <v>65</v>
      </c>
      <c r="D348" s="178">
        <v>2120</v>
      </c>
      <c r="E348" s="178" t="s">
        <v>50</v>
      </c>
      <c r="F348" s="179" t="s">
        <v>108</v>
      </c>
      <c r="G348" s="189" t="s">
        <v>111</v>
      </c>
      <c r="H348" s="178" t="s">
        <v>345</v>
      </c>
      <c r="I348" s="178" t="s">
        <v>113</v>
      </c>
      <c r="J348" s="178"/>
      <c r="K348" s="178"/>
      <c r="L348" s="178" t="s">
        <v>59</v>
      </c>
      <c r="M348" s="178">
        <v>30</v>
      </c>
      <c r="N348" s="178">
        <v>500</v>
      </c>
      <c r="O348" s="178"/>
      <c r="P348" s="178"/>
      <c r="Q348" s="178"/>
      <c r="R348" s="178" t="s">
        <v>19</v>
      </c>
      <c r="S348" s="181"/>
      <c r="T348" s="181"/>
      <c r="U348" s="182"/>
      <c r="V348" s="182" t="s">
        <v>35</v>
      </c>
      <c r="W348" s="183">
        <v>20</v>
      </c>
      <c r="X348" s="182" t="s">
        <v>51</v>
      </c>
      <c r="Y348" s="184">
        <v>3350</v>
      </c>
      <c r="Z348" s="184">
        <v>3350</v>
      </c>
      <c r="AA348" s="184">
        <v>3350</v>
      </c>
      <c r="AB348" s="184">
        <v>3250</v>
      </c>
      <c r="AC348" s="184">
        <v>3250</v>
      </c>
      <c r="AD348" s="184">
        <v>3250</v>
      </c>
      <c r="AE348" s="184">
        <v>3050</v>
      </c>
      <c r="AF348" s="184">
        <v>3050</v>
      </c>
      <c r="AG348" s="184">
        <v>3050</v>
      </c>
      <c r="AH348" s="184">
        <v>2900</v>
      </c>
      <c r="AI348" s="184">
        <v>2900</v>
      </c>
      <c r="AJ348" s="184">
        <v>2900</v>
      </c>
      <c r="AK348" s="184">
        <v>2900</v>
      </c>
      <c r="AL348" s="184">
        <v>2900</v>
      </c>
      <c r="AM348" s="184">
        <v>2900</v>
      </c>
      <c r="AN348" s="184">
        <v>2900</v>
      </c>
      <c r="AO348" s="184">
        <v>2900</v>
      </c>
      <c r="AP348" s="184">
        <v>2900</v>
      </c>
      <c r="AQ348" s="184">
        <v>2710</v>
      </c>
      <c r="AR348" s="184">
        <v>3100</v>
      </c>
      <c r="AS348" s="184">
        <v>3100</v>
      </c>
      <c r="AT348" s="184">
        <v>3100</v>
      </c>
      <c r="AU348" s="184">
        <v>3100</v>
      </c>
      <c r="AV348" s="184">
        <v>3100</v>
      </c>
      <c r="AW348" s="184">
        <v>2870</v>
      </c>
      <c r="AX348" s="184">
        <v>2870</v>
      </c>
      <c r="AY348" s="146">
        <f t="shared" si="75"/>
        <v>2370</v>
      </c>
      <c r="AZ348" s="146">
        <f t="shared" si="76"/>
        <v>2370</v>
      </c>
      <c r="BA348" s="146">
        <f t="shared" si="76"/>
        <v>2370</v>
      </c>
      <c r="BB348" s="184">
        <v>2500</v>
      </c>
      <c r="BC348" s="184">
        <v>2500</v>
      </c>
      <c r="BD348" s="184">
        <v>2500</v>
      </c>
      <c r="BE348" s="184">
        <v>2500</v>
      </c>
      <c r="BF348" s="184">
        <v>2350</v>
      </c>
      <c r="BG348" s="184">
        <v>2350</v>
      </c>
      <c r="BH348" s="184">
        <v>2350</v>
      </c>
      <c r="BI348" s="184"/>
      <c r="BJ348" s="184"/>
      <c r="BK348" s="184"/>
      <c r="BL348" s="184">
        <v>2300</v>
      </c>
      <c r="BM348" s="184">
        <v>2300</v>
      </c>
      <c r="BN348" s="184">
        <v>2300</v>
      </c>
      <c r="BO348" s="184">
        <v>3030</v>
      </c>
      <c r="BP348" s="184">
        <v>3030</v>
      </c>
      <c r="BQ348" s="184">
        <v>3030</v>
      </c>
      <c r="BR348" s="184"/>
      <c r="BS348" s="184"/>
      <c r="BT348" s="184"/>
      <c r="BU348" s="146" cm="1">
        <f t="array" ref="BU348">LOOKUP(2,1/(Y348:BT348&lt;&gt;""),Y348:BH348)</f>
        <v>3030</v>
      </c>
      <c r="BV348" s="145" cm="1">
        <f t="array" aca="1" ref="BV348" ca="1">_xlfn.LET(
    _xlpm.last_col_idx, LOOKUP(2, 1/(Y348:BT348&lt;&gt;""), COLUMN(Y348:BT348) - COLUMN(Y348) + 1),
    _xlpm.header_val, INDEX($Y$3:$BT$3, 1, _xlpm.last_col_idx),
    _xlpm.header_date, IF(ISNUMBER(_xlpm.header_val), _xlpm.header_val, DATEVALUE(_xlpm.header_val)),
    IF(_xlpm.header_date &gt; TODAY(), TODAY(), _xlpm.header_date)
)</f>
        <v>46212</v>
      </c>
      <c r="BW348" s="209" cm="1">
        <f t="array" ref="BW348">(LOOKUP(2,1/(BH348:BT348&lt;&gt;""),BH348:BT348))/(INDEX(BH348:BT348,MATCH(TRUE,INDEX((BH348:BT348&lt;&gt;0),0),0)))-1</f>
        <v>0.28936170212765955</v>
      </c>
      <c r="BX348" s="210">
        <f t="shared" si="64"/>
        <v>3.03</v>
      </c>
      <c r="BY348" s="210">
        <f t="shared" si="65"/>
        <v>17.876999999999999</v>
      </c>
      <c r="BZ348" s="210">
        <f ca="1">IF(L348="BR",'Impostos e Frete'!$F$6,IF(L348="EU",'Impostos e Frete'!$I$3,IF(L348="CN",'Impostos e Frete'!$I$4,IF(L348="JP",'Impostos e Frete'!$I$5,IF(L348="RU",'Impostos e Frete'!$I$7,"ERRO")))))</f>
        <v>0.1410816</v>
      </c>
      <c r="CA348" s="210">
        <f>VLOOKUP(L348,'Impostos e Frete'!$A$3:$B$7,2,0)*'Preços e Condições'!BY348</f>
        <v>2.3240099999999999</v>
      </c>
      <c r="CB348" s="147">
        <f t="shared" si="66"/>
        <v>0</v>
      </c>
      <c r="CC348" s="147">
        <f>IF(X348="BRL",'Impostos e Frete'!$B$11,'Impostos e Frete'!$B$12)</f>
        <v>9.1999999999999998E-2</v>
      </c>
      <c r="CD348" s="211">
        <f t="shared" ca="1" si="67"/>
        <v>20.434091599999999</v>
      </c>
      <c r="CE348" s="212">
        <f t="shared" ca="1" si="68"/>
        <v>1.328215954</v>
      </c>
      <c r="CF348" s="213">
        <f>VLOOKUP(L348,'Impostos e Frete'!$A$3:$C$7,3,0)</f>
        <v>105</v>
      </c>
      <c r="CG348" s="213">
        <f t="shared" si="69"/>
        <v>30</v>
      </c>
      <c r="CH348" s="213">
        <f t="shared" si="70"/>
        <v>-75</v>
      </c>
      <c r="CI348" s="214">
        <f t="shared" ca="1" si="71"/>
        <v>0.77492057874622944</v>
      </c>
      <c r="CJ348" s="215">
        <f t="shared" ca="1" si="72"/>
        <v>21.209012178746228</v>
      </c>
      <c r="CK348" s="216">
        <f t="shared" ca="1" si="73"/>
        <v>1.3785857916185049</v>
      </c>
    </row>
    <row r="349" spans="1:89">
      <c r="A349" s="176">
        <v>19533</v>
      </c>
      <c r="B349" s="177">
        <v>104</v>
      </c>
      <c r="C349" s="178">
        <v>70</v>
      </c>
      <c r="D349" s="178">
        <v>1270</v>
      </c>
      <c r="E349" s="178" t="s">
        <v>50</v>
      </c>
      <c r="F349" s="179" t="s">
        <v>108</v>
      </c>
      <c r="G349" s="189" t="s">
        <v>439</v>
      </c>
      <c r="H349" s="178" t="s">
        <v>43</v>
      </c>
      <c r="I349" s="178" t="s">
        <v>118</v>
      </c>
      <c r="J349" s="178"/>
      <c r="K349" s="178"/>
      <c r="L349" s="178" t="s">
        <v>59</v>
      </c>
      <c r="M349" s="178">
        <v>30</v>
      </c>
      <c r="N349" s="178">
        <v>500</v>
      </c>
      <c r="O349" s="178"/>
      <c r="P349" s="178"/>
      <c r="Q349" s="178"/>
      <c r="R349" s="178" t="s">
        <v>19</v>
      </c>
      <c r="S349" s="181"/>
      <c r="T349" s="181"/>
      <c r="U349" s="182"/>
      <c r="V349" s="182" t="s">
        <v>35</v>
      </c>
      <c r="W349" s="183">
        <v>80</v>
      </c>
      <c r="X349" s="182" t="s">
        <v>51</v>
      </c>
      <c r="Y349" s="184">
        <v>2500</v>
      </c>
      <c r="Z349" s="184">
        <v>2500</v>
      </c>
      <c r="AA349" s="184">
        <v>2500</v>
      </c>
      <c r="AB349" s="184">
        <v>2500</v>
      </c>
      <c r="AC349" s="184">
        <v>2500</v>
      </c>
      <c r="AD349" s="184">
        <v>2500</v>
      </c>
      <c r="AE349" s="184">
        <v>2200</v>
      </c>
      <c r="AF349" s="184">
        <v>2200</v>
      </c>
      <c r="AG349" s="184">
        <v>2000</v>
      </c>
      <c r="AH349" s="184">
        <v>1950</v>
      </c>
      <c r="AI349" s="184">
        <v>1950</v>
      </c>
      <c r="AJ349" s="184">
        <v>1950</v>
      </c>
      <c r="AK349" s="184">
        <v>1950</v>
      </c>
      <c r="AL349" s="184">
        <v>1950</v>
      </c>
      <c r="AM349" s="184">
        <v>1950</v>
      </c>
      <c r="AN349" s="184">
        <v>1950</v>
      </c>
      <c r="AO349" s="184">
        <v>1950</v>
      </c>
      <c r="AP349" s="184">
        <v>1950</v>
      </c>
      <c r="AQ349" s="184">
        <v>1950</v>
      </c>
      <c r="AR349" s="184">
        <v>2050</v>
      </c>
      <c r="AS349" s="184">
        <v>2050</v>
      </c>
      <c r="AT349" s="184">
        <v>2050</v>
      </c>
      <c r="AU349" s="184">
        <v>2050</v>
      </c>
      <c r="AV349" s="184">
        <v>2050</v>
      </c>
      <c r="AW349" s="184">
        <v>2660</v>
      </c>
      <c r="AX349" s="184">
        <v>2660</v>
      </c>
      <c r="AY349" s="146">
        <f t="shared" si="75"/>
        <v>2160</v>
      </c>
      <c r="AZ349" s="146">
        <f t="shared" si="76"/>
        <v>2160</v>
      </c>
      <c r="BA349" s="146">
        <f t="shared" si="76"/>
        <v>2160</v>
      </c>
      <c r="BB349" s="184"/>
      <c r="BC349" s="184"/>
      <c r="BD349" s="184"/>
      <c r="BE349" s="184"/>
      <c r="BF349" s="184">
        <v>2330</v>
      </c>
      <c r="BG349" s="184">
        <v>2330</v>
      </c>
      <c r="BH349" s="184">
        <v>2330</v>
      </c>
      <c r="BI349" s="184"/>
      <c r="BJ349" s="184"/>
      <c r="BK349" s="184"/>
      <c r="BL349" s="184">
        <v>2890</v>
      </c>
      <c r="BM349" s="184">
        <v>2890</v>
      </c>
      <c r="BN349" s="184">
        <v>2890</v>
      </c>
      <c r="BO349" s="184">
        <v>2450</v>
      </c>
      <c r="BP349" s="184">
        <v>2450</v>
      </c>
      <c r="BQ349" s="184">
        <v>2450</v>
      </c>
      <c r="BR349" s="184"/>
      <c r="BS349" s="184"/>
      <c r="BT349" s="184"/>
      <c r="BU349" s="146" cm="1">
        <f t="array" ref="BU349">LOOKUP(2,1/(Y349:BT349&lt;&gt;""),Y349:BH349)</f>
        <v>2450</v>
      </c>
      <c r="BV349" s="145" cm="1">
        <f t="array" aca="1" ref="BV349" ca="1">_xlfn.LET(
    _xlpm.last_col_idx, LOOKUP(2, 1/(Y349:BT349&lt;&gt;""), COLUMN(Y349:BT349) - COLUMN(Y349) + 1),
    _xlpm.header_val, INDEX($Y$3:$BT$3, 1, _xlpm.last_col_idx),
    _xlpm.header_date, IF(ISNUMBER(_xlpm.header_val), _xlpm.header_val, DATEVALUE(_xlpm.header_val)),
    IF(_xlpm.header_date &gt; TODAY(), TODAY(), _xlpm.header_date)
)</f>
        <v>46212</v>
      </c>
      <c r="BW349" s="209" cm="1">
        <f t="array" ref="BW349">(LOOKUP(2,1/(BH349:BT349&lt;&gt;""),BH349:BT349))/(INDEX(BH349:BT349,MATCH(TRUE,INDEX((BH349:BT349&lt;&gt;0),0),0)))-1</f>
        <v>5.1502145922746712E-2</v>
      </c>
      <c r="BX349" s="210">
        <f t="shared" si="64"/>
        <v>2.4500000000000002</v>
      </c>
      <c r="BY349" s="210">
        <f t="shared" si="65"/>
        <v>14.455000000000002</v>
      </c>
      <c r="BZ349" s="210">
        <f ca="1">IF(L349="BR",'Impostos e Frete'!$F$6,IF(L349="EU",'Impostos e Frete'!$I$3,IF(L349="CN",'Impostos e Frete'!$I$4,IF(L349="JP",'Impostos e Frete'!$I$5,IF(L349="RU",'Impostos e Frete'!$I$7,"ERRO")))))</f>
        <v>0.1410816</v>
      </c>
      <c r="CA349" s="210">
        <f>VLOOKUP(L349,'Impostos e Frete'!$A$3:$B$7,2,0)*'Preços e Condições'!BY349</f>
        <v>1.8791500000000003</v>
      </c>
      <c r="CB349" s="147">
        <f t="shared" si="66"/>
        <v>0</v>
      </c>
      <c r="CC349" s="147">
        <f>IF(X349="BRL",'Impostos e Frete'!$B$11,'Impostos e Frete'!$B$12)</f>
        <v>9.1999999999999998E-2</v>
      </c>
      <c r="CD349" s="211">
        <f t="shared" ca="1" si="67"/>
        <v>16.5672316</v>
      </c>
      <c r="CE349" s="212">
        <f t="shared" ca="1" si="68"/>
        <v>1.1597062119999999</v>
      </c>
      <c r="CF349" s="213">
        <f>VLOOKUP(L349,'Impostos e Frete'!$A$3:$C$7,3,0)</f>
        <v>105</v>
      </c>
      <c r="CG349" s="213">
        <f t="shared" si="69"/>
        <v>30</v>
      </c>
      <c r="CH349" s="213">
        <f t="shared" si="70"/>
        <v>-75</v>
      </c>
      <c r="CI349" s="214">
        <f t="shared" ca="1" si="71"/>
        <v>0.62827792646749359</v>
      </c>
      <c r="CJ349" s="215">
        <f t="shared" ca="1" si="72"/>
        <v>17.195509526467493</v>
      </c>
      <c r="CK349" s="216">
        <f t="shared" ca="1" si="73"/>
        <v>1.2036856668527245</v>
      </c>
    </row>
    <row r="350" spans="1:89">
      <c r="A350" s="176">
        <v>19533</v>
      </c>
      <c r="B350" s="177">
        <v>104</v>
      </c>
      <c r="C350" s="178">
        <v>70</v>
      </c>
      <c r="D350" s="178">
        <v>1270</v>
      </c>
      <c r="E350" s="178" t="s">
        <v>50</v>
      </c>
      <c r="F350" s="179" t="s">
        <v>108</v>
      </c>
      <c r="G350" s="189" t="s">
        <v>439</v>
      </c>
      <c r="H350" s="178" t="s">
        <v>43</v>
      </c>
      <c r="I350" s="178" t="s">
        <v>118</v>
      </c>
      <c r="J350" s="178"/>
      <c r="K350" s="178"/>
      <c r="L350" s="178" t="s">
        <v>59</v>
      </c>
      <c r="M350" s="178">
        <v>30</v>
      </c>
      <c r="N350" s="178">
        <v>500</v>
      </c>
      <c r="O350" s="178"/>
      <c r="P350" s="178"/>
      <c r="Q350" s="178"/>
      <c r="R350" s="178" t="s">
        <v>19</v>
      </c>
      <c r="S350" s="181"/>
      <c r="T350" s="181"/>
      <c r="U350" s="182"/>
      <c r="V350" s="182" t="s">
        <v>35</v>
      </c>
      <c r="W350" s="183">
        <v>50</v>
      </c>
      <c r="X350" s="182" t="s">
        <v>51</v>
      </c>
      <c r="Y350" s="184">
        <v>2700</v>
      </c>
      <c r="Z350" s="184">
        <v>2700</v>
      </c>
      <c r="AA350" s="184">
        <v>2700</v>
      </c>
      <c r="AB350" s="184">
        <v>2700</v>
      </c>
      <c r="AC350" s="184">
        <v>2700</v>
      </c>
      <c r="AD350" s="184">
        <v>2700</v>
      </c>
      <c r="AE350" s="184">
        <v>2400</v>
      </c>
      <c r="AF350" s="184">
        <v>2400</v>
      </c>
      <c r="AG350" s="184">
        <v>2400</v>
      </c>
      <c r="AH350" s="184">
        <v>2150</v>
      </c>
      <c r="AI350" s="184">
        <v>2150</v>
      </c>
      <c r="AJ350" s="184">
        <v>2150</v>
      </c>
      <c r="AK350" s="184">
        <v>2150</v>
      </c>
      <c r="AL350" s="184">
        <v>2150</v>
      </c>
      <c r="AM350" s="184">
        <v>2150</v>
      </c>
      <c r="AN350" s="184">
        <v>2150</v>
      </c>
      <c r="AO350" s="184">
        <v>2150</v>
      </c>
      <c r="AP350" s="184">
        <v>2150</v>
      </c>
      <c r="AQ350" s="184">
        <v>2170</v>
      </c>
      <c r="AR350" s="184">
        <v>2250</v>
      </c>
      <c r="AS350" s="184">
        <v>2250</v>
      </c>
      <c r="AT350" s="184">
        <v>2250</v>
      </c>
      <c r="AU350" s="184">
        <v>2250</v>
      </c>
      <c r="AV350" s="184">
        <v>2250</v>
      </c>
      <c r="AW350" s="184">
        <v>2680</v>
      </c>
      <c r="AX350" s="184">
        <v>2680</v>
      </c>
      <c r="AY350" s="146">
        <f t="shared" si="75"/>
        <v>2180</v>
      </c>
      <c r="AZ350" s="146">
        <f t="shared" si="76"/>
        <v>2180</v>
      </c>
      <c r="BA350" s="146">
        <f t="shared" si="76"/>
        <v>2180</v>
      </c>
      <c r="BB350" s="184"/>
      <c r="BC350" s="184"/>
      <c r="BD350" s="184"/>
      <c r="BE350" s="184"/>
      <c r="BF350" s="184">
        <v>2530</v>
      </c>
      <c r="BG350" s="184">
        <v>2530</v>
      </c>
      <c r="BH350" s="184">
        <v>2530</v>
      </c>
      <c r="BI350" s="184"/>
      <c r="BJ350" s="184"/>
      <c r="BK350" s="184"/>
      <c r="BL350" s="184">
        <v>2910</v>
      </c>
      <c r="BM350" s="184">
        <v>2910</v>
      </c>
      <c r="BN350" s="184">
        <v>2910</v>
      </c>
      <c r="BO350" s="184">
        <v>2650</v>
      </c>
      <c r="BP350" s="184">
        <v>2650</v>
      </c>
      <c r="BQ350" s="184">
        <v>2650</v>
      </c>
      <c r="BR350" s="184"/>
      <c r="BS350" s="184"/>
      <c r="BT350" s="184"/>
      <c r="BU350" s="146" cm="1">
        <f t="array" ref="BU350">LOOKUP(2,1/(Y350:BT350&lt;&gt;""),Y350:BH350)</f>
        <v>2650</v>
      </c>
      <c r="BV350" s="145" cm="1">
        <f t="array" aca="1" ref="BV350" ca="1">_xlfn.LET(
    _xlpm.last_col_idx, LOOKUP(2, 1/(Y350:BT350&lt;&gt;""), COLUMN(Y350:BT350) - COLUMN(Y350) + 1),
    _xlpm.header_val, INDEX($Y$3:$BT$3, 1, _xlpm.last_col_idx),
    _xlpm.header_date, IF(ISNUMBER(_xlpm.header_val), _xlpm.header_val, DATEVALUE(_xlpm.header_val)),
    IF(_xlpm.header_date &gt; TODAY(), TODAY(), _xlpm.header_date)
)</f>
        <v>46212</v>
      </c>
      <c r="BW350" s="209" cm="1">
        <f t="array" ref="BW350">(LOOKUP(2,1/(BH350:BT350&lt;&gt;""),BH350:BT350))/(INDEX(BH350:BT350,MATCH(TRUE,INDEX((BH350:BT350&lt;&gt;0),0),0)))-1</f>
        <v>4.743083003952564E-2</v>
      </c>
      <c r="BX350" s="210">
        <f t="shared" si="64"/>
        <v>2.65</v>
      </c>
      <c r="BY350" s="210">
        <f t="shared" si="65"/>
        <v>15.635</v>
      </c>
      <c r="BZ350" s="210">
        <f ca="1">IF(L350="BR",'Impostos e Frete'!$F$6,IF(L350="EU",'Impostos e Frete'!$I$3,IF(L350="CN",'Impostos e Frete'!$I$4,IF(L350="JP",'Impostos e Frete'!$I$5,IF(L350="RU",'Impostos e Frete'!$I$7,"ERRO")))))</f>
        <v>0.1410816</v>
      </c>
      <c r="CA350" s="210">
        <f>VLOOKUP(L350,'Impostos e Frete'!$A$3:$B$7,2,0)*'Preços e Condições'!BY350</f>
        <v>2.0325500000000001</v>
      </c>
      <c r="CB350" s="147">
        <f t="shared" si="66"/>
        <v>0</v>
      </c>
      <c r="CC350" s="147">
        <f>IF(X350="BRL",'Impostos e Frete'!$B$11,'Impostos e Frete'!$B$12)</f>
        <v>9.1999999999999998E-2</v>
      </c>
      <c r="CD350" s="211">
        <f t="shared" ca="1" si="67"/>
        <v>17.900631599999997</v>
      </c>
      <c r="CE350" s="212">
        <f t="shared" ca="1" si="68"/>
        <v>1.2530442119999998</v>
      </c>
      <c r="CF350" s="213">
        <f>VLOOKUP(L350,'Impostos e Frete'!$A$3:$C$7,3,0)</f>
        <v>105</v>
      </c>
      <c r="CG350" s="213">
        <f t="shared" si="69"/>
        <v>30</v>
      </c>
      <c r="CH350" s="213">
        <f t="shared" si="70"/>
        <v>-75</v>
      </c>
      <c r="CI350" s="214">
        <f t="shared" ca="1" si="71"/>
        <v>0.6788443582877477</v>
      </c>
      <c r="CJ350" s="215">
        <f t="shared" ca="1" si="72"/>
        <v>18.579475958287745</v>
      </c>
      <c r="CK350" s="216">
        <f t="shared" ca="1" si="73"/>
        <v>1.3005633170801423</v>
      </c>
    </row>
    <row r="351" spans="1:89">
      <c r="A351" s="176">
        <v>19533</v>
      </c>
      <c r="B351" s="177">
        <v>104</v>
      </c>
      <c r="C351" s="178">
        <v>70</v>
      </c>
      <c r="D351" s="178">
        <v>1270</v>
      </c>
      <c r="E351" s="178" t="s">
        <v>50</v>
      </c>
      <c r="F351" s="179" t="s">
        <v>108</v>
      </c>
      <c r="G351" s="189" t="s">
        <v>439</v>
      </c>
      <c r="H351" s="178" t="s">
        <v>43</v>
      </c>
      <c r="I351" s="178" t="s">
        <v>118</v>
      </c>
      <c r="J351" s="178"/>
      <c r="K351" s="178"/>
      <c r="L351" s="178" t="s">
        <v>59</v>
      </c>
      <c r="M351" s="178">
        <v>30</v>
      </c>
      <c r="N351" s="178">
        <v>500</v>
      </c>
      <c r="O351" s="178"/>
      <c r="P351" s="178"/>
      <c r="Q351" s="178"/>
      <c r="R351" s="178" t="s">
        <v>19</v>
      </c>
      <c r="S351" s="181"/>
      <c r="T351" s="181"/>
      <c r="U351" s="182"/>
      <c r="V351" s="182" t="s">
        <v>35</v>
      </c>
      <c r="W351" s="183">
        <v>20</v>
      </c>
      <c r="X351" s="182" t="s">
        <v>51</v>
      </c>
      <c r="Y351" s="184">
        <v>3200</v>
      </c>
      <c r="Z351" s="184">
        <v>3200</v>
      </c>
      <c r="AA351" s="184">
        <v>3200</v>
      </c>
      <c r="AB351" s="184">
        <v>3200</v>
      </c>
      <c r="AC351" s="184">
        <v>3200</v>
      </c>
      <c r="AD351" s="184">
        <v>3200</v>
      </c>
      <c r="AE351" s="184">
        <v>2900</v>
      </c>
      <c r="AF351" s="184">
        <v>2900</v>
      </c>
      <c r="AG351" s="184">
        <v>2900</v>
      </c>
      <c r="AH351" s="184">
        <v>2650</v>
      </c>
      <c r="AI351" s="184">
        <v>2650</v>
      </c>
      <c r="AJ351" s="184">
        <v>2650</v>
      </c>
      <c r="AK351" s="184">
        <v>2650</v>
      </c>
      <c r="AL351" s="184">
        <v>2650</v>
      </c>
      <c r="AM351" s="184">
        <v>2650</v>
      </c>
      <c r="AN351" s="184">
        <v>2650</v>
      </c>
      <c r="AO351" s="184">
        <v>2650</v>
      </c>
      <c r="AP351" s="184">
        <v>2650</v>
      </c>
      <c r="AQ351" s="184">
        <v>2670</v>
      </c>
      <c r="AR351" s="184">
        <v>2750</v>
      </c>
      <c r="AS351" s="184">
        <v>2750</v>
      </c>
      <c r="AT351" s="184">
        <v>2750</v>
      </c>
      <c r="AU351" s="184">
        <v>2750</v>
      </c>
      <c r="AV351" s="184">
        <v>2750</v>
      </c>
      <c r="AW351" s="184">
        <v>2730</v>
      </c>
      <c r="AX351" s="184">
        <v>2730</v>
      </c>
      <c r="AY351" s="146">
        <f t="shared" si="75"/>
        <v>2230</v>
      </c>
      <c r="AZ351" s="146">
        <f t="shared" si="76"/>
        <v>2230</v>
      </c>
      <c r="BA351" s="146">
        <f t="shared" si="76"/>
        <v>2230</v>
      </c>
      <c r="BB351" s="184"/>
      <c r="BC351" s="184"/>
      <c r="BD351" s="184"/>
      <c r="BE351" s="184"/>
      <c r="BF351" s="184">
        <v>3030</v>
      </c>
      <c r="BG351" s="184">
        <v>3030</v>
      </c>
      <c r="BH351" s="184">
        <v>3030</v>
      </c>
      <c r="BI351" s="184"/>
      <c r="BJ351" s="184"/>
      <c r="BK351" s="184"/>
      <c r="BL351" s="184">
        <v>2960</v>
      </c>
      <c r="BM351" s="184">
        <v>2960</v>
      </c>
      <c r="BN351" s="184">
        <v>2960</v>
      </c>
      <c r="BO351" s="184">
        <v>3150</v>
      </c>
      <c r="BP351" s="184">
        <v>3150</v>
      </c>
      <c r="BQ351" s="184">
        <v>3150</v>
      </c>
      <c r="BR351" s="184"/>
      <c r="BS351" s="184"/>
      <c r="BT351" s="184"/>
      <c r="BU351" s="146" cm="1">
        <f t="array" ref="BU351">LOOKUP(2,1/(Y351:BT351&lt;&gt;""),Y351:BH351)</f>
        <v>3150</v>
      </c>
      <c r="BV351" s="145" cm="1">
        <f t="array" aca="1" ref="BV351" ca="1">_xlfn.LET(
    _xlpm.last_col_idx, LOOKUP(2, 1/(Y351:BT351&lt;&gt;""), COLUMN(Y351:BT351) - COLUMN(Y351) + 1),
    _xlpm.header_val, INDEX($Y$3:$BT$3, 1, _xlpm.last_col_idx),
    _xlpm.header_date, IF(ISNUMBER(_xlpm.header_val), _xlpm.header_val, DATEVALUE(_xlpm.header_val)),
    IF(_xlpm.header_date &gt; TODAY(), TODAY(), _xlpm.header_date)
)</f>
        <v>46212</v>
      </c>
      <c r="BW351" s="209" cm="1">
        <f t="array" ref="BW351">(LOOKUP(2,1/(BH351:BT351&lt;&gt;""),BH351:BT351))/(INDEX(BH351:BT351,MATCH(TRUE,INDEX((BH351:BT351&lt;&gt;0),0),0)))-1</f>
        <v>3.9603960396039639E-2</v>
      </c>
      <c r="BX351" s="210">
        <f t="shared" si="64"/>
        <v>3.15</v>
      </c>
      <c r="BY351" s="210">
        <f t="shared" si="65"/>
        <v>18.585000000000001</v>
      </c>
      <c r="BZ351" s="210">
        <f ca="1">IF(L351="BR",'Impostos e Frete'!$F$6,IF(L351="EU",'Impostos e Frete'!$I$3,IF(L351="CN",'Impostos e Frete'!$I$4,IF(L351="JP",'Impostos e Frete'!$I$5,IF(L351="RU",'Impostos e Frete'!$I$7,"ERRO")))))</f>
        <v>0.1410816</v>
      </c>
      <c r="CA351" s="210">
        <f>VLOOKUP(L351,'Impostos e Frete'!$A$3:$B$7,2,0)*'Preços e Condições'!BY351</f>
        <v>2.4160500000000003</v>
      </c>
      <c r="CB351" s="147">
        <f t="shared" si="66"/>
        <v>0</v>
      </c>
      <c r="CC351" s="147">
        <f>IF(X351="BRL",'Impostos e Frete'!$B$11,'Impostos e Frete'!$B$12)</f>
        <v>9.1999999999999998E-2</v>
      </c>
      <c r="CD351" s="211">
        <f t="shared" ca="1" si="67"/>
        <v>21.234131599999998</v>
      </c>
      <c r="CE351" s="212">
        <f t="shared" ca="1" si="68"/>
        <v>1.4863892119999997</v>
      </c>
      <c r="CF351" s="213">
        <f>VLOOKUP(L351,'Impostos e Frete'!$A$3:$C$7,3,0)</f>
        <v>105</v>
      </c>
      <c r="CG351" s="213">
        <f t="shared" si="69"/>
        <v>30</v>
      </c>
      <c r="CH351" s="213">
        <f t="shared" si="70"/>
        <v>-75</v>
      </c>
      <c r="CI351" s="214">
        <f t="shared" ca="1" si="71"/>
        <v>0.80526043783838119</v>
      </c>
      <c r="CJ351" s="215">
        <f t="shared" ca="1" si="72"/>
        <v>22.039392037838379</v>
      </c>
      <c r="CK351" s="216">
        <f t="shared" ca="1" si="73"/>
        <v>1.5427574426486865</v>
      </c>
    </row>
    <row r="352" spans="1:89">
      <c r="A352" s="176">
        <v>19534</v>
      </c>
      <c r="B352" s="177">
        <v>104</v>
      </c>
      <c r="C352" s="178">
        <v>78</v>
      </c>
      <c r="D352" s="178">
        <v>1855</v>
      </c>
      <c r="E352" s="178" t="s">
        <v>49</v>
      </c>
      <c r="F352" s="179" t="s">
        <v>108</v>
      </c>
      <c r="G352" s="189" t="s">
        <v>114</v>
      </c>
      <c r="H352" s="178" t="s">
        <v>43</v>
      </c>
      <c r="I352" s="178" t="s">
        <v>118</v>
      </c>
      <c r="J352" s="178"/>
      <c r="K352" s="178"/>
      <c r="L352" s="178" t="s">
        <v>59</v>
      </c>
      <c r="M352" s="178">
        <v>30</v>
      </c>
      <c r="N352" s="178">
        <v>500</v>
      </c>
      <c r="O352" s="178"/>
      <c r="P352" s="178"/>
      <c r="Q352" s="178"/>
      <c r="R352" s="178" t="s">
        <v>19</v>
      </c>
      <c r="S352" s="181"/>
      <c r="T352" s="181"/>
      <c r="U352" s="182"/>
      <c r="V352" s="182" t="s">
        <v>35</v>
      </c>
      <c r="W352" s="183">
        <v>200</v>
      </c>
      <c r="X352" s="182" t="s">
        <v>51</v>
      </c>
      <c r="Y352" s="184">
        <v>2500</v>
      </c>
      <c r="Z352" s="184">
        <v>2500</v>
      </c>
      <c r="AA352" s="184">
        <v>2500</v>
      </c>
      <c r="AB352" s="184">
        <v>2500</v>
      </c>
      <c r="AC352" s="184">
        <v>2500</v>
      </c>
      <c r="AD352" s="184">
        <v>2500</v>
      </c>
      <c r="AE352" s="184">
        <v>2200</v>
      </c>
      <c r="AF352" s="184">
        <v>2200</v>
      </c>
      <c r="AG352" s="184">
        <v>2000</v>
      </c>
      <c r="AH352" s="184">
        <v>1950</v>
      </c>
      <c r="AI352" s="184">
        <v>1950</v>
      </c>
      <c r="AJ352" s="184">
        <v>1950</v>
      </c>
      <c r="AK352" s="184">
        <v>1950</v>
      </c>
      <c r="AL352" s="184">
        <v>1950</v>
      </c>
      <c r="AM352" s="184">
        <v>1950</v>
      </c>
      <c r="AN352" s="184">
        <v>1900</v>
      </c>
      <c r="AO352" s="184">
        <v>1900</v>
      </c>
      <c r="AP352" s="184">
        <v>1900</v>
      </c>
      <c r="AQ352" s="184">
        <v>1900</v>
      </c>
      <c r="AR352" s="184">
        <v>1900</v>
      </c>
      <c r="AS352" s="184">
        <v>1900</v>
      </c>
      <c r="AT352" s="184">
        <v>1900</v>
      </c>
      <c r="AU352" s="184"/>
      <c r="AV352" s="184"/>
      <c r="AW352" s="184">
        <v>2660</v>
      </c>
      <c r="AX352" s="184">
        <v>2660</v>
      </c>
      <c r="AY352" s="146">
        <f t="shared" si="75"/>
        <v>2160</v>
      </c>
      <c r="AZ352" s="146">
        <f t="shared" si="76"/>
        <v>2160</v>
      </c>
      <c r="BA352" s="146">
        <f t="shared" si="76"/>
        <v>2160</v>
      </c>
      <c r="BB352" s="184"/>
      <c r="BC352" s="184"/>
      <c r="BD352" s="184"/>
      <c r="BE352" s="184"/>
      <c r="BF352" s="184"/>
      <c r="BG352" s="146">
        <f>2160-500</f>
        <v>1660</v>
      </c>
      <c r="BH352" s="146">
        <f>2160-500</f>
        <v>1660</v>
      </c>
      <c r="BI352" s="184"/>
      <c r="BJ352" s="184"/>
      <c r="BK352" s="184"/>
      <c r="BL352" s="184"/>
      <c r="BM352" s="184"/>
      <c r="BN352" s="184"/>
      <c r="BO352" s="184"/>
      <c r="BP352" s="184"/>
      <c r="BQ352" s="184"/>
      <c r="BR352" s="184"/>
      <c r="BS352" s="184"/>
      <c r="BT352" s="184"/>
      <c r="BU352" s="146" cm="1">
        <f t="array" ref="BU352">LOOKUP(2,1/(Y352:BT352&lt;&gt;""),Y352:BH352)</f>
        <v>1660</v>
      </c>
      <c r="BV352" s="145" cm="1">
        <f t="array" aca="1" ref="BV352" ca="1">_xlfn.LET(
    _xlpm.last_col_idx, LOOKUP(2, 1/(Y352:BT352&lt;&gt;""), COLUMN(Y352:BT352) - COLUMN(Y352) + 1),
    _xlpm.header_val, INDEX($Y$3:$BT$3, 1, _xlpm.last_col_idx),
    _xlpm.header_date, IF(ISNUMBER(_xlpm.header_val), _xlpm.header_val, DATEVALUE(_xlpm.header_val)),
    IF(_xlpm.header_date &gt; TODAY(), TODAY(), _xlpm.header_date)
)</f>
        <v>45992</v>
      </c>
      <c r="BW352" s="209" cm="1">
        <f t="array" ref="BW352">(LOOKUP(2,1/(BH352:BT352&lt;&gt;""),BH352:BT352))/(INDEX(BH352:BT352,MATCH(TRUE,INDEX((BH352:BT352&lt;&gt;0),0),0)))-1</f>
        <v>0</v>
      </c>
      <c r="BX352" s="210">
        <f t="shared" si="64"/>
        <v>1.66</v>
      </c>
      <c r="BY352" s="210">
        <f t="shared" si="65"/>
        <v>9.7940000000000005</v>
      </c>
      <c r="BZ352" s="210">
        <f ca="1">IF(L352="BR",'Impostos e Frete'!$F$6,IF(L352="EU",'Impostos e Frete'!$I$3,IF(L352="CN",'Impostos e Frete'!$I$4,IF(L352="JP",'Impostos e Frete'!$I$5,IF(L352="RU",'Impostos e Frete'!$I$7,"ERRO")))))</f>
        <v>0.1410816</v>
      </c>
      <c r="CA352" s="210">
        <f>VLOOKUP(L352,'Impostos e Frete'!$A$3:$B$7,2,0)*'Preços e Condições'!BY352</f>
        <v>1.27322</v>
      </c>
      <c r="CB352" s="147">
        <f t="shared" si="66"/>
        <v>0</v>
      </c>
      <c r="CC352" s="147">
        <f>IF(X352="BRL",'Impostos e Frete'!$B$11,'Impostos e Frete'!$B$12)</f>
        <v>9.1999999999999998E-2</v>
      </c>
      <c r="CD352" s="211">
        <f t="shared" ca="1" si="67"/>
        <v>11.300301600000001</v>
      </c>
      <c r="CE352" s="212">
        <f t="shared" ca="1" si="68"/>
        <v>0.88142352480000008</v>
      </c>
      <c r="CF352" s="213">
        <f>VLOOKUP(L352,'Impostos e Frete'!$A$3:$C$7,3,0)</f>
        <v>105</v>
      </c>
      <c r="CG352" s="213">
        <f t="shared" si="69"/>
        <v>30</v>
      </c>
      <c r="CH352" s="213">
        <f t="shared" si="70"/>
        <v>-75</v>
      </c>
      <c r="CI352" s="214">
        <f t="shared" ca="1" si="71"/>
        <v>0.42854052077749039</v>
      </c>
      <c r="CJ352" s="215">
        <f t="shared" ca="1" si="72"/>
        <v>11.728842120777491</v>
      </c>
      <c r="CK352" s="216">
        <f t="shared" ca="1" si="73"/>
        <v>0.91484968542064438</v>
      </c>
    </row>
    <row r="353" spans="1:89">
      <c r="A353" s="176">
        <v>19534</v>
      </c>
      <c r="B353" s="177">
        <v>104</v>
      </c>
      <c r="C353" s="178">
        <v>78</v>
      </c>
      <c r="D353" s="178">
        <v>1855</v>
      </c>
      <c r="E353" s="178" t="s">
        <v>49</v>
      </c>
      <c r="F353" s="179" t="s">
        <v>108</v>
      </c>
      <c r="G353" s="189" t="s">
        <v>114</v>
      </c>
      <c r="H353" s="178" t="s">
        <v>43</v>
      </c>
      <c r="I353" s="178" t="s">
        <v>118</v>
      </c>
      <c r="J353" s="178"/>
      <c r="K353" s="178"/>
      <c r="L353" s="178" t="s">
        <v>59</v>
      </c>
      <c r="M353" s="178">
        <v>30</v>
      </c>
      <c r="N353" s="178">
        <v>500</v>
      </c>
      <c r="O353" s="178"/>
      <c r="P353" s="178"/>
      <c r="Q353" s="178"/>
      <c r="R353" s="178" t="s">
        <v>19</v>
      </c>
      <c r="S353" s="181"/>
      <c r="T353" s="181"/>
      <c r="U353" s="182"/>
      <c r="V353" s="182" t="s">
        <v>35</v>
      </c>
      <c r="W353" s="183">
        <v>80</v>
      </c>
      <c r="X353" s="182" t="s">
        <v>51</v>
      </c>
      <c r="Y353" s="184">
        <v>2500</v>
      </c>
      <c r="Z353" s="184">
        <v>2500</v>
      </c>
      <c r="AA353" s="184">
        <v>2500</v>
      </c>
      <c r="AB353" s="184">
        <v>2500</v>
      </c>
      <c r="AC353" s="184">
        <v>2500</v>
      </c>
      <c r="AD353" s="184">
        <v>2500</v>
      </c>
      <c r="AE353" s="184">
        <v>2200</v>
      </c>
      <c r="AF353" s="184">
        <v>2200</v>
      </c>
      <c r="AG353" s="184">
        <v>2000</v>
      </c>
      <c r="AH353" s="184">
        <v>1950</v>
      </c>
      <c r="AI353" s="184">
        <v>1950</v>
      </c>
      <c r="AJ353" s="184">
        <v>1950</v>
      </c>
      <c r="AK353" s="184">
        <v>1950</v>
      </c>
      <c r="AL353" s="184">
        <v>1950</v>
      </c>
      <c r="AM353" s="184">
        <v>1950</v>
      </c>
      <c r="AN353" s="184">
        <v>1950</v>
      </c>
      <c r="AO353" s="184">
        <v>1950</v>
      </c>
      <c r="AP353" s="184">
        <v>1950</v>
      </c>
      <c r="AQ353" s="184">
        <v>1950</v>
      </c>
      <c r="AR353" s="184">
        <v>2050</v>
      </c>
      <c r="AS353" s="184">
        <v>2050</v>
      </c>
      <c r="AT353" s="184">
        <v>2050</v>
      </c>
      <c r="AU353" s="184">
        <v>2050</v>
      </c>
      <c r="AV353" s="184">
        <v>2050</v>
      </c>
      <c r="AW353" s="184">
        <v>2660</v>
      </c>
      <c r="AX353" s="184">
        <v>2660</v>
      </c>
      <c r="AY353" s="146">
        <f t="shared" si="75"/>
        <v>2160</v>
      </c>
      <c r="AZ353" s="146">
        <f t="shared" si="76"/>
        <v>2160</v>
      </c>
      <c r="BA353" s="146">
        <f t="shared" si="76"/>
        <v>2160</v>
      </c>
      <c r="BB353" s="184"/>
      <c r="BC353" s="184"/>
      <c r="BD353" s="184"/>
      <c r="BE353" s="184"/>
      <c r="BF353" s="184">
        <v>1850</v>
      </c>
      <c r="BG353" s="184">
        <v>1850</v>
      </c>
      <c r="BH353" s="184">
        <v>1850</v>
      </c>
      <c r="BI353" s="184"/>
      <c r="BJ353" s="184"/>
      <c r="BK353" s="184"/>
      <c r="BL353" s="184">
        <v>1650</v>
      </c>
      <c r="BM353" s="184">
        <v>1650</v>
      </c>
      <c r="BN353" s="184">
        <v>1650</v>
      </c>
      <c r="BO353" s="184">
        <v>1650</v>
      </c>
      <c r="BP353" s="184">
        <v>1650</v>
      </c>
      <c r="BQ353" s="184">
        <v>1650</v>
      </c>
      <c r="BR353" s="184"/>
      <c r="BS353" s="184"/>
      <c r="BT353" s="184"/>
      <c r="BU353" s="146" cm="1">
        <f t="array" ref="BU353">LOOKUP(2,1/(Y353:BT353&lt;&gt;""),Y353:BH353)</f>
        <v>1650</v>
      </c>
      <c r="BV353" s="145" cm="1">
        <f t="array" aca="1" ref="BV353" ca="1">_xlfn.LET(
    _xlpm.last_col_idx, LOOKUP(2, 1/(Y353:BT353&lt;&gt;""), COLUMN(Y353:BT353) - COLUMN(Y353) + 1),
    _xlpm.header_val, INDEX($Y$3:$BT$3, 1, _xlpm.last_col_idx),
    _xlpm.header_date, IF(ISNUMBER(_xlpm.header_val), _xlpm.header_val, DATEVALUE(_xlpm.header_val)),
    IF(_xlpm.header_date &gt; TODAY(), TODAY(), _xlpm.header_date)
)</f>
        <v>46212</v>
      </c>
      <c r="BW353" s="209" cm="1">
        <f t="array" ref="BW353">(LOOKUP(2,1/(BH353:BT353&lt;&gt;""),BH353:BT353))/(INDEX(BH353:BT353,MATCH(TRUE,INDEX((BH353:BT353&lt;&gt;0),0),0)))-1</f>
        <v>-0.10810810810810811</v>
      </c>
      <c r="BX353" s="210">
        <f t="shared" si="64"/>
        <v>1.65</v>
      </c>
      <c r="BY353" s="210">
        <f t="shared" si="65"/>
        <v>9.7349999999999994</v>
      </c>
      <c r="BZ353" s="210">
        <f ca="1">IF(L353="BR",'Impostos e Frete'!$F$6,IF(L353="EU",'Impostos e Frete'!$I$3,IF(L353="CN",'Impostos e Frete'!$I$4,IF(L353="JP",'Impostos e Frete'!$I$5,IF(L353="RU",'Impostos e Frete'!$I$7,"ERRO")))))</f>
        <v>0.1410816</v>
      </c>
      <c r="CA353" s="210">
        <f>VLOOKUP(L353,'Impostos e Frete'!$A$3:$B$7,2,0)*'Preços e Condições'!BY353</f>
        <v>1.26555</v>
      </c>
      <c r="CB353" s="147">
        <f t="shared" si="66"/>
        <v>0</v>
      </c>
      <c r="CC353" s="147">
        <f>IF(X353="BRL",'Impostos e Frete'!$B$11,'Impostos e Frete'!$B$12)</f>
        <v>9.1999999999999998E-2</v>
      </c>
      <c r="CD353" s="211">
        <f t="shared" ca="1" si="67"/>
        <v>11.233631599999999</v>
      </c>
      <c r="CE353" s="212">
        <f t="shared" ca="1" si="68"/>
        <v>0.8762232647999999</v>
      </c>
      <c r="CF353" s="213">
        <f>VLOOKUP(L353,'Impostos e Frete'!$A$3:$C$7,3,0)</f>
        <v>105</v>
      </c>
      <c r="CG353" s="213">
        <f t="shared" si="69"/>
        <v>30</v>
      </c>
      <c r="CH353" s="213">
        <f t="shared" si="70"/>
        <v>-75</v>
      </c>
      <c r="CI353" s="214">
        <f t="shared" ca="1" si="71"/>
        <v>0.42601219918647715</v>
      </c>
      <c r="CJ353" s="215">
        <f t="shared" ca="1" si="72"/>
        <v>11.659643799186476</v>
      </c>
      <c r="CK353" s="216">
        <f t="shared" ca="1" si="73"/>
        <v>0.90945221633654516</v>
      </c>
    </row>
    <row r="354" spans="1:89">
      <c r="A354" s="176">
        <v>19534</v>
      </c>
      <c r="B354" s="177">
        <v>104</v>
      </c>
      <c r="C354" s="178">
        <v>78</v>
      </c>
      <c r="D354" s="178">
        <v>1855</v>
      </c>
      <c r="E354" s="178" t="s">
        <v>49</v>
      </c>
      <c r="F354" s="179" t="s">
        <v>108</v>
      </c>
      <c r="G354" s="189" t="s">
        <v>114</v>
      </c>
      <c r="H354" s="178" t="s">
        <v>43</v>
      </c>
      <c r="I354" s="178" t="s">
        <v>118</v>
      </c>
      <c r="J354" s="178"/>
      <c r="K354" s="178"/>
      <c r="L354" s="178" t="s">
        <v>59</v>
      </c>
      <c r="M354" s="178">
        <v>30</v>
      </c>
      <c r="N354" s="178">
        <v>500</v>
      </c>
      <c r="O354" s="178"/>
      <c r="P354" s="178"/>
      <c r="Q354" s="178"/>
      <c r="R354" s="178" t="s">
        <v>19</v>
      </c>
      <c r="S354" s="181"/>
      <c r="T354" s="181"/>
      <c r="U354" s="182"/>
      <c r="V354" s="182" t="s">
        <v>35</v>
      </c>
      <c r="W354" s="183">
        <v>50</v>
      </c>
      <c r="X354" s="182" t="s">
        <v>51</v>
      </c>
      <c r="Y354" s="184">
        <v>2700</v>
      </c>
      <c r="Z354" s="184">
        <v>2700</v>
      </c>
      <c r="AA354" s="184">
        <v>2700</v>
      </c>
      <c r="AB354" s="184">
        <v>2700</v>
      </c>
      <c r="AC354" s="184">
        <v>2700</v>
      </c>
      <c r="AD354" s="184">
        <v>2700</v>
      </c>
      <c r="AE354" s="184">
        <v>2400</v>
      </c>
      <c r="AF354" s="184">
        <v>2400</v>
      </c>
      <c r="AG354" s="184">
        <v>2400</v>
      </c>
      <c r="AH354" s="184">
        <v>2150</v>
      </c>
      <c r="AI354" s="184">
        <v>2150</v>
      </c>
      <c r="AJ354" s="184">
        <v>2150</v>
      </c>
      <c r="AK354" s="184">
        <v>2150</v>
      </c>
      <c r="AL354" s="184">
        <v>2150</v>
      </c>
      <c r="AM354" s="184">
        <v>2150</v>
      </c>
      <c r="AN354" s="184">
        <v>2150</v>
      </c>
      <c r="AO354" s="184">
        <v>2150</v>
      </c>
      <c r="AP354" s="184">
        <v>2150</v>
      </c>
      <c r="AQ354" s="184">
        <v>2170</v>
      </c>
      <c r="AR354" s="184">
        <v>2250</v>
      </c>
      <c r="AS354" s="184">
        <v>2250</v>
      </c>
      <c r="AT354" s="184">
        <v>2250</v>
      </c>
      <c r="AU354" s="184">
        <v>2250</v>
      </c>
      <c r="AV354" s="184">
        <v>2250</v>
      </c>
      <c r="AW354" s="184">
        <v>2680</v>
      </c>
      <c r="AX354" s="184">
        <v>2680</v>
      </c>
      <c r="AY354" s="146">
        <f t="shared" si="75"/>
        <v>2180</v>
      </c>
      <c r="AZ354" s="146">
        <f t="shared" si="76"/>
        <v>2180</v>
      </c>
      <c r="BA354" s="146">
        <f t="shared" si="76"/>
        <v>2180</v>
      </c>
      <c r="BB354" s="184"/>
      <c r="BC354" s="184"/>
      <c r="BD354" s="184"/>
      <c r="BE354" s="184"/>
      <c r="BF354" s="184">
        <v>1870</v>
      </c>
      <c r="BG354" s="184">
        <v>1870</v>
      </c>
      <c r="BH354" s="184">
        <v>1870</v>
      </c>
      <c r="BI354" s="184"/>
      <c r="BJ354" s="184"/>
      <c r="BK354" s="184"/>
      <c r="BL354" s="184">
        <v>1670</v>
      </c>
      <c r="BM354" s="184">
        <v>1670</v>
      </c>
      <c r="BN354" s="184">
        <v>1670</v>
      </c>
      <c r="BO354" s="184">
        <v>1850</v>
      </c>
      <c r="BP354" s="184">
        <v>1850</v>
      </c>
      <c r="BQ354" s="184">
        <v>1850</v>
      </c>
      <c r="BR354" s="184"/>
      <c r="BS354" s="184"/>
      <c r="BT354" s="184"/>
      <c r="BU354" s="146" cm="1">
        <f t="array" ref="BU354">LOOKUP(2,1/(Y354:BT354&lt;&gt;""),Y354:BH354)</f>
        <v>1850</v>
      </c>
      <c r="BV354" s="145" cm="1">
        <f t="array" aca="1" ref="BV354" ca="1">_xlfn.LET(
    _xlpm.last_col_idx, LOOKUP(2, 1/(Y354:BT354&lt;&gt;""), COLUMN(Y354:BT354) - COLUMN(Y354) + 1),
    _xlpm.header_val, INDEX($Y$3:$BT$3, 1, _xlpm.last_col_idx),
    _xlpm.header_date, IF(ISNUMBER(_xlpm.header_val), _xlpm.header_val, DATEVALUE(_xlpm.header_val)),
    IF(_xlpm.header_date &gt; TODAY(), TODAY(), _xlpm.header_date)
)</f>
        <v>46212</v>
      </c>
      <c r="BW354" s="209" cm="1">
        <f t="array" ref="BW354">(LOOKUP(2,1/(BH354:BT354&lt;&gt;""),BH354:BT354))/(INDEX(BH354:BT354,MATCH(TRUE,INDEX((BH354:BT354&lt;&gt;0),0),0)))-1</f>
        <v>-1.0695187165775444E-2</v>
      </c>
      <c r="BX354" s="210">
        <f t="shared" si="64"/>
        <v>1.85</v>
      </c>
      <c r="BY354" s="210">
        <f t="shared" si="65"/>
        <v>10.915000000000001</v>
      </c>
      <c r="BZ354" s="210">
        <f ca="1">IF(L354="BR",'Impostos e Frete'!$F$6,IF(L354="EU",'Impostos e Frete'!$I$3,IF(L354="CN",'Impostos e Frete'!$I$4,IF(L354="JP",'Impostos e Frete'!$I$5,IF(L354="RU",'Impostos e Frete'!$I$7,"ERRO")))))</f>
        <v>0.1410816</v>
      </c>
      <c r="CA354" s="210">
        <f>VLOOKUP(L354,'Impostos e Frete'!$A$3:$B$7,2,0)*'Preços e Condições'!BY354</f>
        <v>1.4189500000000002</v>
      </c>
      <c r="CB354" s="147">
        <f t="shared" si="66"/>
        <v>0</v>
      </c>
      <c r="CC354" s="147">
        <f>IF(X354="BRL",'Impostos e Frete'!$B$11,'Impostos e Frete'!$B$12)</f>
        <v>9.1999999999999998E-2</v>
      </c>
      <c r="CD354" s="211">
        <f t="shared" ca="1" si="67"/>
        <v>12.567031600000002</v>
      </c>
      <c r="CE354" s="212">
        <f t="shared" ca="1" si="68"/>
        <v>0.98022846480000014</v>
      </c>
      <c r="CF354" s="213">
        <f>VLOOKUP(L354,'Impostos e Frete'!$A$3:$C$7,3,0)</f>
        <v>105</v>
      </c>
      <c r="CG354" s="213">
        <f t="shared" si="69"/>
        <v>30</v>
      </c>
      <c r="CH354" s="213">
        <f t="shared" si="70"/>
        <v>-75</v>
      </c>
      <c r="CI354" s="214">
        <f t="shared" ca="1" si="71"/>
        <v>0.47657863100673126</v>
      </c>
      <c r="CJ354" s="215">
        <f t="shared" ca="1" si="72"/>
        <v>13.043610231006733</v>
      </c>
      <c r="CK354" s="216">
        <f t="shared" ca="1" si="73"/>
        <v>1.0174015980185251</v>
      </c>
    </row>
    <row r="355" spans="1:89">
      <c r="A355" s="176">
        <v>19534</v>
      </c>
      <c r="B355" s="177">
        <v>104</v>
      </c>
      <c r="C355" s="178">
        <v>78</v>
      </c>
      <c r="D355" s="178">
        <v>1855</v>
      </c>
      <c r="E355" s="178" t="s">
        <v>49</v>
      </c>
      <c r="F355" s="179" t="s">
        <v>108</v>
      </c>
      <c r="G355" s="189" t="s">
        <v>114</v>
      </c>
      <c r="H355" s="178" t="s">
        <v>43</v>
      </c>
      <c r="I355" s="178" t="s">
        <v>118</v>
      </c>
      <c r="J355" s="178"/>
      <c r="K355" s="178"/>
      <c r="L355" s="178" t="s">
        <v>59</v>
      </c>
      <c r="M355" s="178">
        <v>30</v>
      </c>
      <c r="N355" s="178">
        <v>500</v>
      </c>
      <c r="O355" s="178"/>
      <c r="P355" s="178"/>
      <c r="Q355" s="178"/>
      <c r="R355" s="178" t="s">
        <v>19</v>
      </c>
      <c r="S355" s="181"/>
      <c r="T355" s="181"/>
      <c r="U355" s="182"/>
      <c r="V355" s="182" t="s">
        <v>35</v>
      </c>
      <c r="W355" s="183">
        <v>20</v>
      </c>
      <c r="X355" s="182" t="s">
        <v>51</v>
      </c>
      <c r="Y355" s="184">
        <v>3200</v>
      </c>
      <c r="Z355" s="184">
        <v>3200</v>
      </c>
      <c r="AA355" s="184">
        <v>3200</v>
      </c>
      <c r="AB355" s="184">
        <v>3200</v>
      </c>
      <c r="AC355" s="184">
        <v>3200</v>
      </c>
      <c r="AD355" s="184">
        <v>3200</v>
      </c>
      <c r="AE355" s="184">
        <v>2900</v>
      </c>
      <c r="AF355" s="184">
        <v>2900</v>
      </c>
      <c r="AG355" s="184">
        <v>2900</v>
      </c>
      <c r="AH355" s="184">
        <v>2650</v>
      </c>
      <c r="AI355" s="184">
        <v>2650</v>
      </c>
      <c r="AJ355" s="184">
        <v>2650</v>
      </c>
      <c r="AK355" s="184">
        <v>2650</v>
      </c>
      <c r="AL355" s="184">
        <v>2650</v>
      </c>
      <c r="AM355" s="184">
        <v>2650</v>
      </c>
      <c r="AN355" s="184">
        <v>2650</v>
      </c>
      <c r="AO355" s="184">
        <v>2650</v>
      </c>
      <c r="AP355" s="184">
        <v>2650</v>
      </c>
      <c r="AQ355" s="184">
        <v>2670</v>
      </c>
      <c r="AR355" s="184">
        <v>2750</v>
      </c>
      <c r="AS355" s="184">
        <v>2750</v>
      </c>
      <c r="AT355" s="184">
        <v>2750</v>
      </c>
      <c r="AU355" s="184">
        <v>2750</v>
      </c>
      <c r="AV355" s="184">
        <v>2750</v>
      </c>
      <c r="AW355" s="184">
        <v>2730</v>
      </c>
      <c r="AX355" s="184">
        <v>2730</v>
      </c>
      <c r="AY355" s="146">
        <f t="shared" si="75"/>
        <v>2230</v>
      </c>
      <c r="AZ355" s="146">
        <f t="shared" si="76"/>
        <v>2230</v>
      </c>
      <c r="BA355" s="146">
        <f t="shared" si="76"/>
        <v>2230</v>
      </c>
      <c r="BB355" s="184"/>
      <c r="BC355" s="184"/>
      <c r="BD355" s="184"/>
      <c r="BE355" s="184"/>
      <c r="BF355" s="184">
        <v>1920</v>
      </c>
      <c r="BG355" s="184">
        <v>1920</v>
      </c>
      <c r="BH355" s="184">
        <v>1920</v>
      </c>
      <c r="BI355" s="184"/>
      <c r="BJ355" s="184"/>
      <c r="BK355" s="184"/>
      <c r="BL355" s="184">
        <v>1720</v>
      </c>
      <c r="BM355" s="184">
        <v>1720</v>
      </c>
      <c r="BN355" s="184">
        <v>1720</v>
      </c>
      <c r="BO355" s="184">
        <v>2350</v>
      </c>
      <c r="BP355" s="184">
        <v>2350</v>
      </c>
      <c r="BQ355" s="184">
        <v>2350</v>
      </c>
      <c r="BR355" s="184"/>
      <c r="BS355" s="184"/>
      <c r="BT355" s="184"/>
      <c r="BU355" s="146" cm="1">
        <f t="array" ref="BU355">LOOKUP(2,1/(Y355:BT355&lt;&gt;""),Y355:BH355)</f>
        <v>2350</v>
      </c>
      <c r="BV355" s="145" cm="1">
        <f t="array" aca="1" ref="BV355" ca="1">_xlfn.LET(
    _xlpm.last_col_idx, LOOKUP(2, 1/(Y355:BT355&lt;&gt;""), COLUMN(Y355:BT355) - COLUMN(Y355) + 1),
    _xlpm.header_val, INDEX($Y$3:$BT$3, 1, _xlpm.last_col_idx),
    _xlpm.header_date, IF(ISNUMBER(_xlpm.header_val), _xlpm.header_val, DATEVALUE(_xlpm.header_val)),
    IF(_xlpm.header_date &gt; TODAY(), TODAY(), _xlpm.header_date)
)</f>
        <v>46212</v>
      </c>
      <c r="BW355" s="209" cm="1">
        <f t="array" ref="BW355">(LOOKUP(2,1/(BH355:BT355&lt;&gt;""),BH355:BT355))/(INDEX(BH355:BT355,MATCH(TRUE,INDEX((BH355:BT355&lt;&gt;0),0),0)))-1</f>
        <v>0.22395833333333326</v>
      </c>
      <c r="BX355" s="210">
        <f t="shared" si="64"/>
        <v>2.35</v>
      </c>
      <c r="BY355" s="210">
        <f t="shared" si="65"/>
        <v>13.865000000000002</v>
      </c>
      <c r="BZ355" s="210">
        <f ca="1">IF(L355="BR",'Impostos e Frete'!$F$6,IF(L355="EU",'Impostos e Frete'!$I$3,IF(L355="CN",'Impostos e Frete'!$I$4,IF(L355="JP",'Impostos e Frete'!$I$5,IF(L355="RU",'Impostos e Frete'!$I$7,"ERRO")))))</f>
        <v>0.1410816</v>
      </c>
      <c r="CA355" s="210">
        <f>VLOOKUP(L355,'Impostos e Frete'!$A$3:$B$7,2,0)*'Preços e Condições'!BY355</f>
        <v>1.8024500000000003</v>
      </c>
      <c r="CB355" s="147">
        <f t="shared" si="66"/>
        <v>0</v>
      </c>
      <c r="CC355" s="147">
        <f>IF(X355="BRL",'Impostos e Frete'!$B$11,'Impostos e Frete'!$B$12)</f>
        <v>9.1999999999999998E-2</v>
      </c>
      <c r="CD355" s="211">
        <f t="shared" ca="1" si="67"/>
        <v>15.900531600000003</v>
      </c>
      <c r="CE355" s="212">
        <f t="shared" ca="1" si="68"/>
        <v>1.2402414648000002</v>
      </c>
      <c r="CF355" s="213">
        <f>VLOOKUP(L355,'Impostos e Frete'!$A$3:$C$7,3,0)</f>
        <v>105</v>
      </c>
      <c r="CG355" s="213">
        <f t="shared" si="69"/>
        <v>30</v>
      </c>
      <c r="CH355" s="213">
        <f t="shared" si="70"/>
        <v>-75</v>
      </c>
      <c r="CI355" s="214">
        <f t="shared" ca="1" si="71"/>
        <v>0.60299471055736653</v>
      </c>
      <c r="CJ355" s="215">
        <f t="shared" ca="1" si="72"/>
        <v>16.503526310557369</v>
      </c>
      <c r="CK355" s="216">
        <f t="shared" ca="1" si="73"/>
        <v>1.2872750522234748</v>
      </c>
    </row>
    <row r="356" spans="1:89">
      <c r="A356" s="176">
        <v>19535</v>
      </c>
      <c r="B356" s="177" t="s">
        <v>372</v>
      </c>
      <c r="C356" s="178">
        <v>65</v>
      </c>
      <c r="D356" s="178">
        <v>1270</v>
      </c>
      <c r="E356" s="178" t="s">
        <v>50</v>
      </c>
      <c r="F356" s="179" t="s">
        <v>108</v>
      </c>
      <c r="G356" s="189" t="s">
        <v>115</v>
      </c>
      <c r="H356" s="178" t="s">
        <v>43</v>
      </c>
      <c r="I356" s="178" t="s">
        <v>119</v>
      </c>
      <c r="J356" s="178"/>
      <c r="K356" s="178"/>
      <c r="L356" s="178" t="s">
        <v>59</v>
      </c>
      <c r="M356" s="178">
        <v>30</v>
      </c>
      <c r="N356" s="178">
        <v>500</v>
      </c>
      <c r="O356" s="178"/>
      <c r="P356" s="178"/>
      <c r="Q356" s="178"/>
      <c r="R356" s="178" t="s">
        <v>19</v>
      </c>
      <c r="S356" s="181"/>
      <c r="T356" s="181"/>
      <c r="U356" s="182"/>
      <c r="V356" s="182" t="s">
        <v>35</v>
      </c>
      <c r="W356" s="183">
        <v>80</v>
      </c>
      <c r="X356" s="182" t="s">
        <v>51</v>
      </c>
      <c r="Y356" s="184">
        <v>2280</v>
      </c>
      <c r="Z356" s="184">
        <v>2280</v>
      </c>
      <c r="AA356" s="184">
        <v>2280</v>
      </c>
      <c r="AB356" s="184">
        <v>2210</v>
      </c>
      <c r="AC356" s="184">
        <v>2210</v>
      </c>
      <c r="AD356" s="184">
        <v>2210</v>
      </c>
      <c r="AE356" s="184">
        <v>2060</v>
      </c>
      <c r="AF356" s="184">
        <v>2060</v>
      </c>
      <c r="AG356" s="184">
        <v>2060</v>
      </c>
      <c r="AH356" s="184">
        <v>1910</v>
      </c>
      <c r="AI356" s="184">
        <v>1910</v>
      </c>
      <c r="AJ356" s="184">
        <v>1910</v>
      </c>
      <c r="AK356" s="184">
        <v>1910</v>
      </c>
      <c r="AL356" s="184">
        <v>1910</v>
      </c>
      <c r="AM356" s="184">
        <v>1910</v>
      </c>
      <c r="AN356" s="184">
        <v>1910</v>
      </c>
      <c r="AO356" s="184">
        <v>1910</v>
      </c>
      <c r="AP356" s="184">
        <v>1910</v>
      </c>
      <c r="AQ356" s="184">
        <v>1960</v>
      </c>
      <c r="AR356" s="184">
        <v>2110</v>
      </c>
      <c r="AS356" s="184">
        <v>2110</v>
      </c>
      <c r="AT356" s="184">
        <v>2110</v>
      </c>
      <c r="AU356" s="184">
        <v>2110</v>
      </c>
      <c r="AV356" s="184">
        <v>2110</v>
      </c>
      <c r="AW356" s="184">
        <v>2510</v>
      </c>
      <c r="AX356" s="184">
        <v>2510</v>
      </c>
      <c r="AY356" s="146">
        <f t="shared" si="75"/>
        <v>2010</v>
      </c>
      <c r="AZ356" s="146">
        <f t="shared" si="76"/>
        <v>2010</v>
      </c>
      <c r="BA356" s="146">
        <f t="shared" si="76"/>
        <v>2010</v>
      </c>
      <c r="BB356" s="184">
        <v>2340</v>
      </c>
      <c r="BC356" s="184">
        <v>2340</v>
      </c>
      <c r="BD356" s="184">
        <v>2340</v>
      </c>
      <c r="BE356" s="184">
        <v>2340</v>
      </c>
      <c r="BF356" s="184">
        <v>2190</v>
      </c>
      <c r="BG356" s="184">
        <v>2190</v>
      </c>
      <c r="BH356" s="184">
        <v>2190</v>
      </c>
      <c r="BI356" s="184"/>
      <c r="BJ356" s="184"/>
      <c r="BK356" s="184"/>
      <c r="BL356" s="184">
        <v>2160</v>
      </c>
      <c r="BM356" s="184">
        <v>2160</v>
      </c>
      <c r="BN356" s="184">
        <v>2160</v>
      </c>
      <c r="BO356" s="184">
        <v>2240</v>
      </c>
      <c r="BP356" s="184">
        <v>2240</v>
      </c>
      <c r="BQ356" s="184">
        <v>2240</v>
      </c>
      <c r="BR356" s="184"/>
      <c r="BS356" s="184"/>
      <c r="BT356" s="184"/>
      <c r="BU356" s="146" cm="1">
        <f t="array" ref="BU356">LOOKUP(2,1/(Y356:BT356&lt;&gt;""),Y356:BH356)</f>
        <v>2240</v>
      </c>
      <c r="BV356" s="145" cm="1">
        <f t="array" aca="1" ref="BV356" ca="1">_xlfn.LET(
    _xlpm.last_col_idx, LOOKUP(2, 1/(Y356:BT356&lt;&gt;""), COLUMN(Y356:BT356) - COLUMN(Y356) + 1),
    _xlpm.header_val, INDEX($Y$3:$BT$3, 1, _xlpm.last_col_idx),
    _xlpm.header_date, IF(ISNUMBER(_xlpm.header_val), _xlpm.header_val, DATEVALUE(_xlpm.header_val)),
    IF(_xlpm.header_date &gt; TODAY(), TODAY(), _xlpm.header_date)
)</f>
        <v>46212</v>
      </c>
      <c r="BW356" s="209" cm="1">
        <f t="array" ref="BW356">(LOOKUP(2,1/(BH356:BT356&lt;&gt;""),BH356:BT356))/(INDEX(BH356:BT356,MATCH(TRUE,INDEX((BH356:BT356&lt;&gt;0),0),0)))-1</f>
        <v>2.2831050228310446E-2</v>
      </c>
      <c r="BX356" s="210">
        <f t="shared" si="64"/>
        <v>2.2400000000000002</v>
      </c>
      <c r="BY356" s="210">
        <f t="shared" si="65"/>
        <v>13.216000000000003</v>
      </c>
      <c r="BZ356" s="210">
        <f ca="1">IF(L356="BR",'Impostos e Frete'!$F$6,IF(L356="EU",'Impostos e Frete'!$I$3,IF(L356="CN",'Impostos e Frete'!$I$4,IF(L356="JP",'Impostos e Frete'!$I$5,IF(L356="RU",'Impostos e Frete'!$I$7,"ERRO")))))</f>
        <v>0.1410816</v>
      </c>
      <c r="CA356" s="210">
        <f>VLOOKUP(L356,'Impostos e Frete'!$A$3:$B$7,2,0)*'Preços e Condições'!BY356</f>
        <v>1.7180800000000005</v>
      </c>
      <c r="CB356" s="147">
        <f t="shared" si="66"/>
        <v>0</v>
      </c>
      <c r="CC356" s="147">
        <f>IF(X356="BRL",'Impostos e Frete'!$B$11,'Impostos e Frete'!$B$12)</f>
        <v>9.1999999999999998E-2</v>
      </c>
      <c r="CD356" s="211">
        <f t="shared" ca="1" si="67"/>
        <v>15.167161600000004</v>
      </c>
      <c r="CE356" s="212">
        <f t="shared" ca="1" si="68"/>
        <v>0.98586550400000017</v>
      </c>
      <c r="CF356" s="213">
        <f>VLOOKUP(L356,'Impostos e Frete'!$A$3:$C$7,3,0)</f>
        <v>105</v>
      </c>
      <c r="CG356" s="213">
        <f t="shared" si="69"/>
        <v>30</v>
      </c>
      <c r="CH356" s="213">
        <f t="shared" si="70"/>
        <v>-75</v>
      </c>
      <c r="CI356" s="214">
        <f t="shared" ca="1" si="71"/>
        <v>0.57518317305622624</v>
      </c>
      <c r="CJ356" s="215">
        <f t="shared" ca="1" si="72"/>
        <v>15.74234477305623</v>
      </c>
      <c r="CK356" s="216">
        <f t="shared" ca="1" si="73"/>
        <v>1.0232524102486549</v>
      </c>
    </row>
    <row r="357" spans="1:89">
      <c r="A357" s="176">
        <v>19535</v>
      </c>
      <c r="B357" s="177" t="s">
        <v>372</v>
      </c>
      <c r="C357" s="178">
        <v>65</v>
      </c>
      <c r="D357" s="178">
        <v>1270</v>
      </c>
      <c r="E357" s="178" t="s">
        <v>50</v>
      </c>
      <c r="F357" s="179" t="s">
        <v>108</v>
      </c>
      <c r="G357" s="189" t="s">
        <v>115</v>
      </c>
      <c r="H357" s="178" t="s">
        <v>43</v>
      </c>
      <c r="I357" s="178" t="s">
        <v>119</v>
      </c>
      <c r="J357" s="178"/>
      <c r="K357" s="178"/>
      <c r="L357" s="178" t="s">
        <v>59</v>
      </c>
      <c r="M357" s="178">
        <v>30</v>
      </c>
      <c r="N357" s="178">
        <v>500</v>
      </c>
      <c r="O357" s="178"/>
      <c r="P357" s="178"/>
      <c r="Q357" s="178"/>
      <c r="R357" s="178" t="s">
        <v>19</v>
      </c>
      <c r="S357" s="181"/>
      <c r="T357" s="181"/>
      <c r="U357" s="182"/>
      <c r="V357" s="182" t="s">
        <v>35</v>
      </c>
      <c r="W357" s="183">
        <v>50</v>
      </c>
      <c r="X357" s="182" t="s">
        <v>51</v>
      </c>
      <c r="Y357" s="184">
        <v>2480</v>
      </c>
      <c r="Z357" s="184">
        <v>2480</v>
      </c>
      <c r="AA357" s="184">
        <v>2480</v>
      </c>
      <c r="AB357" s="184">
        <v>2410</v>
      </c>
      <c r="AC357" s="184">
        <v>2410</v>
      </c>
      <c r="AD357" s="184">
        <v>2410</v>
      </c>
      <c r="AE357" s="184">
        <v>2260</v>
      </c>
      <c r="AF357" s="184">
        <v>2260</v>
      </c>
      <c r="AG357" s="184">
        <v>2260</v>
      </c>
      <c r="AH357" s="184">
        <v>2110</v>
      </c>
      <c r="AI357" s="184">
        <v>2110</v>
      </c>
      <c r="AJ357" s="184">
        <v>2110</v>
      </c>
      <c r="AK357" s="184">
        <v>2110</v>
      </c>
      <c r="AL357" s="184">
        <v>2110</v>
      </c>
      <c r="AM357" s="184">
        <v>2110</v>
      </c>
      <c r="AN357" s="184">
        <v>2110</v>
      </c>
      <c r="AO357" s="184">
        <v>2110</v>
      </c>
      <c r="AP357" s="184">
        <v>2110</v>
      </c>
      <c r="AQ357" s="184">
        <v>2160</v>
      </c>
      <c r="AR357" s="184">
        <v>2810</v>
      </c>
      <c r="AS357" s="184">
        <v>2810</v>
      </c>
      <c r="AT357" s="184">
        <v>2810</v>
      </c>
      <c r="AU357" s="184">
        <v>2810</v>
      </c>
      <c r="AV357" s="184">
        <v>2810</v>
      </c>
      <c r="AW357" s="184">
        <v>2530</v>
      </c>
      <c r="AX357" s="184">
        <v>2530</v>
      </c>
      <c r="AY357" s="146">
        <f t="shared" si="75"/>
        <v>2030</v>
      </c>
      <c r="AZ357" s="146">
        <f t="shared" si="76"/>
        <v>2030</v>
      </c>
      <c r="BA357" s="146">
        <f t="shared" si="76"/>
        <v>2030</v>
      </c>
      <c r="BB357" s="184">
        <v>2360</v>
      </c>
      <c r="BC357" s="184">
        <v>2360</v>
      </c>
      <c r="BD357" s="184">
        <v>2360</v>
      </c>
      <c r="BE357" s="184">
        <v>2360</v>
      </c>
      <c r="BF357" s="184">
        <v>2210</v>
      </c>
      <c r="BG357" s="184">
        <v>2210</v>
      </c>
      <c r="BH357" s="184">
        <v>2210</v>
      </c>
      <c r="BI357" s="184"/>
      <c r="BJ357" s="184"/>
      <c r="BK357" s="184"/>
      <c r="BL357" s="184">
        <v>2180</v>
      </c>
      <c r="BM357" s="184">
        <v>2180</v>
      </c>
      <c r="BN357" s="184">
        <v>2180</v>
      </c>
      <c r="BO357" s="184">
        <v>2440</v>
      </c>
      <c r="BP357" s="184">
        <v>2440</v>
      </c>
      <c r="BQ357" s="184">
        <v>2440</v>
      </c>
      <c r="BR357" s="184"/>
      <c r="BS357" s="184"/>
      <c r="BT357" s="184"/>
      <c r="BU357" s="146" cm="1">
        <f t="array" ref="BU357">LOOKUP(2,1/(Y357:BT357&lt;&gt;""),Y357:BH357)</f>
        <v>2440</v>
      </c>
      <c r="BV357" s="145" cm="1">
        <f t="array" aca="1" ref="BV357" ca="1">_xlfn.LET(
    _xlpm.last_col_idx, LOOKUP(2, 1/(Y357:BT357&lt;&gt;""), COLUMN(Y357:BT357) - COLUMN(Y357) + 1),
    _xlpm.header_val, INDEX($Y$3:$BT$3, 1, _xlpm.last_col_idx),
    _xlpm.header_date, IF(ISNUMBER(_xlpm.header_val), _xlpm.header_val, DATEVALUE(_xlpm.header_val)),
    IF(_xlpm.header_date &gt; TODAY(), TODAY(), _xlpm.header_date)
)</f>
        <v>46212</v>
      </c>
      <c r="BW357" s="209" cm="1">
        <f t="array" ref="BW357">(LOOKUP(2,1/(BH357:BT357&lt;&gt;""),BH357:BT357))/(INDEX(BH357:BT357,MATCH(TRUE,INDEX((BH357:BT357&lt;&gt;0),0),0)))-1</f>
        <v>0.10407239819004532</v>
      </c>
      <c r="BX357" s="210">
        <f t="shared" si="64"/>
        <v>2.44</v>
      </c>
      <c r="BY357" s="210">
        <f t="shared" si="65"/>
        <v>14.396000000000001</v>
      </c>
      <c r="BZ357" s="210">
        <f ca="1">IF(L357="BR",'Impostos e Frete'!$F$6,IF(L357="EU",'Impostos e Frete'!$I$3,IF(L357="CN",'Impostos e Frete'!$I$4,IF(L357="JP",'Impostos e Frete'!$I$5,IF(L357="RU",'Impostos e Frete'!$I$7,"ERRO")))))</f>
        <v>0.1410816</v>
      </c>
      <c r="CA357" s="210">
        <f>VLOOKUP(L357,'Impostos e Frete'!$A$3:$B$7,2,0)*'Preços e Condições'!BY357</f>
        <v>1.8714800000000003</v>
      </c>
      <c r="CB357" s="147">
        <f t="shared" si="66"/>
        <v>0</v>
      </c>
      <c r="CC357" s="147">
        <f>IF(X357="BRL",'Impostos e Frete'!$B$11,'Impostos e Frete'!$B$12)</f>
        <v>9.1999999999999998E-2</v>
      </c>
      <c r="CD357" s="211">
        <f t="shared" ca="1" si="67"/>
        <v>16.500561600000001</v>
      </c>
      <c r="CE357" s="212">
        <f t="shared" ca="1" si="68"/>
        <v>1.0725365040000001</v>
      </c>
      <c r="CF357" s="213">
        <f>VLOOKUP(L357,'Impostos e Frete'!$A$3:$C$7,3,0)</f>
        <v>105</v>
      </c>
      <c r="CG357" s="213">
        <f t="shared" si="69"/>
        <v>30</v>
      </c>
      <c r="CH357" s="213">
        <f t="shared" si="70"/>
        <v>-75</v>
      </c>
      <c r="CI357" s="214">
        <f t="shared" ca="1" si="71"/>
        <v>0.62574960487648212</v>
      </c>
      <c r="CJ357" s="215">
        <f t="shared" ca="1" si="72"/>
        <v>17.126311204876483</v>
      </c>
      <c r="CK357" s="216">
        <f t="shared" ca="1" si="73"/>
        <v>1.1132102283169714</v>
      </c>
    </row>
    <row r="358" spans="1:89">
      <c r="A358" s="176">
        <v>19535</v>
      </c>
      <c r="B358" s="177" t="s">
        <v>372</v>
      </c>
      <c r="C358" s="178">
        <v>65</v>
      </c>
      <c r="D358" s="178">
        <v>1270</v>
      </c>
      <c r="E358" s="178" t="s">
        <v>50</v>
      </c>
      <c r="F358" s="179" t="s">
        <v>108</v>
      </c>
      <c r="G358" s="189" t="s">
        <v>115</v>
      </c>
      <c r="H358" s="178" t="s">
        <v>43</v>
      </c>
      <c r="I358" s="178" t="s">
        <v>119</v>
      </c>
      <c r="J358" s="178"/>
      <c r="K358" s="178"/>
      <c r="L358" s="178" t="s">
        <v>59</v>
      </c>
      <c r="M358" s="178">
        <v>30</v>
      </c>
      <c r="N358" s="178">
        <v>500</v>
      </c>
      <c r="O358" s="178"/>
      <c r="P358" s="178"/>
      <c r="Q358" s="178"/>
      <c r="R358" s="178" t="s">
        <v>19</v>
      </c>
      <c r="S358" s="181"/>
      <c r="T358" s="181"/>
      <c r="U358" s="182"/>
      <c r="V358" s="182" t="s">
        <v>35</v>
      </c>
      <c r="W358" s="183">
        <v>20</v>
      </c>
      <c r="X358" s="182" t="s">
        <v>51</v>
      </c>
      <c r="Y358" s="184">
        <v>2980</v>
      </c>
      <c r="Z358" s="184">
        <v>2980</v>
      </c>
      <c r="AA358" s="184">
        <v>2980</v>
      </c>
      <c r="AB358" s="184">
        <v>2910</v>
      </c>
      <c r="AC358" s="184">
        <v>2910</v>
      </c>
      <c r="AD358" s="184">
        <v>2910</v>
      </c>
      <c r="AE358" s="184">
        <v>2760</v>
      </c>
      <c r="AF358" s="184">
        <v>2760</v>
      </c>
      <c r="AG358" s="184">
        <v>2760</v>
      </c>
      <c r="AH358" s="184">
        <v>2610</v>
      </c>
      <c r="AI358" s="184">
        <v>2610</v>
      </c>
      <c r="AJ358" s="184">
        <v>2610</v>
      </c>
      <c r="AK358" s="184">
        <v>2610</v>
      </c>
      <c r="AL358" s="184">
        <v>2610</v>
      </c>
      <c r="AM358" s="184">
        <v>2610</v>
      </c>
      <c r="AN358" s="184">
        <v>2610</v>
      </c>
      <c r="AO358" s="184">
        <v>2610</v>
      </c>
      <c r="AP358" s="184">
        <v>2610</v>
      </c>
      <c r="AQ358" s="184">
        <v>2660</v>
      </c>
      <c r="AR358" s="184">
        <v>2810</v>
      </c>
      <c r="AS358" s="184">
        <v>2810</v>
      </c>
      <c r="AT358" s="184">
        <v>2810</v>
      </c>
      <c r="AU358" s="184">
        <v>2810</v>
      </c>
      <c r="AV358" s="184">
        <v>2810</v>
      </c>
      <c r="AW358" s="184">
        <v>2580</v>
      </c>
      <c r="AX358" s="184">
        <v>2580</v>
      </c>
      <c r="AY358" s="146">
        <f t="shared" si="75"/>
        <v>2080</v>
      </c>
      <c r="AZ358" s="146">
        <f t="shared" si="76"/>
        <v>2080</v>
      </c>
      <c r="BA358" s="146">
        <f t="shared" si="76"/>
        <v>2080</v>
      </c>
      <c r="BB358" s="184">
        <v>2410</v>
      </c>
      <c r="BC358" s="184">
        <v>2410</v>
      </c>
      <c r="BD358" s="184">
        <v>2410</v>
      </c>
      <c r="BE358" s="184">
        <v>2410</v>
      </c>
      <c r="BF358" s="184">
        <v>2260</v>
      </c>
      <c r="BG358" s="184">
        <v>2260</v>
      </c>
      <c r="BH358" s="184">
        <v>2260</v>
      </c>
      <c r="BI358" s="184"/>
      <c r="BJ358" s="184"/>
      <c r="BK358" s="184"/>
      <c r="BL358" s="184">
        <v>2210</v>
      </c>
      <c r="BM358" s="184">
        <v>2210</v>
      </c>
      <c r="BN358" s="184">
        <v>2210</v>
      </c>
      <c r="BO358" s="184">
        <v>2940</v>
      </c>
      <c r="BP358" s="184">
        <v>2940</v>
      </c>
      <c r="BQ358" s="184">
        <v>2940</v>
      </c>
      <c r="BR358" s="184"/>
      <c r="BS358" s="184"/>
      <c r="BT358" s="184"/>
      <c r="BU358" s="146" cm="1">
        <f t="array" ref="BU358">LOOKUP(2,1/(Y358:BT358&lt;&gt;""),Y358:BH358)</f>
        <v>2940</v>
      </c>
      <c r="BV358" s="145" cm="1">
        <f t="array" aca="1" ref="BV358" ca="1">_xlfn.LET(
    _xlpm.last_col_idx, LOOKUP(2, 1/(Y358:BT358&lt;&gt;""), COLUMN(Y358:BT358) - COLUMN(Y358) + 1),
    _xlpm.header_val, INDEX($Y$3:$BT$3, 1, _xlpm.last_col_idx),
    _xlpm.header_date, IF(ISNUMBER(_xlpm.header_val), _xlpm.header_val, DATEVALUE(_xlpm.header_val)),
    IF(_xlpm.header_date &gt; TODAY(), TODAY(), _xlpm.header_date)
)</f>
        <v>46212</v>
      </c>
      <c r="BW358" s="209" cm="1">
        <f t="array" ref="BW358">(LOOKUP(2,1/(BH358:BT358&lt;&gt;""),BH358:BT358))/(INDEX(BH358:BT358,MATCH(TRUE,INDEX((BH358:BT358&lt;&gt;0),0),0)))-1</f>
        <v>0.30088495575221241</v>
      </c>
      <c r="BX358" s="210">
        <f t="shared" si="64"/>
        <v>2.94</v>
      </c>
      <c r="BY358" s="210">
        <f t="shared" si="65"/>
        <v>17.346</v>
      </c>
      <c r="BZ358" s="210">
        <f ca="1">IF(L358="BR",'Impostos e Frete'!$F$6,IF(L358="EU",'Impostos e Frete'!$I$3,IF(L358="CN",'Impostos e Frete'!$I$4,IF(L358="JP",'Impostos e Frete'!$I$5,IF(L358="RU",'Impostos e Frete'!$I$7,"ERRO")))))</f>
        <v>0.1410816</v>
      </c>
      <c r="CA358" s="210">
        <f>VLOOKUP(L358,'Impostos e Frete'!$A$3:$B$7,2,0)*'Preços e Condições'!BY358</f>
        <v>2.2549800000000002</v>
      </c>
      <c r="CB358" s="147">
        <f t="shared" si="66"/>
        <v>0</v>
      </c>
      <c r="CC358" s="147">
        <f>IF(X358="BRL",'Impostos e Frete'!$B$11,'Impostos e Frete'!$B$12)</f>
        <v>9.1999999999999998E-2</v>
      </c>
      <c r="CD358" s="211">
        <f t="shared" ca="1" si="67"/>
        <v>19.834061599999998</v>
      </c>
      <c r="CE358" s="212">
        <f t="shared" ca="1" si="68"/>
        <v>1.2892140039999997</v>
      </c>
      <c r="CF358" s="213">
        <f>VLOOKUP(L358,'Impostos e Frete'!$A$3:$C$7,3,0)</f>
        <v>105</v>
      </c>
      <c r="CG358" s="213">
        <f t="shared" si="69"/>
        <v>30</v>
      </c>
      <c r="CH358" s="213">
        <f t="shared" si="70"/>
        <v>-75</v>
      </c>
      <c r="CI358" s="214">
        <f t="shared" ca="1" si="71"/>
        <v>0.75216568442711562</v>
      </c>
      <c r="CJ358" s="215">
        <f t="shared" ca="1" si="72"/>
        <v>20.586227284427114</v>
      </c>
      <c r="CK358" s="216">
        <f t="shared" ca="1" si="73"/>
        <v>1.3381047734877622</v>
      </c>
    </row>
    <row r="359" spans="1:89">
      <c r="A359" s="176">
        <v>19536</v>
      </c>
      <c r="B359" s="177">
        <v>301</v>
      </c>
      <c r="C359" s="178">
        <v>65</v>
      </c>
      <c r="D359" s="178">
        <v>1270</v>
      </c>
      <c r="E359" s="178" t="s">
        <v>50</v>
      </c>
      <c r="F359" s="179" t="s">
        <v>108</v>
      </c>
      <c r="G359" s="189" t="s">
        <v>111</v>
      </c>
      <c r="H359" s="178" t="s">
        <v>345</v>
      </c>
      <c r="I359" s="178" t="s">
        <v>113</v>
      </c>
      <c r="J359" s="178"/>
      <c r="K359" s="178"/>
      <c r="L359" s="178" t="s">
        <v>59</v>
      </c>
      <c r="M359" s="178">
        <v>30</v>
      </c>
      <c r="N359" s="178">
        <v>500</v>
      </c>
      <c r="O359" s="178"/>
      <c r="P359" s="178"/>
      <c r="Q359" s="178"/>
      <c r="R359" s="178" t="s">
        <v>19</v>
      </c>
      <c r="S359" s="181"/>
      <c r="T359" s="181"/>
      <c r="U359" s="182"/>
      <c r="V359" s="182" t="s">
        <v>35</v>
      </c>
      <c r="W359" s="183">
        <v>80</v>
      </c>
      <c r="X359" s="182" t="s">
        <v>51</v>
      </c>
      <c r="Y359" s="184">
        <v>2650</v>
      </c>
      <c r="Z359" s="184">
        <v>2650</v>
      </c>
      <c r="AA359" s="184">
        <v>2650</v>
      </c>
      <c r="AB359" s="184">
        <v>2550</v>
      </c>
      <c r="AC359" s="184">
        <v>2550</v>
      </c>
      <c r="AD359" s="184">
        <v>2550</v>
      </c>
      <c r="AE359" s="184">
        <v>2350</v>
      </c>
      <c r="AF359" s="184">
        <v>2350</v>
      </c>
      <c r="AG359" s="184">
        <v>2350</v>
      </c>
      <c r="AH359" s="184">
        <v>2200</v>
      </c>
      <c r="AI359" s="184">
        <v>1900</v>
      </c>
      <c r="AJ359" s="184">
        <v>1900</v>
      </c>
      <c r="AK359" s="184">
        <v>1900</v>
      </c>
      <c r="AL359" s="184">
        <v>1900</v>
      </c>
      <c r="AM359" s="184">
        <v>1900</v>
      </c>
      <c r="AN359" s="184">
        <v>1900</v>
      </c>
      <c r="AO359" s="184">
        <v>1900</v>
      </c>
      <c r="AP359" s="184">
        <v>1900</v>
      </c>
      <c r="AQ359" s="184">
        <v>2010</v>
      </c>
      <c r="AR359" s="184">
        <v>2400</v>
      </c>
      <c r="AS359" s="184">
        <v>2400</v>
      </c>
      <c r="AT359" s="184">
        <v>2400</v>
      </c>
      <c r="AU359" s="184">
        <v>2400</v>
      </c>
      <c r="AV359" s="184">
        <v>2400</v>
      </c>
      <c r="AW359" s="184">
        <v>2800</v>
      </c>
      <c r="AX359" s="184">
        <v>2800</v>
      </c>
      <c r="AY359" s="146">
        <f t="shared" si="75"/>
        <v>2300</v>
      </c>
      <c r="AZ359" s="146">
        <f t="shared" si="76"/>
        <v>2300</v>
      </c>
      <c r="BA359" s="146">
        <f t="shared" si="76"/>
        <v>2300</v>
      </c>
      <c r="BB359" s="184">
        <v>2630</v>
      </c>
      <c r="BC359" s="184">
        <v>2630</v>
      </c>
      <c r="BD359" s="184">
        <v>2630</v>
      </c>
      <c r="BE359" s="184">
        <v>2630</v>
      </c>
      <c r="BF359" s="184">
        <v>2480</v>
      </c>
      <c r="BG359" s="184">
        <v>2480</v>
      </c>
      <c r="BH359" s="184">
        <v>2480</v>
      </c>
      <c r="BI359" s="184"/>
      <c r="BJ359" s="184"/>
      <c r="BK359" s="184"/>
      <c r="BL359" s="184">
        <v>2450</v>
      </c>
      <c r="BM359" s="184">
        <v>2450</v>
      </c>
      <c r="BN359" s="184">
        <v>2450</v>
      </c>
      <c r="BO359" s="184">
        <v>2530</v>
      </c>
      <c r="BP359" s="184">
        <v>2530</v>
      </c>
      <c r="BQ359" s="184">
        <v>2530</v>
      </c>
      <c r="BR359" s="184"/>
      <c r="BS359" s="184"/>
      <c r="BT359" s="184"/>
      <c r="BU359" s="146" cm="1">
        <f t="array" ref="BU359">LOOKUP(2,1/(Y359:BT359&lt;&gt;""),Y359:BH359)</f>
        <v>2530</v>
      </c>
      <c r="BV359" s="145" cm="1">
        <f t="array" aca="1" ref="BV359" ca="1">_xlfn.LET(
    _xlpm.last_col_idx, LOOKUP(2, 1/(Y359:BT359&lt;&gt;""), COLUMN(Y359:BT359) - COLUMN(Y359) + 1),
    _xlpm.header_val, INDEX($Y$3:$BT$3, 1, _xlpm.last_col_idx),
    _xlpm.header_date, IF(ISNUMBER(_xlpm.header_val), _xlpm.header_val, DATEVALUE(_xlpm.header_val)),
    IF(_xlpm.header_date &gt; TODAY(), TODAY(), _xlpm.header_date)
)</f>
        <v>46212</v>
      </c>
      <c r="BW359" s="209" cm="1">
        <f t="array" ref="BW359">(LOOKUP(2,1/(BH359:BT359&lt;&gt;""),BH359:BT359))/(INDEX(BH359:BT359,MATCH(TRUE,INDEX((BH359:BT359&lt;&gt;0),0),0)))-1</f>
        <v>2.0161290322580738E-2</v>
      </c>
      <c r="BX359" s="210">
        <f t="shared" si="64"/>
        <v>2.5299999999999998</v>
      </c>
      <c r="BY359" s="210">
        <f t="shared" si="65"/>
        <v>14.927</v>
      </c>
      <c r="BZ359" s="210">
        <f ca="1">IF(L359="BR",'Impostos e Frete'!$F$6,IF(L359="EU",'Impostos e Frete'!$I$3,IF(L359="CN",'Impostos e Frete'!$I$4,IF(L359="JP",'Impostos e Frete'!$I$5,IF(L359="RU",'Impostos e Frete'!$I$7,"ERRO")))))</f>
        <v>0.1410816</v>
      </c>
      <c r="CA359" s="210">
        <f>VLOOKUP(L359,'Impostos e Frete'!$A$3:$B$7,2,0)*'Preços e Condições'!BY359</f>
        <v>1.94051</v>
      </c>
      <c r="CB359" s="147">
        <f t="shared" si="66"/>
        <v>0</v>
      </c>
      <c r="CC359" s="147">
        <f>IF(X359="BRL",'Impostos e Frete'!$B$11,'Impostos e Frete'!$B$12)</f>
        <v>9.1999999999999998E-2</v>
      </c>
      <c r="CD359" s="211">
        <f t="shared" ca="1" si="67"/>
        <v>17.100591599999998</v>
      </c>
      <c r="CE359" s="212">
        <f t="shared" ca="1" si="68"/>
        <v>1.111538454</v>
      </c>
      <c r="CF359" s="213">
        <f>VLOOKUP(L359,'Impostos e Frete'!$A$3:$C$7,3,0)</f>
        <v>105</v>
      </c>
      <c r="CG359" s="213">
        <f t="shared" si="69"/>
        <v>30</v>
      </c>
      <c r="CH359" s="213">
        <f t="shared" si="70"/>
        <v>-75</v>
      </c>
      <c r="CI359" s="214">
        <f t="shared" ca="1" si="71"/>
        <v>0.64850449919559594</v>
      </c>
      <c r="CJ359" s="215">
        <f t="shared" ca="1" si="72"/>
        <v>17.749096099195594</v>
      </c>
      <c r="CK359" s="216">
        <f t="shared" ca="1" si="73"/>
        <v>1.1536912464477136</v>
      </c>
    </row>
    <row r="360" spans="1:89">
      <c r="A360" s="176">
        <v>19536</v>
      </c>
      <c r="B360" s="177">
        <v>301</v>
      </c>
      <c r="C360" s="178">
        <v>65</v>
      </c>
      <c r="D360" s="178">
        <v>1270</v>
      </c>
      <c r="E360" s="178" t="s">
        <v>50</v>
      </c>
      <c r="F360" s="179" t="s">
        <v>108</v>
      </c>
      <c r="G360" s="189" t="s">
        <v>111</v>
      </c>
      <c r="H360" s="178" t="s">
        <v>345</v>
      </c>
      <c r="I360" s="178" t="s">
        <v>113</v>
      </c>
      <c r="J360" s="178"/>
      <c r="K360" s="178"/>
      <c r="L360" s="178" t="s">
        <v>59</v>
      </c>
      <c r="M360" s="178">
        <v>30</v>
      </c>
      <c r="N360" s="178">
        <v>500</v>
      </c>
      <c r="O360" s="178"/>
      <c r="P360" s="178"/>
      <c r="Q360" s="178"/>
      <c r="R360" s="178" t="s">
        <v>19</v>
      </c>
      <c r="S360" s="181"/>
      <c r="T360" s="181"/>
      <c r="U360" s="182"/>
      <c r="V360" s="182" t="s">
        <v>35</v>
      </c>
      <c r="W360" s="183">
        <v>50</v>
      </c>
      <c r="X360" s="182" t="s">
        <v>51</v>
      </c>
      <c r="Y360" s="184">
        <v>2850</v>
      </c>
      <c r="Z360" s="184">
        <v>2850</v>
      </c>
      <c r="AA360" s="184">
        <v>2850</v>
      </c>
      <c r="AB360" s="184">
        <v>2750</v>
      </c>
      <c r="AC360" s="184">
        <v>2750</v>
      </c>
      <c r="AD360" s="184">
        <v>2750</v>
      </c>
      <c r="AE360" s="184">
        <v>2550</v>
      </c>
      <c r="AF360" s="184">
        <v>2550</v>
      </c>
      <c r="AG360" s="184">
        <v>2550</v>
      </c>
      <c r="AH360" s="184">
        <v>2400</v>
      </c>
      <c r="AI360" s="184">
        <v>2400</v>
      </c>
      <c r="AJ360" s="184">
        <v>2400</v>
      </c>
      <c r="AK360" s="184">
        <v>2400</v>
      </c>
      <c r="AL360" s="184">
        <v>2400</v>
      </c>
      <c r="AM360" s="184">
        <v>2400</v>
      </c>
      <c r="AN360" s="184">
        <v>2400</v>
      </c>
      <c r="AO360" s="184">
        <v>2400</v>
      </c>
      <c r="AP360" s="184">
        <v>2400</v>
      </c>
      <c r="AQ360" s="184">
        <v>2210</v>
      </c>
      <c r="AR360" s="184">
        <v>2600</v>
      </c>
      <c r="AS360" s="184">
        <v>2600</v>
      </c>
      <c r="AT360" s="184">
        <v>2600</v>
      </c>
      <c r="AU360" s="184">
        <v>2600</v>
      </c>
      <c r="AV360" s="184">
        <v>2600</v>
      </c>
      <c r="AW360" s="184">
        <v>2820</v>
      </c>
      <c r="AX360" s="184">
        <v>2820</v>
      </c>
      <c r="AY360" s="146">
        <f t="shared" si="75"/>
        <v>2320</v>
      </c>
      <c r="AZ360" s="146">
        <f t="shared" si="76"/>
        <v>2320</v>
      </c>
      <c r="BA360" s="146">
        <f t="shared" si="76"/>
        <v>2320</v>
      </c>
      <c r="BB360" s="184">
        <v>2650</v>
      </c>
      <c r="BC360" s="184">
        <v>2650</v>
      </c>
      <c r="BD360" s="184">
        <v>2650</v>
      </c>
      <c r="BE360" s="184">
        <v>2650</v>
      </c>
      <c r="BF360" s="184">
        <v>2500</v>
      </c>
      <c r="BG360" s="184">
        <v>2500</v>
      </c>
      <c r="BH360" s="184">
        <v>2500</v>
      </c>
      <c r="BI360" s="184"/>
      <c r="BJ360" s="184"/>
      <c r="BK360" s="184"/>
      <c r="BL360" s="184">
        <v>2470</v>
      </c>
      <c r="BM360" s="184">
        <v>2470</v>
      </c>
      <c r="BN360" s="184">
        <v>2470</v>
      </c>
      <c r="BO360" s="184">
        <v>2730</v>
      </c>
      <c r="BP360" s="184">
        <v>2730</v>
      </c>
      <c r="BQ360" s="184">
        <v>2730</v>
      </c>
      <c r="BR360" s="184"/>
      <c r="BS360" s="184"/>
      <c r="BT360" s="184"/>
      <c r="BU360" s="146" cm="1">
        <f t="array" ref="BU360">LOOKUP(2,1/(Y360:BT360&lt;&gt;""),Y360:BH360)</f>
        <v>2730</v>
      </c>
      <c r="BV360" s="145" cm="1">
        <f t="array" aca="1" ref="BV360" ca="1">_xlfn.LET(
    _xlpm.last_col_idx, LOOKUP(2, 1/(Y360:BT360&lt;&gt;""), COLUMN(Y360:BT360) - COLUMN(Y360) + 1),
    _xlpm.header_val, INDEX($Y$3:$BT$3, 1, _xlpm.last_col_idx),
    _xlpm.header_date, IF(ISNUMBER(_xlpm.header_val), _xlpm.header_val, DATEVALUE(_xlpm.header_val)),
    IF(_xlpm.header_date &gt; TODAY(), TODAY(), _xlpm.header_date)
)</f>
        <v>46212</v>
      </c>
      <c r="BW360" s="209" cm="1">
        <f t="array" ref="BW360">(LOOKUP(2,1/(BH360:BT360&lt;&gt;""),BH360:BT360))/(INDEX(BH360:BT360,MATCH(TRUE,INDEX((BH360:BT360&lt;&gt;0),0),0)))-1</f>
        <v>9.2000000000000082E-2</v>
      </c>
      <c r="BX360" s="210">
        <f t="shared" si="64"/>
        <v>2.73</v>
      </c>
      <c r="BY360" s="210">
        <f t="shared" si="65"/>
        <v>16.106999999999999</v>
      </c>
      <c r="BZ360" s="210">
        <f ca="1">IF(L360="BR",'Impostos e Frete'!$F$6,IF(L360="EU",'Impostos e Frete'!$I$3,IF(L360="CN",'Impostos e Frete'!$I$4,IF(L360="JP",'Impostos e Frete'!$I$5,IF(L360="RU",'Impostos e Frete'!$I$7,"ERRO")))))</f>
        <v>0.1410816</v>
      </c>
      <c r="CA360" s="210">
        <f>VLOOKUP(L360,'Impostos e Frete'!$A$3:$B$7,2,0)*'Preços e Condições'!BY360</f>
        <v>2.0939100000000002</v>
      </c>
      <c r="CB360" s="147">
        <f t="shared" si="66"/>
        <v>0</v>
      </c>
      <c r="CC360" s="147">
        <f>IF(X360="BRL",'Impostos e Frete'!$B$11,'Impostos e Frete'!$B$12)</f>
        <v>9.1999999999999998E-2</v>
      </c>
      <c r="CD360" s="211">
        <f t="shared" ca="1" si="67"/>
        <v>18.433991599999999</v>
      </c>
      <c r="CE360" s="212">
        <f t="shared" ca="1" si="68"/>
        <v>1.1982094539999999</v>
      </c>
      <c r="CF360" s="213">
        <f>VLOOKUP(L360,'Impostos e Frete'!$A$3:$C$7,3,0)</f>
        <v>105</v>
      </c>
      <c r="CG360" s="213">
        <f t="shared" si="69"/>
        <v>30</v>
      </c>
      <c r="CH360" s="213">
        <f t="shared" si="70"/>
        <v>-75</v>
      </c>
      <c r="CI360" s="214">
        <f t="shared" ca="1" si="71"/>
        <v>0.69907093101585005</v>
      </c>
      <c r="CJ360" s="215">
        <f t="shared" ca="1" si="72"/>
        <v>19.133062531015849</v>
      </c>
      <c r="CK360" s="216">
        <f t="shared" ca="1" si="73"/>
        <v>1.2436490645160301</v>
      </c>
    </row>
    <row r="361" spans="1:89">
      <c r="A361" s="176">
        <v>19536</v>
      </c>
      <c r="B361" s="177">
        <v>301</v>
      </c>
      <c r="C361" s="178">
        <v>65</v>
      </c>
      <c r="D361" s="178">
        <v>1270</v>
      </c>
      <c r="E361" s="178" t="s">
        <v>50</v>
      </c>
      <c r="F361" s="179" t="s">
        <v>108</v>
      </c>
      <c r="G361" s="189" t="s">
        <v>111</v>
      </c>
      <c r="H361" s="178" t="s">
        <v>345</v>
      </c>
      <c r="I361" s="178" t="s">
        <v>113</v>
      </c>
      <c r="J361" s="178"/>
      <c r="K361" s="178"/>
      <c r="L361" s="178" t="s">
        <v>59</v>
      </c>
      <c r="M361" s="178">
        <v>30</v>
      </c>
      <c r="N361" s="178">
        <v>500</v>
      </c>
      <c r="O361" s="178"/>
      <c r="P361" s="178"/>
      <c r="Q361" s="178"/>
      <c r="R361" s="178" t="s">
        <v>19</v>
      </c>
      <c r="S361" s="181"/>
      <c r="T361" s="181"/>
      <c r="U361" s="182"/>
      <c r="V361" s="182" t="s">
        <v>35</v>
      </c>
      <c r="W361" s="183">
        <v>20</v>
      </c>
      <c r="X361" s="182" t="s">
        <v>51</v>
      </c>
      <c r="Y361" s="184">
        <v>3350</v>
      </c>
      <c r="Z361" s="184">
        <v>3350</v>
      </c>
      <c r="AA361" s="184">
        <v>3350</v>
      </c>
      <c r="AB361" s="184">
        <v>3250</v>
      </c>
      <c r="AC361" s="184">
        <v>3250</v>
      </c>
      <c r="AD361" s="184">
        <v>3250</v>
      </c>
      <c r="AE361" s="184">
        <v>3050</v>
      </c>
      <c r="AF361" s="184">
        <v>3050</v>
      </c>
      <c r="AG361" s="184">
        <v>3050</v>
      </c>
      <c r="AH361" s="184">
        <v>2900</v>
      </c>
      <c r="AI361" s="184">
        <v>2900</v>
      </c>
      <c r="AJ361" s="184">
        <v>2900</v>
      </c>
      <c r="AK361" s="184">
        <v>2900</v>
      </c>
      <c r="AL361" s="184">
        <v>2900</v>
      </c>
      <c r="AM361" s="184">
        <v>2900</v>
      </c>
      <c r="AN361" s="184">
        <v>2900</v>
      </c>
      <c r="AO361" s="184">
        <v>2900</v>
      </c>
      <c r="AP361" s="184">
        <v>2900</v>
      </c>
      <c r="AQ361" s="184">
        <v>2710</v>
      </c>
      <c r="AR361" s="184">
        <v>3100</v>
      </c>
      <c r="AS361" s="184">
        <v>3100</v>
      </c>
      <c r="AT361" s="184">
        <v>3100</v>
      </c>
      <c r="AU361" s="184">
        <v>3100</v>
      </c>
      <c r="AV361" s="184">
        <v>3100</v>
      </c>
      <c r="AW361" s="184">
        <v>2870</v>
      </c>
      <c r="AX361" s="184">
        <v>2870</v>
      </c>
      <c r="AY361" s="146">
        <f t="shared" si="75"/>
        <v>2370</v>
      </c>
      <c r="AZ361" s="146">
        <f t="shared" si="76"/>
        <v>2370</v>
      </c>
      <c r="BA361" s="146">
        <f t="shared" si="76"/>
        <v>2370</v>
      </c>
      <c r="BB361" s="184">
        <v>2700</v>
      </c>
      <c r="BC361" s="184">
        <v>2700</v>
      </c>
      <c r="BD361" s="184">
        <v>2700</v>
      </c>
      <c r="BE361" s="184">
        <v>2700</v>
      </c>
      <c r="BF361" s="184">
        <v>2550</v>
      </c>
      <c r="BG361" s="184">
        <v>2550</v>
      </c>
      <c r="BH361" s="184">
        <v>2550</v>
      </c>
      <c r="BI361" s="184"/>
      <c r="BJ361" s="184"/>
      <c r="BK361" s="184"/>
      <c r="BL361" s="184">
        <v>2500</v>
      </c>
      <c r="BM361" s="184">
        <v>2500</v>
      </c>
      <c r="BN361" s="184">
        <v>2500</v>
      </c>
      <c r="BO361" s="184">
        <v>3230</v>
      </c>
      <c r="BP361" s="184">
        <v>3230</v>
      </c>
      <c r="BQ361" s="184">
        <v>3230</v>
      </c>
      <c r="BR361" s="184"/>
      <c r="BS361" s="184"/>
      <c r="BT361" s="184"/>
      <c r="BU361" s="146" cm="1">
        <f t="array" ref="BU361">LOOKUP(2,1/(Y361:BT361&lt;&gt;""),Y361:BH361)</f>
        <v>3230</v>
      </c>
      <c r="BV361" s="145" cm="1">
        <f t="array" aca="1" ref="BV361" ca="1">_xlfn.LET(
    _xlpm.last_col_idx, LOOKUP(2, 1/(Y361:BT361&lt;&gt;""), COLUMN(Y361:BT361) - COLUMN(Y361) + 1),
    _xlpm.header_val, INDEX($Y$3:$BT$3, 1, _xlpm.last_col_idx),
    _xlpm.header_date, IF(ISNUMBER(_xlpm.header_val), _xlpm.header_val, DATEVALUE(_xlpm.header_val)),
    IF(_xlpm.header_date &gt; TODAY(), TODAY(), _xlpm.header_date)
)</f>
        <v>46212</v>
      </c>
      <c r="BW361" s="209" cm="1">
        <f t="array" ref="BW361">(LOOKUP(2,1/(BH361:BT361&lt;&gt;""),BH361:BT361))/(INDEX(BH361:BT361,MATCH(TRUE,INDEX((BH361:BT361&lt;&gt;0),0),0)))-1</f>
        <v>0.26666666666666661</v>
      </c>
      <c r="BX361" s="210">
        <f t="shared" si="64"/>
        <v>3.23</v>
      </c>
      <c r="BY361" s="210">
        <f t="shared" si="65"/>
        <v>19.057000000000002</v>
      </c>
      <c r="BZ361" s="210">
        <f ca="1">IF(L361="BR",'Impostos e Frete'!$F$6,IF(L361="EU",'Impostos e Frete'!$I$3,IF(L361="CN",'Impostos e Frete'!$I$4,IF(L361="JP",'Impostos e Frete'!$I$5,IF(L361="RU",'Impostos e Frete'!$I$7,"ERRO")))))</f>
        <v>0.1410816</v>
      </c>
      <c r="CA361" s="210">
        <f>VLOOKUP(L361,'Impostos e Frete'!$A$3:$B$7,2,0)*'Preços e Condições'!BY361</f>
        <v>2.4774100000000003</v>
      </c>
      <c r="CB361" s="147">
        <f t="shared" si="66"/>
        <v>0</v>
      </c>
      <c r="CC361" s="147">
        <f>IF(X361="BRL",'Impostos e Frete'!$B$11,'Impostos e Frete'!$B$12)</f>
        <v>9.1999999999999998E-2</v>
      </c>
      <c r="CD361" s="211">
        <f t="shared" ca="1" si="67"/>
        <v>21.7674916</v>
      </c>
      <c r="CE361" s="212">
        <f t="shared" ca="1" si="68"/>
        <v>1.414886954</v>
      </c>
      <c r="CF361" s="213">
        <f>VLOOKUP(L361,'Impostos e Frete'!$A$3:$C$7,3,0)</f>
        <v>105</v>
      </c>
      <c r="CG361" s="213">
        <f t="shared" si="69"/>
        <v>30</v>
      </c>
      <c r="CH361" s="213">
        <f t="shared" si="70"/>
        <v>-75</v>
      </c>
      <c r="CI361" s="214">
        <f t="shared" ca="1" si="71"/>
        <v>0.82548701056648355</v>
      </c>
      <c r="CJ361" s="215">
        <f t="shared" ca="1" si="72"/>
        <v>22.592978610566483</v>
      </c>
      <c r="CK361" s="216">
        <f t="shared" ca="1" si="73"/>
        <v>1.4685436096868214</v>
      </c>
    </row>
    <row r="362" spans="1:89">
      <c r="A362" s="176">
        <v>19537</v>
      </c>
      <c r="B362" s="177">
        <v>1410</v>
      </c>
      <c r="C362" s="178">
        <v>68</v>
      </c>
      <c r="D362" s="178">
        <v>1860</v>
      </c>
      <c r="E362" s="178" t="s">
        <v>50</v>
      </c>
      <c r="F362" s="179" t="s">
        <v>108</v>
      </c>
      <c r="G362" s="189" t="s">
        <v>129</v>
      </c>
      <c r="H362" s="178" t="s">
        <v>61</v>
      </c>
      <c r="I362" s="178"/>
      <c r="J362" s="178"/>
      <c r="K362" s="178"/>
      <c r="L362" s="178" t="s">
        <v>59</v>
      </c>
      <c r="M362" s="178">
        <v>30</v>
      </c>
      <c r="N362" s="178">
        <v>500</v>
      </c>
      <c r="O362" s="178"/>
      <c r="P362" s="178"/>
      <c r="Q362" s="178"/>
      <c r="R362" s="178" t="s">
        <v>19</v>
      </c>
      <c r="S362" s="181"/>
      <c r="T362" s="181"/>
      <c r="U362" s="182"/>
      <c r="V362" s="182" t="s">
        <v>35</v>
      </c>
      <c r="W362" s="183">
        <v>80</v>
      </c>
      <c r="X362" s="182" t="s">
        <v>51</v>
      </c>
      <c r="Y362" s="184"/>
      <c r="Z362" s="184"/>
      <c r="AA362" s="184"/>
      <c r="AB362" s="184"/>
      <c r="AC362" s="184"/>
      <c r="AD362" s="184"/>
      <c r="AE362" s="184"/>
      <c r="AF362" s="184"/>
      <c r="AG362" s="184">
        <v>1900</v>
      </c>
      <c r="AH362" s="184">
        <v>1900</v>
      </c>
      <c r="AI362" s="184">
        <v>1720</v>
      </c>
      <c r="AJ362" s="184">
        <v>1720</v>
      </c>
      <c r="AK362" s="184">
        <v>1720</v>
      </c>
      <c r="AL362" s="184">
        <v>1720</v>
      </c>
      <c r="AM362" s="184">
        <v>1720</v>
      </c>
      <c r="AN362" s="184">
        <v>1720</v>
      </c>
      <c r="AO362" s="184">
        <v>1720</v>
      </c>
      <c r="AP362" s="184">
        <v>1720</v>
      </c>
      <c r="AQ362" s="184">
        <v>1740</v>
      </c>
      <c r="AR362" s="184">
        <v>1860</v>
      </c>
      <c r="AS362" s="184">
        <v>1860</v>
      </c>
      <c r="AT362" s="184">
        <v>1860</v>
      </c>
      <c r="AU362" s="184">
        <v>1860</v>
      </c>
      <c r="AV362" s="184">
        <v>1860</v>
      </c>
      <c r="AW362" s="184">
        <v>2310</v>
      </c>
      <c r="AX362" s="184">
        <v>2310</v>
      </c>
      <c r="AY362" s="146">
        <f t="shared" si="75"/>
        <v>1810</v>
      </c>
      <c r="AZ362" s="146">
        <f t="shared" si="76"/>
        <v>1810</v>
      </c>
      <c r="BA362" s="146">
        <f t="shared" si="76"/>
        <v>1810</v>
      </c>
      <c r="BB362" s="184">
        <v>1960</v>
      </c>
      <c r="BC362" s="184">
        <v>1960</v>
      </c>
      <c r="BD362" s="184">
        <v>1960</v>
      </c>
      <c r="BE362" s="184">
        <v>1960</v>
      </c>
      <c r="BF362" s="184">
        <v>1860</v>
      </c>
      <c r="BG362" s="184">
        <v>1860</v>
      </c>
      <c r="BH362" s="184">
        <v>1860</v>
      </c>
      <c r="BI362" s="184"/>
      <c r="BJ362" s="184"/>
      <c r="BK362" s="184"/>
      <c r="BL362" s="184"/>
      <c r="BM362" s="184"/>
      <c r="BN362" s="184"/>
      <c r="BO362" s="184">
        <v>1790</v>
      </c>
      <c r="BP362" s="184">
        <v>1790</v>
      </c>
      <c r="BQ362" s="184">
        <v>1790</v>
      </c>
      <c r="BR362" s="184"/>
      <c r="BS362" s="184"/>
      <c r="BT362" s="184"/>
      <c r="BU362" s="146" cm="1">
        <f t="array" ref="BU362">LOOKUP(2,1/(Y362:BT362&lt;&gt;""),Y362:BH362)</f>
        <v>1790</v>
      </c>
      <c r="BV362" s="145" cm="1">
        <f t="array" aca="1" ref="BV362" ca="1">_xlfn.LET(
    _xlpm.last_col_idx, LOOKUP(2, 1/(Y362:BT362&lt;&gt;""), COLUMN(Y362:BT362) - COLUMN(Y362) + 1),
    _xlpm.header_val, INDEX($Y$3:$BT$3, 1, _xlpm.last_col_idx),
    _xlpm.header_date, IF(ISNUMBER(_xlpm.header_val), _xlpm.header_val, DATEVALUE(_xlpm.header_val)),
    IF(_xlpm.header_date &gt; TODAY(), TODAY(), _xlpm.header_date)
)</f>
        <v>46212</v>
      </c>
      <c r="BW362" s="209" cm="1">
        <f t="array" ref="BW362">(LOOKUP(2,1/(BH362:BT362&lt;&gt;""),BH362:BT362))/(INDEX(BH362:BT362,MATCH(TRUE,INDEX((BH362:BT362&lt;&gt;0),0),0)))-1</f>
        <v>-3.7634408602150504E-2</v>
      </c>
      <c r="BX362" s="210">
        <f t="shared" si="64"/>
        <v>1.79</v>
      </c>
      <c r="BY362" s="210">
        <f t="shared" si="65"/>
        <v>10.561000000000002</v>
      </c>
      <c r="BZ362" s="210">
        <f ca="1">IF(L362="BR",'Impostos e Frete'!$F$6,IF(L362="EU",'Impostos e Frete'!$I$3,IF(L362="CN",'Impostos e Frete'!$I$4,IF(L362="JP",'Impostos e Frete'!$I$5,IF(L362="RU",'Impostos e Frete'!$I$7,"ERRO")))))</f>
        <v>0.1410816</v>
      </c>
      <c r="CA362" s="210">
        <f>VLOOKUP(L362,'Impostos e Frete'!$A$3:$B$7,2,0)*'Preços e Condições'!BY362</f>
        <v>1.3729300000000002</v>
      </c>
      <c r="CB362" s="147">
        <f t="shared" si="66"/>
        <v>0</v>
      </c>
      <c r="CC362" s="147">
        <f>IF(X362="BRL",'Impostos e Frete'!$B$11,'Impostos e Frete'!$B$12)</f>
        <v>9.1999999999999998E-2</v>
      </c>
      <c r="CD362" s="211">
        <f t="shared" ca="1" si="67"/>
        <v>12.167011600000002</v>
      </c>
      <c r="CE362" s="212">
        <f t="shared" ca="1" si="68"/>
        <v>0.82735678880000019</v>
      </c>
      <c r="CF362" s="213">
        <f>VLOOKUP(L362,'Impostos e Frete'!$A$3:$C$7,3,0)</f>
        <v>105</v>
      </c>
      <c r="CG362" s="213">
        <f t="shared" si="69"/>
        <v>30</v>
      </c>
      <c r="CH362" s="213">
        <f t="shared" si="70"/>
        <v>-75</v>
      </c>
      <c r="CI362" s="214">
        <f t="shared" ca="1" si="71"/>
        <v>0.46140870146065538</v>
      </c>
      <c r="CJ362" s="215">
        <f t="shared" ca="1" si="72"/>
        <v>12.628420301460658</v>
      </c>
      <c r="CK362" s="216">
        <f t="shared" ca="1" si="73"/>
        <v>0.85873258049932477</v>
      </c>
    </row>
    <row r="363" spans="1:89">
      <c r="A363" s="176">
        <v>19538</v>
      </c>
      <c r="B363" s="177">
        <v>1430</v>
      </c>
      <c r="C363" s="178">
        <v>68</v>
      </c>
      <c r="D363" s="178">
        <v>1870</v>
      </c>
      <c r="E363" s="178" t="s">
        <v>50</v>
      </c>
      <c r="F363" s="179" t="s">
        <v>108</v>
      </c>
      <c r="G363" s="189" t="s">
        <v>130</v>
      </c>
      <c r="H363" s="178" t="s">
        <v>61</v>
      </c>
      <c r="I363" s="178"/>
      <c r="J363" s="178"/>
      <c r="K363" s="178"/>
      <c r="L363" s="178" t="s">
        <v>59</v>
      </c>
      <c r="M363" s="178">
        <v>30</v>
      </c>
      <c r="N363" s="178">
        <v>500</v>
      </c>
      <c r="O363" s="178"/>
      <c r="P363" s="178"/>
      <c r="Q363" s="178"/>
      <c r="R363" s="178" t="s">
        <v>19</v>
      </c>
      <c r="S363" s="181"/>
      <c r="T363" s="181"/>
      <c r="U363" s="182"/>
      <c r="V363" s="182" t="s">
        <v>35</v>
      </c>
      <c r="W363" s="183">
        <v>80</v>
      </c>
      <c r="X363" s="182" t="s">
        <v>51</v>
      </c>
      <c r="Y363" s="184"/>
      <c r="Z363" s="184"/>
      <c r="AA363" s="184"/>
      <c r="AB363" s="184"/>
      <c r="AC363" s="184"/>
      <c r="AD363" s="184"/>
      <c r="AE363" s="184"/>
      <c r="AF363" s="184"/>
      <c r="AG363" s="184">
        <v>2020</v>
      </c>
      <c r="AH363" s="184">
        <v>2020</v>
      </c>
      <c r="AI363" s="184">
        <v>1720</v>
      </c>
      <c r="AJ363" s="184">
        <v>1720</v>
      </c>
      <c r="AK363" s="184">
        <v>1720</v>
      </c>
      <c r="AL363" s="184">
        <v>1720</v>
      </c>
      <c r="AM363" s="184">
        <v>1720</v>
      </c>
      <c r="AN363" s="184">
        <v>1720</v>
      </c>
      <c r="AO363" s="184">
        <v>1720</v>
      </c>
      <c r="AP363" s="184">
        <v>1720</v>
      </c>
      <c r="AQ363" s="184">
        <v>1740</v>
      </c>
      <c r="AR363" s="184">
        <v>1940</v>
      </c>
      <c r="AS363" s="184">
        <v>1940</v>
      </c>
      <c r="AT363" s="184">
        <v>1940</v>
      </c>
      <c r="AU363" s="184">
        <v>1940</v>
      </c>
      <c r="AV363" s="184">
        <v>1940</v>
      </c>
      <c r="AW363" s="184">
        <v>2390</v>
      </c>
      <c r="AX363" s="184">
        <v>2390</v>
      </c>
      <c r="AY363" s="146">
        <f t="shared" si="75"/>
        <v>1890</v>
      </c>
      <c r="AZ363" s="146">
        <f t="shared" si="76"/>
        <v>1890</v>
      </c>
      <c r="BA363" s="146">
        <f t="shared" si="76"/>
        <v>1890</v>
      </c>
      <c r="BB363" s="184">
        <v>2040</v>
      </c>
      <c r="BC363" s="184">
        <v>2040</v>
      </c>
      <c r="BD363" s="184">
        <v>2040</v>
      </c>
      <c r="BE363" s="184">
        <v>2040</v>
      </c>
      <c r="BF363" s="184">
        <v>1940</v>
      </c>
      <c r="BG363" s="184">
        <v>1940</v>
      </c>
      <c r="BH363" s="184">
        <v>1940</v>
      </c>
      <c r="BI363" s="184"/>
      <c r="BJ363" s="184"/>
      <c r="BK363" s="184"/>
      <c r="BL363" s="184"/>
      <c r="BM363" s="184"/>
      <c r="BN363" s="184"/>
      <c r="BO363" s="184">
        <v>1900</v>
      </c>
      <c r="BP363" s="184">
        <v>1900</v>
      </c>
      <c r="BQ363" s="184">
        <v>1900</v>
      </c>
      <c r="BR363" s="184"/>
      <c r="BS363" s="184"/>
      <c r="BT363" s="184"/>
      <c r="BU363" s="146" cm="1">
        <f t="array" ref="BU363">LOOKUP(2,1/(Y363:BT363&lt;&gt;""),Y363:BH363)</f>
        <v>1900</v>
      </c>
      <c r="BV363" s="145" cm="1">
        <f t="array" aca="1" ref="BV363" ca="1">_xlfn.LET(
    _xlpm.last_col_idx, LOOKUP(2, 1/(Y363:BT363&lt;&gt;""), COLUMN(Y363:BT363) - COLUMN(Y363) + 1),
    _xlpm.header_val, INDEX($Y$3:$BT$3, 1, _xlpm.last_col_idx),
    _xlpm.header_date, IF(ISNUMBER(_xlpm.header_val), _xlpm.header_val, DATEVALUE(_xlpm.header_val)),
    IF(_xlpm.header_date &gt; TODAY(), TODAY(), _xlpm.header_date)
)</f>
        <v>46212</v>
      </c>
      <c r="BW363" s="209" cm="1">
        <f t="array" ref="BW363">(LOOKUP(2,1/(BH363:BT363&lt;&gt;""),BH363:BT363))/(INDEX(BH363:BT363,MATCH(TRUE,INDEX((BH363:BT363&lt;&gt;0),0),0)))-1</f>
        <v>-2.0618556701030966E-2</v>
      </c>
      <c r="BX363" s="210">
        <f t="shared" si="64"/>
        <v>1.9</v>
      </c>
      <c r="BY363" s="210">
        <f t="shared" si="65"/>
        <v>11.21</v>
      </c>
      <c r="BZ363" s="210">
        <f ca="1">IF(L363="BR",'Impostos e Frete'!$F$6,IF(L363="EU",'Impostos e Frete'!$I$3,IF(L363="CN",'Impostos e Frete'!$I$4,IF(L363="JP",'Impostos e Frete'!$I$5,IF(L363="RU",'Impostos e Frete'!$I$7,"ERRO")))))</f>
        <v>0.1410816</v>
      </c>
      <c r="CA363" s="210">
        <f>VLOOKUP(L363,'Impostos e Frete'!$A$3:$B$7,2,0)*'Preços e Condições'!BY363</f>
        <v>1.4573000000000003</v>
      </c>
      <c r="CB363" s="147">
        <f t="shared" si="66"/>
        <v>0</v>
      </c>
      <c r="CC363" s="147">
        <f>IF(X363="BRL",'Impostos e Frete'!$B$11,'Impostos e Frete'!$B$12)</f>
        <v>9.1999999999999998E-2</v>
      </c>
      <c r="CD363" s="211">
        <f t="shared" ca="1" si="67"/>
        <v>12.900381600000001</v>
      </c>
      <c r="CE363" s="212">
        <f t="shared" ca="1" si="68"/>
        <v>0.87722594880000015</v>
      </c>
      <c r="CF363" s="213">
        <f>VLOOKUP(L363,'Impostos e Frete'!$A$3:$C$7,3,0)</f>
        <v>105</v>
      </c>
      <c r="CG363" s="213">
        <f t="shared" si="69"/>
        <v>30</v>
      </c>
      <c r="CH363" s="213">
        <f t="shared" si="70"/>
        <v>-75</v>
      </c>
      <c r="CI363" s="214">
        <f t="shared" ca="1" si="71"/>
        <v>0.48922023896179567</v>
      </c>
      <c r="CJ363" s="215">
        <f t="shared" ca="1" si="72"/>
        <v>13.389601838961797</v>
      </c>
      <c r="CK363" s="216">
        <f t="shared" ca="1" si="73"/>
        <v>0.91049292504940216</v>
      </c>
    </row>
    <row r="364" spans="1:89">
      <c r="A364" s="176">
        <v>19539</v>
      </c>
      <c r="B364" s="177">
        <v>689</v>
      </c>
      <c r="C364" s="178">
        <v>68</v>
      </c>
      <c r="D364" s="178">
        <v>1870</v>
      </c>
      <c r="E364" s="178" t="s">
        <v>50</v>
      </c>
      <c r="F364" s="179" t="s">
        <v>108</v>
      </c>
      <c r="G364" s="189" t="s">
        <v>132</v>
      </c>
      <c r="H364" s="178" t="s">
        <v>63</v>
      </c>
      <c r="I364" s="178"/>
      <c r="J364" s="178"/>
      <c r="K364" s="178"/>
      <c r="L364" s="178" t="s">
        <v>59</v>
      </c>
      <c r="M364" s="178">
        <v>30</v>
      </c>
      <c r="N364" s="178">
        <v>500</v>
      </c>
      <c r="O364" s="178"/>
      <c r="P364" s="178"/>
      <c r="Q364" s="178"/>
      <c r="R364" s="178" t="s">
        <v>19</v>
      </c>
      <c r="S364" s="181"/>
      <c r="T364" s="181"/>
      <c r="U364" s="182"/>
      <c r="V364" s="182" t="s">
        <v>35</v>
      </c>
      <c r="W364" s="183">
        <v>80</v>
      </c>
      <c r="X364" s="182" t="s">
        <v>51</v>
      </c>
      <c r="Y364" s="184"/>
      <c r="Z364" s="184"/>
      <c r="AA364" s="184"/>
      <c r="AB364" s="184"/>
      <c r="AC364" s="184"/>
      <c r="AD364" s="184"/>
      <c r="AE364" s="184"/>
      <c r="AF364" s="184"/>
      <c r="AG364" s="184">
        <v>1890</v>
      </c>
      <c r="AH364" s="184">
        <v>1890</v>
      </c>
      <c r="AI364" s="184">
        <v>1890</v>
      </c>
      <c r="AJ364" s="184">
        <v>1890</v>
      </c>
      <c r="AK364" s="184">
        <v>1890</v>
      </c>
      <c r="AL364" s="184">
        <v>1890</v>
      </c>
      <c r="AM364" s="184">
        <v>1890</v>
      </c>
      <c r="AN364" s="184">
        <v>1890</v>
      </c>
      <c r="AO364" s="184">
        <v>1890</v>
      </c>
      <c r="AP364" s="184">
        <v>1890</v>
      </c>
      <c r="AQ364" s="184">
        <v>1650</v>
      </c>
      <c r="AR364" s="184">
        <v>1850</v>
      </c>
      <c r="AS364" s="184">
        <v>1850</v>
      </c>
      <c r="AT364" s="184">
        <v>1850</v>
      </c>
      <c r="AU364" s="184">
        <v>1850</v>
      </c>
      <c r="AV364" s="184">
        <v>1850</v>
      </c>
      <c r="AW364" s="184">
        <v>2250</v>
      </c>
      <c r="AX364" s="184">
        <v>2250</v>
      </c>
      <c r="AY364" s="146">
        <f t="shared" si="75"/>
        <v>1750</v>
      </c>
      <c r="AZ364" s="146">
        <f t="shared" si="76"/>
        <v>1750</v>
      </c>
      <c r="BA364" s="146">
        <f t="shared" si="76"/>
        <v>1750</v>
      </c>
      <c r="BB364" s="184">
        <v>1950</v>
      </c>
      <c r="BC364" s="184">
        <v>1950</v>
      </c>
      <c r="BD364" s="184">
        <v>1950</v>
      </c>
      <c r="BE364" s="184">
        <v>1950</v>
      </c>
      <c r="BF364" s="184">
        <v>1900</v>
      </c>
      <c r="BG364" s="184">
        <v>1900</v>
      </c>
      <c r="BH364" s="184">
        <v>1900</v>
      </c>
      <c r="BI364" s="184"/>
      <c r="BJ364" s="184"/>
      <c r="BK364" s="184"/>
      <c r="BL364" s="184">
        <v>1910</v>
      </c>
      <c r="BM364" s="184">
        <v>1910</v>
      </c>
      <c r="BN364" s="184">
        <v>1910</v>
      </c>
      <c r="BO364" s="184">
        <v>2020</v>
      </c>
      <c r="BP364" s="184">
        <v>2020</v>
      </c>
      <c r="BQ364" s="184">
        <v>2020</v>
      </c>
      <c r="BR364" s="184"/>
      <c r="BS364" s="184"/>
      <c r="BT364" s="184"/>
      <c r="BU364" s="146" cm="1">
        <f t="array" ref="BU364">LOOKUP(2,1/(Y364:BT364&lt;&gt;""),Y364:BH364)</f>
        <v>2020</v>
      </c>
      <c r="BV364" s="145" cm="1">
        <f t="array" aca="1" ref="BV364" ca="1">_xlfn.LET(
    _xlpm.last_col_idx, LOOKUP(2, 1/(Y364:BT364&lt;&gt;""), COLUMN(Y364:BT364) - COLUMN(Y364) + 1),
    _xlpm.header_val, INDEX($Y$3:$BT$3, 1, _xlpm.last_col_idx),
    _xlpm.header_date, IF(ISNUMBER(_xlpm.header_val), _xlpm.header_val, DATEVALUE(_xlpm.header_val)),
    IF(_xlpm.header_date &gt; TODAY(), TODAY(), _xlpm.header_date)
)</f>
        <v>46212</v>
      </c>
      <c r="BW364" s="209" cm="1">
        <f t="array" ref="BW364">(LOOKUP(2,1/(BH364:BT364&lt;&gt;""),BH364:BT364))/(INDEX(BH364:BT364,MATCH(TRUE,INDEX((BH364:BT364&lt;&gt;0),0),0)))-1</f>
        <v>6.315789473684208E-2</v>
      </c>
      <c r="BX364" s="210">
        <f t="shared" si="64"/>
        <v>2.02</v>
      </c>
      <c r="BY364" s="210">
        <f t="shared" si="65"/>
        <v>11.918000000000001</v>
      </c>
      <c r="BZ364" s="210">
        <f ca="1">IF(L364="BR",'Impostos e Frete'!$F$6,IF(L364="EU",'Impostos e Frete'!$I$3,IF(L364="CN",'Impostos e Frete'!$I$4,IF(L364="JP",'Impostos e Frete'!$I$5,IF(L364="RU",'Impostos e Frete'!$I$7,"ERRO")))))</f>
        <v>0.1410816</v>
      </c>
      <c r="CA364" s="210">
        <f>VLOOKUP(L364,'Impostos e Frete'!$A$3:$B$7,2,0)*'Preços e Condições'!BY364</f>
        <v>1.5493400000000002</v>
      </c>
      <c r="CB364" s="147">
        <f t="shared" si="66"/>
        <v>0</v>
      </c>
      <c r="CC364" s="147">
        <f>IF(X364="BRL",'Impostos e Frete'!$B$11,'Impostos e Frete'!$B$12)</f>
        <v>9.1999999999999998E-2</v>
      </c>
      <c r="CD364" s="211">
        <f t="shared" ca="1" si="67"/>
        <v>13.700421600000002</v>
      </c>
      <c r="CE364" s="212">
        <f t="shared" ca="1" si="68"/>
        <v>0.93162866880000017</v>
      </c>
      <c r="CF364" s="213">
        <f>VLOOKUP(L364,'Impostos e Frete'!$A$3:$C$7,3,0)</f>
        <v>105</v>
      </c>
      <c r="CG364" s="213">
        <f t="shared" si="69"/>
        <v>30</v>
      </c>
      <c r="CH364" s="213">
        <f t="shared" si="70"/>
        <v>-75</v>
      </c>
      <c r="CI364" s="214">
        <f t="shared" ca="1" si="71"/>
        <v>0.51956009805394743</v>
      </c>
      <c r="CJ364" s="215">
        <f t="shared" ca="1" si="72"/>
        <v>14.21998169805395</v>
      </c>
      <c r="CK364" s="216">
        <f t="shared" ca="1" si="73"/>
        <v>0.96695875546766852</v>
      </c>
    </row>
    <row r="365" spans="1:89">
      <c r="A365" s="176">
        <v>19539</v>
      </c>
      <c r="B365" s="177">
        <v>689</v>
      </c>
      <c r="C365" s="178">
        <v>68</v>
      </c>
      <c r="D365" s="178">
        <v>1870</v>
      </c>
      <c r="E365" s="178" t="s">
        <v>50</v>
      </c>
      <c r="F365" s="179" t="s">
        <v>108</v>
      </c>
      <c r="G365" s="189" t="s">
        <v>132</v>
      </c>
      <c r="H365" s="178" t="s">
        <v>63</v>
      </c>
      <c r="I365" s="178"/>
      <c r="J365" s="178"/>
      <c r="K365" s="178"/>
      <c r="L365" s="178" t="s">
        <v>59</v>
      </c>
      <c r="M365" s="178">
        <v>30</v>
      </c>
      <c r="N365" s="178">
        <v>500</v>
      </c>
      <c r="O365" s="178"/>
      <c r="P365" s="178"/>
      <c r="Q365" s="178"/>
      <c r="R365" s="178" t="s">
        <v>19</v>
      </c>
      <c r="S365" s="181"/>
      <c r="T365" s="181"/>
      <c r="U365" s="182"/>
      <c r="V365" s="182" t="s">
        <v>35</v>
      </c>
      <c r="W365" s="183">
        <v>50</v>
      </c>
      <c r="X365" s="182" t="s">
        <v>51</v>
      </c>
      <c r="Y365" s="184"/>
      <c r="Z365" s="184"/>
      <c r="AA365" s="184"/>
      <c r="AB365" s="184"/>
      <c r="AC365" s="184"/>
      <c r="AD365" s="184"/>
      <c r="AE365" s="184"/>
      <c r="AF365" s="184"/>
      <c r="AG365" s="184"/>
      <c r="AH365" s="184"/>
      <c r="AI365" s="184"/>
      <c r="AJ365" s="184"/>
      <c r="AK365" s="184"/>
      <c r="AL365" s="184"/>
      <c r="AM365" s="184"/>
      <c r="AN365" s="184"/>
      <c r="AO365" s="184"/>
      <c r="AP365" s="184"/>
      <c r="AQ365" s="184"/>
      <c r="AR365" s="184">
        <v>2050</v>
      </c>
      <c r="AS365" s="184">
        <v>2050</v>
      </c>
      <c r="AT365" s="184">
        <v>2050</v>
      </c>
      <c r="AU365" s="184">
        <v>2050</v>
      </c>
      <c r="AV365" s="184">
        <v>2050</v>
      </c>
      <c r="AW365" s="184">
        <v>2270</v>
      </c>
      <c r="AX365" s="184">
        <v>2270</v>
      </c>
      <c r="AY365" s="146">
        <f t="shared" si="75"/>
        <v>1770</v>
      </c>
      <c r="AZ365" s="146">
        <f t="shared" si="76"/>
        <v>1770</v>
      </c>
      <c r="BA365" s="146">
        <f t="shared" si="76"/>
        <v>1770</v>
      </c>
      <c r="BB365" s="184">
        <v>1970</v>
      </c>
      <c r="BC365" s="184">
        <v>1970</v>
      </c>
      <c r="BD365" s="184">
        <v>1970</v>
      </c>
      <c r="BE365" s="184">
        <v>1970</v>
      </c>
      <c r="BF365" s="184">
        <v>1920</v>
      </c>
      <c r="BG365" s="184">
        <v>1920</v>
      </c>
      <c r="BH365" s="184">
        <v>1920</v>
      </c>
      <c r="BI365" s="184"/>
      <c r="BJ365" s="184"/>
      <c r="BK365" s="184"/>
      <c r="BL365" s="184">
        <v>1930</v>
      </c>
      <c r="BM365" s="184">
        <v>1930</v>
      </c>
      <c r="BN365" s="184">
        <v>1930</v>
      </c>
      <c r="BO365" s="184">
        <v>2220</v>
      </c>
      <c r="BP365" s="184">
        <v>2220</v>
      </c>
      <c r="BQ365" s="184">
        <v>2220</v>
      </c>
      <c r="BR365" s="184"/>
      <c r="BS365" s="184"/>
      <c r="BT365" s="184"/>
      <c r="BU365" s="146" cm="1">
        <f t="array" ref="BU365">LOOKUP(2,1/(Y365:BT365&lt;&gt;""),Y365:BH365)</f>
        <v>2220</v>
      </c>
      <c r="BV365" s="145" cm="1">
        <f t="array" aca="1" ref="BV365" ca="1">_xlfn.LET(
    _xlpm.last_col_idx, LOOKUP(2, 1/(Y365:BT365&lt;&gt;""), COLUMN(Y365:BT365) - COLUMN(Y365) + 1),
    _xlpm.header_val, INDEX($Y$3:$BT$3, 1, _xlpm.last_col_idx),
    _xlpm.header_date, IF(ISNUMBER(_xlpm.header_val), _xlpm.header_val, DATEVALUE(_xlpm.header_val)),
    IF(_xlpm.header_date &gt; TODAY(), TODAY(), _xlpm.header_date)
)</f>
        <v>46212</v>
      </c>
      <c r="BW365" s="209" cm="1">
        <f t="array" ref="BW365">(LOOKUP(2,1/(BH365:BT365&lt;&gt;""),BH365:BT365))/(INDEX(BH365:BT365,MATCH(TRUE,INDEX((BH365:BT365&lt;&gt;0),0),0)))-1</f>
        <v>0.15625</v>
      </c>
      <c r="BX365" s="210">
        <f t="shared" si="64"/>
        <v>2.2200000000000002</v>
      </c>
      <c r="BY365" s="210">
        <f t="shared" si="65"/>
        <v>13.098000000000003</v>
      </c>
      <c r="BZ365" s="210">
        <f ca="1">IF(L365="BR",'Impostos e Frete'!$F$6,IF(L365="EU",'Impostos e Frete'!$I$3,IF(L365="CN",'Impostos e Frete'!$I$4,IF(L365="JP",'Impostos e Frete'!$I$5,IF(L365="RU",'Impostos e Frete'!$I$7,"ERRO")))))</f>
        <v>0.1410816</v>
      </c>
      <c r="CA365" s="210">
        <f>VLOOKUP(L365,'Impostos e Frete'!$A$3:$B$7,2,0)*'Preços e Condições'!BY365</f>
        <v>1.7027400000000004</v>
      </c>
      <c r="CB365" s="147">
        <f t="shared" si="66"/>
        <v>0</v>
      </c>
      <c r="CC365" s="147">
        <f>IF(X365="BRL",'Impostos e Frete'!$B$11,'Impostos e Frete'!$B$12)</f>
        <v>9.1999999999999998E-2</v>
      </c>
      <c r="CD365" s="211">
        <f t="shared" ca="1" si="67"/>
        <v>15.033821600000003</v>
      </c>
      <c r="CE365" s="212">
        <f t="shared" ca="1" si="68"/>
        <v>1.0222998688000002</v>
      </c>
      <c r="CF365" s="213">
        <f>VLOOKUP(L365,'Impostos e Frete'!$A$3:$C$7,3,0)</f>
        <v>105</v>
      </c>
      <c r="CG365" s="213">
        <f t="shared" si="69"/>
        <v>30</v>
      </c>
      <c r="CH365" s="213">
        <f t="shared" si="70"/>
        <v>-75</v>
      </c>
      <c r="CI365" s="214">
        <f t="shared" ca="1" si="71"/>
        <v>0.57012652987420154</v>
      </c>
      <c r="CJ365" s="215">
        <f t="shared" ca="1" si="72"/>
        <v>15.603948129874205</v>
      </c>
      <c r="CK365" s="216">
        <f t="shared" ca="1" si="73"/>
        <v>1.0610684728314459</v>
      </c>
    </row>
    <row r="366" spans="1:89">
      <c r="A366" s="176">
        <v>19539</v>
      </c>
      <c r="B366" s="177">
        <v>689</v>
      </c>
      <c r="C366" s="178">
        <v>68</v>
      </c>
      <c r="D366" s="178">
        <v>1870</v>
      </c>
      <c r="E366" s="178" t="s">
        <v>50</v>
      </c>
      <c r="F366" s="179" t="s">
        <v>108</v>
      </c>
      <c r="G366" s="189" t="s">
        <v>132</v>
      </c>
      <c r="H366" s="178" t="s">
        <v>63</v>
      </c>
      <c r="I366" s="178"/>
      <c r="J366" s="178"/>
      <c r="K366" s="178"/>
      <c r="L366" s="178" t="s">
        <v>59</v>
      </c>
      <c r="M366" s="178">
        <v>30</v>
      </c>
      <c r="N366" s="178">
        <v>500</v>
      </c>
      <c r="O366" s="178"/>
      <c r="P366" s="178"/>
      <c r="Q366" s="178"/>
      <c r="R366" s="178" t="s">
        <v>19</v>
      </c>
      <c r="S366" s="181"/>
      <c r="T366" s="181"/>
      <c r="U366" s="182"/>
      <c r="V366" s="182" t="s">
        <v>35</v>
      </c>
      <c r="W366" s="183">
        <v>20</v>
      </c>
      <c r="X366" s="182" t="s">
        <v>51</v>
      </c>
      <c r="Y366" s="184"/>
      <c r="Z366" s="184"/>
      <c r="AA366" s="184"/>
      <c r="AB366" s="184"/>
      <c r="AC366" s="184"/>
      <c r="AD366" s="184"/>
      <c r="AE366" s="184"/>
      <c r="AF366" s="184"/>
      <c r="AG366" s="184"/>
      <c r="AH366" s="184"/>
      <c r="AI366" s="184"/>
      <c r="AJ366" s="184"/>
      <c r="AK366" s="184"/>
      <c r="AL366" s="184"/>
      <c r="AM366" s="184"/>
      <c r="AN366" s="184"/>
      <c r="AO366" s="184"/>
      <c r="AP366" s="184"/>
      <c r="AQ366" s="184"/>
      <c r="AR366" s="184">
        <v>2550</v>
      </c>
      <c r="AS366" s="184">
        <v>2550</v>
      </c>
      <c r="AT366" s="184">
        <v>2550</v>
      </c>
      <c r="AU366" s="184">
        <v>2550</v>
      </c>
      <c r="AV366" s="184">
        <v>2550</v>
      </c>
      <c r="AW366" s="184">
        <v>2320</v>
      </c>
      <c r="AX366" s="184">
        <v>2320</v>
      </c>
      <c r="AY366" s="146">
        <f t="shared" si="75"/>
        <v>1820</v>
      </c>
      <c r="AZ366" s="146">
        <f t="shared" si="76"/>
        <v>1820</v>
      </c>
      <c r="BA366" s="146">
        <f t="shared" si="76"/>
        <v>1820</v>
      </c>
      <c r="BB366" s="184">
        <v>2020</v>
      </c>
      <c r="BC366" s="184">
        <v>2020</v>
      </c>
      <c r="BD366" s="184">
        <v>2020</v>
      </c>
      <c r="BE366" s="184">
        <v>2020</v>
      </c>
      <c r="BF366" s="184">
        <v>1970</v>
      </c>
      <c r="BG366" s="184">
        <v>1970</v>
      </c>
      <c r="BH366" s="184">
        <v>1970</v>
      </c>
      <c r="BI366" s="184"/>
      <c r="BJ366" s="184"/>
      <c r="BK366" s="184"/>
      <c r="BL366" s="184">
        <v>1960</v>
      </c>
      <c r="BM366" s="184">
        <v>1960</v>
      </c>
      <c r="BN366" s="184">
        <v>1960</v>
      </c>
      <c r="BO366" s="184">
        <v>2720</v>
      </c>
      <c r="BP366" s="184">
        <v>2720</v>
      </c>
      <c r="BQ366" s="184">
        <v>2720</v>
      </c>
      <c r="BR366" s="184"/>
      <c r="BS366" s="184"/>
      <c r="BT366" s="184"/>
      <c r="BU366" s="146" cm="1">
        <f t="array" ref="BU366">LOOKUP(2,1/(Y366:BT366&lt;&gt;""),Y366:BH366)</f>
        <v>2720</v>
      </c>
      <c r="BV366" s="145" cm="1">
        <f t="array" aca="1" ref="BV366" ca="1">_xlfn.LET(
    _xlpm.last_col_idx, LOOKUP(2, 1/(Y366:BT366&lt;&gt;""), COLUMN(Y366:BT366) - COLUMN(Y366) + 1),
    _xlpm.header_val, INDEX($Y$3:$BT$3, 1, _xlpm.last_col_idx),
    _xlpm.header_date, IF(ISNUMBER(_xlpm.header_val), _xlpm.header_val, DATEVALUE(_xlpm.header_val)),
    IF(_xlpm.header_date &gt; TODAY(), TODAY(), _xlpm.header_date)
)</f>
        <v>46212</v>
      </c>
      <c r="BW366" s="209" cm="1">
        <f t="array" ref="BW366">(LOOKUP(2,1/(BH366:BT366&lt;&gt;""),BH366:BT366))/(INDEX(BH366:BT366,MATCH(TRUE,INDEX((BH366:BT366&lt;&gt;0),0),0)))-1</f>
        <v>0.38071065989847708</v>
      </c>
      <c r="BX366" s="210">
        <f t="shared" si="64"/>
        <v>2.72</v>
      </c>
      <c r="BY366" s="210">
        <f t="shared" si="65"/>
        <v>16.048000000000002</v>
      </c>
      <c r="BZ366" s="210">
        <f ca="1">IF(L366="BR",'Impostos e Frete'!$F$6,IF(L366="EU",'Impostos e Frete'!$I$3,IF(L366="CN",'Impostos e Frete'!$I$4,IF(L366="JP",'Impostos e Frete'!$I$5,IF(L366="RU",'Impostos e Frete'!$I$7,"ERRO")))))</f>
        <v>0.1410816</v>
      </c>
      <c r="CA366" s="210">
        <f>VLOOKUP(L366,'Impostos e Frete'!$A$3:$B$7,2,0)*'Preços e Condições'!BY366</f>
        <v>2.0862400000000001</v>
      </c>
      <c r="CB366" s="147">
        <f t="shared" si="66"/>
        <v>0</v>
      </c>
      <c r="CC366" s="147">
        <f>IF(X366="BRL",'Impostos e Frete'!$B$11,'Impostos e Frete'!$B$12)</f>
        <v>9.1999999999999998E-2</v>
      </c>
      <c r="CD366" s="211">
        <f t="shared" ca="1" si="67"/>
        <v>18.3673216</v>
      </c>
      <c r="CE366" s="212">
        <f t="shared" ca="1" si="68"/>
        <v>1.2489778687999999</v>
      </c>
      <c r="CF366" s="213">
        <f>VLOOKUP(L366,'Impostos e Frete'!$A$3:$C$7,3,0)</f>
        <v>105</v>
      </c>
      <c r="CG366" s="213">
        <f t="shared" si="69"/>
        <v>30</v>
      </c>
      <c r="CH366" s="213">
        <f t="shared" si="70"/>
        <v>-75</v>
      </c>
      <c r="CI366" s="214">
        <f t="shared" ca="1" si="71"/>
        <v>0.69654260942483504</v>
      </c>
      <c r="CJ366" s="215">
        <f t="shared" ca="1" si="72"/>
        <v>19.063864209424835</v>
      </c>
      <c r="CK366" s="216">
        <f t="shared" ca="1" si="73"/>
        <v>1.2963427662408888</v>
      </c>
    </row>
    <row r="367" spans="1:89">
      <c r="A367" s="176">
        <v>19540</v>
      </c>
      <c r="B367" s="177">
        <v>483</v>
      </c>
      <c r="C367" s="178">
        <v>68</v>
      </c>
      <c r="D367" s="178">
        <v>1870</v>
      </c>
      <c r="E367" s="178" t="s">
        <v>50</v>
      </c>
      <c r="F367" s="179" t="s">
        <v>108</v>
      </c>
      <c r="G367" s="189" t="s">
        <v>131</v>
      </c>
      <c r="H367" s="178" t="s">
        <v>63</v>
      </c>
      <c r="I367" s="178"/>
      <c r="J367" s="178"/>
      <c r="K367" s="178"/>
      <c r="L367" s="178" t="s">
        <v>59</v>
      </c>
      <c r="M367" s="178">
        <v>30</v>
      </c>
      <c r="N367" s="178">
        <v>500</v>
      </c>
      <c r="O367" s="178"/>
      <c r="P367" s="178"/>
      <c r="Q367" s="178"/>
      <c r="R367" s="178" t="s">
        <v>19</v>
      </c>
      <c r="S367" s="181"/>
      <c r="T367" s="181"/>
      <c r="U367" s="182"/>
      <c r="V367" s="182" t="s">
        <v>35</v>
      </c>
      <c r="W367" s="183">
        <v>80</v>
      </c>
      <c r="X367" s="182" t="s">
        <v>51</v>
      </c>
      <c r="Y367" s="184"/>
      <c r="Z367" s="184"/>
      <c r="AA367" s="184"/>
      <c r="AB367" s="184"/>
      <c r="AC367" s="184"/>
      <c r="AD367" s="184"/>
      <c r="AE367" s="184"/>
      <c r="AF367" s="184"/>
      <c r="AG367" s="184">
        <v>2060</v>
      </c>
      <c r="AH367" s="184">
        <v>2060</v>
      </c>
      <c r="AI367" s="184">
        <v>2060</v>
      </c>
      <c r="AJ367" s="184">
        <v>2060</v>
      </c>
      <c r="AK367" s="184">
        <v>2060</v>
      </c>
      <c r="AL367" s="184">
        <v>2060</v>
      </c>
      <c r="AM367" s="184">
        <v>2060</v>
      </c>
      <c r="AN367" s="184">
        <v>2060</v>
      </c>
      <c r="AO367" s="184">
        <v>2060</v>
      </c>
      <c r="AP367" s="184">
        <v>2060</v>
      </c>
      <c r="AQ367" s="184">
        <v>1650</v>
      </c>
      <c r="AR367" s="184">
        <v>1960</v>
      </c>
      <c r="AS367" s="184">
        <v>1960</v>
      </c>
      <c r="AT367" s="184">
        <v>1960</v>
      </c>
      <c r="AU367" s="184">
        <v>1960</v>
      </c>
      <c r="AV367" s="184">
        <v>1960</v>
      </c>
      <c r="AW367" s="184">
        <v>2360</v>
      </c>
      <c r="AX367" s="184">
        <v>2360</v>
      </c>
      <c r="AY367" s="146">
        <f t="shared" si="75"/>
        <v>1860</v>
      </c>
      <c r="AZ367" s="146">
        <f t="shared" ref="AZ367:BA370" si="77">AY367</f>
        <v>1860</v>
      </c>
      <c r="BA367" s="146">
        <f t="shared" si="77"/>
        <v>1860</v>
      </c>
      <c r="BB367" s="184">
        <v>2060</v>
      </c>
      <c r="BC367" s="184">
        <v>2060</v>
      </c>
      <c r="BD367" s="184">
        <v>2060</v>
      </c>
      <c r="BE367" s="184">
        <v>2060</v>
      </c>
      <c r="BF367" s="184">
        <v>2010</v>
      </c>
      <c r="BG367" s="184">
        <v>2010</v>
      </c>
      <c r="BH367" s="184">
        <v>2010</v>
      </c>
      <c r="BI367" s="184"/>
      <c r="BJ367" s="184"/>
      <c r="BK367" s="184"/>
      <c r="BL367" s="184">
        <v>2020</v>
      </c>
      <c r="BM367" s="184">
        <v>2020</v>
      </c>
      <c r="BN367" s="184">
        <v>2020</v>
      </c>
      <c r="BO367" s="184">
        <v>2130</v>
      </c>
      <c r="BP367" s="184">
        <v>2130</v>
      </c>
      <c r="BQ367" s="184">
        <v>2130</v>
      </c>
      <c r="BR367" s="184"/>
      <c r="BS367" s="184"/>
      <c r="BT367" s="184"/>
      <c r="BU367" s="146" cm="1">
        <f t="array" ref="BU367">LOOKUP(2,1/(Y367:BT367&lt;&gt;""),Y367:BH367)</f>
        <v>2130</v>
      </c>
      <c r="BV367" s="145" cm="1">
        <f t="array" aca="1" ref="BV367" ca="1">_xlfn.LET(
    _xlpm.last_col_idx, LOOKUP(2, 1/(Y367:BT367&lt;&gt;""), COLUMN(Y367:BT367) - COLUMN(Y367) + 1),
    _xlpm.header_val, INDEX($Y$3:$BT$3, 1, _xlpm.last_col_idx),
    _xlpm.header_date, IF(ISNUMBER(_xlpm.header_val), _xlpm.header_val, DATEVALUE(_xlpm.header_val)),
    IF(_xlpm.header_date &gt; TODAY(), TODAY(), _xlpm.header_date)
)</f>
        <v>46212</v>
      </c>
      <c r="BW367" s="209" cm="1">
        <f t="array" ref="BW367">(LOOKUP(2,1/(BH367:BT367&lt;&gt;""),BH367:BT367))/(INDEX(BH367:BT367,MATCH(TRUE,INDEX((BH367:BT367&lt;&gt;0),0),0)))-1</f>
        <v>5.9701492537313383E-2</v>
      </c>
      <c r="BX367" s="210">
        <f t="shared" si="64"/>
        <v>2.13</v>
      </c>
      <c r="BY367" s="210">
        <f t="shared" si="65"/>
        <v>12.567</v>
      </c>
      <c r="BZ367" s="210">
        <f ca="1">IF(L367="BR",'Impostos e Frete'!$F$6,IF(L367="EU",'Impostos e Frete'!$I$3,IF(L367="CN",'Impostos e Frete'!$I$4,IF(L367="JP",'Impostos e Frete'!$I$5,IF(L367="RU",'Impostos e Frete'!$I$7,"ERRO")))))</f>
        <v>0.1410816</v>
      </c>
      <c r="CA367" s="210">
        <f>VLOOKUP(L367,'Impostos e Frete'!$A$3:$B$7,2,0)*'Preços e Condições'!BY367</f>
        <v>1.63371</v>
      </c>
      <c r="CB367" s="147">
        <f t="shared" si="66"/>
        <v>0</v>
      </c>
      <c r="CC367" s="147">
        <f>IF(X367="BRL",'Impostos e Frete'!$B$11,'Impostos e Frete'!$B$12)</f>
        <v>9.1999999999999998E-2</v>
      </c>
      <c r="CD367" s="211">
        <f t="shared" ca="1" si="67"/>
        <v>14.433791600000001</v>
      </c>
      <c r="CE367" s="212">
        <f t="shared" ca="1" si="68"/>
        <v>0.98149782880000003</v>
      </c>
      <c r="CF367" s="213">
        <f>VLOOKUP(L367,'Impostos e Frete'!$A$3:$C$7,3,0)</f>
        <v>105</v>
      </c>
      <c r="CG367" s="213">
        <f t="shared" si="69"/>
        <v>30</v>
      </c>
      <c r="CH367" s="213">
        <f t="shared" si="70"/>
        <v>-75</v>
      </c>
      <c r="CI367" s="214">
        <f t="shared" ca="1" si="71"/>
        <v>0.54737163555508772</v>
      </c>
      <c r="CJ367" s="215">
        <f t="shared" ca="1" si="72"/>
        <v>14.981163235555089</v>
      </c>
      <c r="CK367" s="216">
        <f t="shared" ca="1" si="73"/>
        <v>1.018719100017746</v>
      </c>
    </row>
    <row r="368" spans="1:89">
      <c r="A368" s="176">
        <v>19540</v>
      </c>
      <c r="B368" s="177">
        <v>483</v>
      </c>
      <c r="C368" s="178">
        <v>68</v>
      </c>
      <c r="D368" s="178">
        <v>1870</v>
      </c>
      <c r="E368" s="178" t="s">
        <v>50</v>
      </c>
      <c r="F368" s="179" t="s">
        <v>108</v>
      </c>
      <c r="G368" s="189" t="s">
        <v>131</v>
      </c>
      <c r="H368" s="178" t="s">
        <v>63</v>
      </c>
      <c r="I368" s="178"/>
      <c r="J368" s="178"/>
      <c r="K368" s="178"/>
      <c r="L368" s="178" t="s">
        <v>59</v>
      </c>
      <c r="M368" s="178">
        <v>30</v>
      </c>
      <c r="N368" s="178">
        <v>500</v>
      </c>
      <c r="O368" s="178"/>
      <c r="P368" s="178"/>
      <c r="Q368" s="178"/>
      <c r="R368" s="178" t="s">
        <v>19</v>
      </c>
      <c r="S368" s="181"/>
      <c r="T368" s="181"/>
      <c r="U368" s="182"/>
      <c r="V368" s="182" t="s">
        <v>35</v>
      </c>
      <c r="W368" s="183">
        <v>50</v>
      </c>
      <c r="X368" s="182" t="s">
        <v>51</v>
      </c>
      <c r="Y368" s="184"/>
      <c r="Z368" s="184"/>
      <c r="AA368" s="184"/>
      <c r="AB368" s="184"/>
      <c r="AC368" s="184"/>
      <c r="AD368" s="184"/>
      <c r="AE368" s="184"/>
      <c r="AF368" s="184"/>
      <c r="AG368" s="184"/>
      <c r="AH368" s="184"/>
      <c r="AI368" s="184"/>
      <c r="AJ368" s="184"/>
      <c r="AK368" s="184"/>
      <c r="AL368" s="184"/>
      <c r="AM368" s="184"/>
      <c r="AN368" s="184"/>
      <c r="AO368" s="184"/>
      <c r="AP368" s="184"/>
      <c r="AQ368" s="184"/>
      <c r="AR368" s="184">
        <v>2160</v>
      </c>
      <c r="AS368" s="184">
        <v>2160</v>
      </c>
      <c r="AT368" s="184">
        <v>2160</v>
      </c>
      <c r="AU368" s="184">
        <v>2160</v>
      </c>
      <c r="AV368" s="184">
        <v>2160</v>
      </c>
      <c r="AW368" s="184">
        <v>2380</v>
      </c>
      <c r="AX368" s="184">
        <v>2380</v>
      </c>
      <c r="AY368" s="146">
        <f t="shared" si="75"/>
        <v>1880</v>
      </c>
      <c r="AZ368" s="146">
        <f t="shared" si="77"/>
        <v>1880</v>
      </c>
      <c r="BA368" s="146">
        <f t="shared" si="77"/>
        <v>1880</v>
      </c>
      <c r="BB368" s="184">
        <v>2080</v>
      </c>
      <c r="BC368" s="184">
        <v>2080</v>
      </c>
      <c r="BD368" s="184">
        <v>2080</v>
      </c>
      <c r="BE368" s="184">
        <v>2080</v>
      </c>
      <c r="BF368" s="184">
        <v>2030</v>
      </c>
      <c r="BG368" s="184">
        <v>2030</v>
      </c>
      <c r="BH368" s="184">
        <v>2030</v>
      </c>
      <c r="BI368" s="184"/>
      <c r="BJ368" s="184"/>
      <c r="BK368" s="184"/>
      <c r="BL368" s="184">
        <v>2040</v>
      </c>
      <c r="BM368" s="184">
        <v>2040</v>
      </c>
      <c r="BN368" s="184">
        <v>2040</v>
      </c>
      <c r="BO368" s="184">
        <v>2330</v>
      </c>
      <c r="BP368" s="184">
        <v>2330</v>
      </c>
      <c r="BQ368" s="184">
        <v>2330</v>
      </c>
      <c r="BR368" s="184"/>
      <c r="BS368" s="184"/>
      <c r="BT368" s="184"/>
      <c r="BU368" s="146" cm="1">
        <f t="array" ref="BU368">LOOKUP(2,1/(Y368:BT368&lt;&gt;""),Y368:BH368)</f>
        <v>2330</v>
      </c>
      <c r="BV368" s="145" cm="1">
        <f t="array" aca="1" ref="BV368" ca="1">_xlfn.LET(
    _xlpm.last_col_idx, LOOKUP(2, 1/(Y368:BT368&lt;&gt;""), COLUMN(Y368:BT368) - COLUMN(Y368) + 1),
    _xlpm.header_val, INDEX($Y$3:$BT$3, 1, _xlpm.last_col_idx),
    _xlpm.header_date, IF(ISNUMBER(_xlpm.header_val), _xlpm.header_val, DATEVALUE(_xlpm.header_val)),
    IF(_xlpm.header_date &gt; TODAY(), TODAY(), _xlpm.header_date)
)</f>
        <v>46212</v>
      </c>
      <c r="BW368" s="209" cm="1">
        <f t="array" ref="BW368">(LOOKUP(2,1/(BH368:BT368&lt;&gt;""),BH368:BT368))/(INDEX(BH368:BT368,MATCH(TRUE,INDEX((BH368:BT368&lt;&gt;0),0),0)))-1</f>
        <v>0.14778325123152714</v>
      </c>
      <c r="BX368" s="210">
        <f t="shared" si="64"/>
        <v>2.33</v>
      </c>
      <c r="BY368" s="210">
        <f t="shared" si="65"/>
        <v>13.747000000000002</v>
      </c>
      <c r="BZ368" s="210">
        <f ca="1">IF(L368="BR",'Impostos e Frete'!$F$6,IF(L368="EU",'Impostos e Frete'!$I$3,IF(L368="CN",'Impostos e Frete'!$I$4,IF(L368="JP",'Impostos e Frete'!$I$5,IF(L368="RU",'Impostos e Frete'!$I$7,"ERRO")))))</f>
        <v>0.1410816</v>
      </c>
      <c r="CA368" s="210">
        <f>VLOOKUP(L368,'Impostos e Frete'!$A$3:$B$7,2,0)*'Preços e Condições'!BY368</f>
        <v>1.7871100000000002</v>
      </c>
      <c r="CB368" s="147">
        <f t="shared" si="66"/>
        <v>0</v>
      </c>
      <c r="CC368" s="147">
        <f>IF(X368="BRL",'Impostos e Frete'!$B$11,'Impostos e Frete'!$B$12)</f>
        <v>9.1999999999999998E-2</v>
      </c>
      <c r="CD368" s="211">
        <f t="shared" ca="1" si="67"/>
        <v>15.767191600000002</v>
      </c>
      <c r="CE368" s="212">
        <f t="shared" ca="1" si="68"/>
        <v>1.0721690288000001</v>
      </c>
      <c r="CF368" s="213">
        <f>VLOOKUP(L368,'Impostos e Frete'!$A$3:$C$7,3,0)</f>
        <v>105</v>
      </c>
      <c r="CG368" s="213">
        <f t="shared" si="69"/>
        <v>30</v>
      </c>
      <c r="CH368" s="213">
        <f t="shared" si="70"/>
        <v>-75</v>
      </c>
      <c r="CI368" s="214">
        <f t="shared" ca="1" si="71"/>
        <v>0.59793806737534005</v>
      </c>
      <c r="CJ368" s="215">
        <f t="shared" ca="1" si="72"/>
        <v>16.365129667375342</v>
      </c>
      <c r="CK368" s="216">
        <f t="shared" ca="1" si="73"/>
        <v>1.1128288173815233</v>
      </c>
    </row>
    <row r="369" spans="1:89">
      <c r="A369" s="176">
        <v>19540</v>
      </c>
      <c r="B369" s="177">
        <v>483</v>
      </c>
      <c r="C369" s="178">
        <v>68</v>
      </c>
      <c r="D369" s="178">
        <v>1870</v>
      </c>
      <c r="E369" s="178" t="s">
        <v>50</v>
      </c>
      <c r="F369" s="179" t="s">
        <v>108</v>
      </c>
      <c r="G369" s="189" t="s">
        <v>131</v>
      </c>
      <c r="H369" s="178" t="s">
        <v>63</v>
      </c>
      <c r="I369" s="178"/>
      <c r="J369" s="178"/>
      <c r="K369" s="178"/>
      <c r="L369" s="178" t="s">
        <v>59</v>
      </c>
      <c r="M369" s="178">
        <v>30</v>
      </c>
      <c r="N369" s="178">
        <v>500</v>
      </c>
      <c r="O369" s="178"/>
      <c r="P369" s="178"/>
      <c r="Q369" s="178"/>
      <c r="R369" s="178" t="s">
        <v>19</v>
      </c>
      <c r="S369" s="181"/>
      <c r="T369" s="181"/>
      <c r="U369" s="182"/>
      <c r="V369" s="182" t="s">
        <v>35</v>
      </c>
      <c r="W369" s="183">
        <v>20</v>
      </c>
      <c r="X369" s="182" t="s">
        <v>51</v>
      </c>
      <c r="Y369" s="184"/>
      <c r="Z369" s="184"/>
      <c r="AA369" s="184"/>
      <c r="AB369" s="184"/>
      <c r="AC369" s="184"/>
      <c r="AD369" s="184"/>
      <c r="AE369" s="184"/>
      <c r="AF369" s="184"/>
      <c r="AG369" s="184"/>
      <c r="AH369" s="184"/>
      <c r="AI369" s="184"/>
      <c r="AJ369" s="184"/>
      <c r="AK369" s="184"/>
      <c r="AL369" s="184"/>
      <c r="AM369" s="184"/>
      <c r="AN369" s="184"/>
      <c r="AO369" s="184"/>
      <c r="AP369" s="184"/>
      <c r="AQ369" s="184"/>
      <c r="AR369" s="184">
        <v>2660</v>
      </c>
      <c r="AS369" s="184">
        <v>2660</v>
      </c>
      <c r="AT369" s="184">
        <v>2660</v>
      </c>
      <c r="AU369" s="184">
        <v>2660</v>
      </c>
      <c r="AV369" s="184">
        <v>2660</v>
      </c>
      <c r="AW369" s="184">
        <v>2430</v>
      </c>
      <c r="AX369" s="184">
        <v>2430</v>
      </c>
      <c r="AY369" s="146">
        <f t="shared" si="75"/>
        <v>1930</v>
      </c>
      <c r="AZ369" s="146">
        <f t="shared" si="77"/>
        <v>1930</v>
      </c>
      <c r="BA369" s="146">
        <f t="shared" si="77"/>
        <v>1930</v>
      </c>
      <c r="BB369" s="184">
        <v>2130</v>
      </c>
      <c r="BC369" s="184">
        <v>2130</v>
      </c>
      <c r="BD369" s="184">
        <v>2130</v>
      </c>
      <c r="BE369" s="184">
        <v>2130</v>
      </c>
      <c r="BF369" s="184">
        <v>2080</v>
      </c>
      <c r="BG369" s="184">
        <v>2080</v>
      </c>
      <c r="BH369" s="184">
        <v>2080</v>
      </c>
      <c r="BI369" s="184"/>
      <c r="BJ369" s="184"/>
      <c r="BK369" s="184"/>
      <c r="BL369" s="184">
        <v>2070</v>
      </c>
      <c r="BM369" s="184">
        <v>2070</v>
      </c>
      <c r="BN369" s="184">
        <v>2070</v>
      </c>
      <c r="BO369" s="184">
        <v>2830</v>
      </c>
      <c r="BP369" s="184">
        <v>2830</v>
      </c>
      <c r="BQ369" s="184">
        <v>2830</v>
      </c>
      <c r="BR369" s="184"/>
      <c r="BS369" s="184"/>
      <c r="BT369" s="184"/>
      <c r="BU369" s="146" cm="1">
        <f t="array" ref="BU369">LOOKUP(2,1/(Y369:BT369&lt;&gt;""),Y369:BH369)</f>
        <v>2830</v>
      </c>
      <c r="BV369" s="145" cm="1">
        <f t="array" aca="1" ref="BV369" ca="1">_xlfn.LET(
    _xlpm.last_col_idx, LOOKUP(2, 1/(Y369:BT369&lt;&gt;""), COLUMN(Y369:BT369) - COLUMN(Y369) + 1),
    _xlpm.header_val, INDEX($Y$3:$BT$3, 1, _xlpm.last_col_idx),
    _xlpm.header_date, IF(ISNUMBER(_xlpm.header_val), _xlpm.header_val, DATEVALUE(_xlpm.header_val)),
    IF(_xlpm.header_date &gt; TODAY(), TODAY(), _xlpm.header_date)
)</f>
        <v>46212</v>
      </c>
      <c r="BW369" s="209" cm="1">
        <f t="array" ref="BW369">(LOOKUP(2,1/(BH369:BT369&lt;&gt;""),BH369:BT369))/(INDEX(BH369:BT369,MATCH(TRUE,INDEX((BH369:BT369&lt;&gt;0),0),0)))-1</f>
        <v>0.36057692307692313</v>
      </c>
      <c r="BX369" s="210">
        <f t="shared" si="64"/>
        <v>2.83</v>
      </c>
      <c r="BY369" s="210">
        <f t="shared" si="65"/>
        <v>16.697000000000003</v>
      </c>
      <c r="BZ369" s="210">
        <f ca="1">IF(L369="BR",'Impostos e Frete'!$F$6,IF(L369="EU",'Impostos e Frete'!$I$3,IF(L369="CN",'Impostos e Frete'!$I$4,IF(L369="JP",'Impostos e Frete'!$I$5,IF(L369="RU",'Impostos e Frete'!$I$7,"ERRO")))))</f>
        <v>0.1410816</v>
      </c>
      <c r="CA369" s="210">
        <f>VLOOKUP(L369,'Impostos e Frete'!$A$3:$B$7,2,0)*'Preços e Condições'!BY369</f>
        <v>2.1706100000000004</v>
      </c>
      <c r="CB369" s="147">
        <f t="shared" si="66"/>
        <v>0</v>
      </c>
      <c r="CC369" s="147">
        <f>IF(X369="BRL",'Impostos e Frete'!$B$11,'Impostos e Frete'!$B$12)</f>
        <v>9.1999999999999998E-2</v>
      </c>
      <c r="CD369" s="211">
        <f t="shared" ca="1" si="67"/>
        <v>19.100691600000001</v>
      </c>
      <c r="CE369" s="212">
        <f t="shared" ca="1" si="68"/>
        <v>1.2988470288</v>
      </c>
      <c r="CF369" s="213">
        <f>VLOOKUP(L369,'Impostos e Frete'!$A$3:$C$7,3,0)</f>
        <v>105</v>
      </c>
      <c r="CG369" s="213">
        <f t="shared" si="69"/>
        <v>30</v>
      </c>
      <c r="CH369" s="213">
        <f t="shared" si="70"/>
        <v>-75</v>
      </c>
      <c r="CI369" s="214">
        <f t="shared" ca="1" si="71"/>
        <v>0.72435414692597533</v>
      </c>
      <c r="CJ369" s="215">
        <f t="shared" ca="1" si="72"/>
        <v>19.825045746925976</v>
      </c>
      <c r="CK369" s="216">
        <f t="shared" ca="1" si="73"/>
        <v>1.3481031107909662</v>
      </c>
    </row>
    <row r="370" spans="1:89">
      <c r="A370" s="176">
        <v>19542</v>
      </c>
      <c r="B370" s="177">
        <v>104</v>
      </c>
      <c r="C370" s="178">
        <v>78</v>
      </c>
      <c r="D370" s="178">
        <v>1550</v>
      </c>
      <c r="E370" s="178" t="s">
        <v>49</v>
      </c>
      <c r="F370" s="179" t="s">
        <v>108</v>
      </c>
      <c r="G370" s="189" t="s">
        <v>114</v>
      </c>
      <c r="H370" s="178" t="s">
        <v>43</v>
      </c>
      <c r="I370" s="178" t="s">
        <v>118</v>
      </c>
      <c r="J370" s="178"/>
      <c r="K370" s="178"/>
      <c r="L370" s="178" t="s">
        <v>59</v>
      </c>
      <c r="M370" s="178">
        <v>30</v>
      </c>
      <c r="N370" s="178">
        <v>500</v>
      </c>
      <c r="O370" s="178"/>
      <c r="P370" s="178"/>
      <c r="Q370" s="178"/>
      <c r="R370" s="178" t="s">
        <v>19</v>
      </c>
      <c r="S370" s="181"/>
      <c r="T370" s="181"/>
      <c r="U370" s="182"/>
      <c r="V370" s="182" t="s">
        <v>35</v>
      </c>
      <c r="W370" s="183">
        <v>80</v>
      </c>
      <c r="X370" s="182" t="s">
        <v>51</v>
      </c>
      <c r="Y370" s="184">
        <v>2530</v>
      </c>
      <c r="Z370" s="184">
        <v>2530</v>
      </c>
      <c r="AA370" s="184">
        <v>2530</v>
      </c>
      <c r="AB370" s="184">
        <v>2530</v>
      </c>
      <c r="AC370" s="184">
        <v>2530</v>
      </c>
      <c r="AD370" s="184">
        <v>2530</v>
      </c>
      <c r="AE370" s="184">
        <v>2430</v>
      </c>
      <c r="AF370" s="184">
        <v>2430</v>
      </c>
      <c r="AG370" s="184">
        <v>2430</v>
      </c>
      <c r="AH370" s="184">
        <v>2050</v>
      </c>
      <c r="AI370" s="184">
        <v>2050</v>
      </c>
      <c r="AJ370" s="184">
        <v>2050</v>
      </c>
      <c r="AK370" s="184">
        <v>2050</v>
      </c>
      <c r="AL370" s="184">
        <v>2050</v>
      </c>
      <c r="AM370" s="184">
        <v>2050</v>
      </c>
      <c r="AN370" s="184">
        <v>2050</v>
      </c>
      <c r="AO370" s="184">
        <v>2050</v>
      </c>
      <c r="AP370" s="184">
        <v>2050</v>
      </c>
      <c r="AQ370" s="184">
        <v>2050</v>
      </c>
      <c r="AR370" s="184">
        <v>2050</v>
      </c>
      <c r="AS370" s="184">
        <v>2050</v>
      </c>
      <c r="AT370" s="184">
        <v>2050</v>
      </c>
      <c r="AU370" s="184">
        <v>2050</v>
      </c>
      <c r="AV370" s="184">
        <v>2050</v>
      </c>
      <c r="AW370" s="184">
        <v>2550</v>
      </c>
      <c r="AX370" s="184">
        <v>2550</v>
      </c>
      <c r="AY370" s="146">
        <f t="shared" si="75"/>
        <v>2050</v>
      </c>
      <c r="AZ370" s="146">
        <f t="shared" si="77"/>
        <v>2050</v>
      </c>
      <c r="BA370" s="146">
        <f t="shared" si="77"/>
        <v>2050</v>
      </c>
      <c r="BB370" s="184"/>
      <c r="BC370" s="184"/>
      <c r="BD370" s="184"/>
      <c r="BE370" s="184"/>
      <c r="BF370" s="184">
        <v>1850</v>
      </c>
      <c r="BG370" s="184">
        <v>1850</v>
      </c>
      <c r="BH370" s="184">
        <v>1850</v>
      </c>
      <c r="BI370" s="184"/>
      <c r="BJ370" s="184"/>
      <c r="BK370" s="184"/>
      <c r="BL370" s="184"/>
      <c r="BM370" s="184"/>
      <c r="BN370" s="184"/>
      <c r="BO370" s="184">
        <v>1850</v>
      </c>
      <c r="BP370" s="184">
        <v>1850</v>
      </c>
      <c r="BQ370" s="184">
        <v>1850</v>
      </c>
      <c r="BR370" s="184"/>
      <c r="BS370" s="184"/>
      <c r="BT370" s="184"/>
      <c r="BU370" s="146" cm="1">
        <f t="array" ref="BU370">LOOKUP(2,1/(Y370:BT370&lt;&gt;""),Y370:BH370)</f>
        <v>1850</v>
      </c>
      <c r="BV370" s="145" cm="1">
        <f t="array" aca="1" ref="BV370" ca="1">_xlfn.LET(
    _xlpm.last_col_idx, LOOKUP(2, 1/(Y370:BT370&lt;&gt;""), COLUMN(Y370:BT370) - COLUMN(Y370) + 1),
    _xlpm.header_val, INDEX($Y$3:$BT$3, 1, _xlpm.last_col_idx),
    _xlpm.header_date, IF(ISNUMBER(_xlpm.header_val), _xlpm.header_val, DATEVALUE(_xlpm.header_val)),
    IF(_xlpm.header_date &gt; TODAY(), TODAY(), _xlpm.header_date)
)</f>
        <v>46212</v>
      </c>
      <c r="BW370" s="209" cm="1">
        <f t="array" ref="BW370">(LOOKUP(2,1/(BH370:BT370&lt;&gt;""),BH370:BT370))/(INDEX(BH370:BT370,MATCH(TRUE,INDEX((BH370:BT370&lt;&gt;0),0),0)))-1</f>
        <v>0</v>
      </c>
      <c r="BX370" s="210">
        <f t="shared" si="64"/>
        <v>1.85</v>
      </c>
      <c r="BY370" s="210">
        <f t="shared" si="65"/>
        <v>10.915000000000001</v>
      </c>
      <c r="BZ370" s="210">
        <f ca="1">IF(L370="BR",'Impostos e Frete'!$F$6,IF(L370="EU",'Impostos e Frete'!$I$3,IF(L370="CN",'Impostos e Frete'!$I$4,IF(L370="JP",'Impostos e Frete'!$I$5,IF(L370="RU",'Impostos e Frete'!$I$7,"ERRO")))))</f>
        <v>0.1410816</v>
      </c>
      <c r="CA370" s="210">
        <f>VLOOKUP(L370,'Impostos e Frete'!$A$3:$B$7,2,0)*'Preços e Condições'!BY370</f>
        <v>1.4189500000000002</v>
      </c>
      <c r="CB370" s="147">
        <f t="shared" si="66"/>
        <v>0</v>
      </c>
      <c r="CC370" s="147">
        <f>IF(X370="BRL",'Impostos e Frete'!$B$11,'Impostos e Frete'!$B$12)</f>
        <v>9.1999999999999998E-2</v>
      </c>
      <c r="CD370" s="211">
        <f t="shared" ca="1" si="67"/>
        <v>12.567031600000002</v>
      </c>
      <c r="CE370" s="212">
        <f t="shared" ca="1" si="68"/>
        <v>0.98022846480000014</v>
      </c>
      <c r="CF370" s="213">
        <f>VLOOKUP(L370,'Impostos e Frete'!$A$3:$C$7,3,0)</f>
        <v>105</v>
      </c>
      <c r="CG370" s="213">
        <f t="shared" si="69"/>
        <v>30</v>
      </c>
      <c r="CH370" s="213">
        <f t="shared" si="70"/>
        <v>-75</v>
      </c>
      <c r="CI370" s="214">
        <f t="shared" ca="1" si="71"/>
        <v>0.47657863100673126</v>
      </c>
      <c r="CJ370" s="215">
        <f t="shared" ca="1" si="72"/>
        <v>13.043610231006733</v>
      </c>
      <c r="CK370" s="216">
        <f t="shared" ca="1" si="73"/>
        <v>1.0174015980185251</v>
      </c>
    </row>
    <row r="371" spans="1:89">
      <c r="A371" s="217">
        <v>2010899</v>
      </c>
      <c r="B371" s="177">
        <v>483</v>
      </c>
      <c r="C371" s="178">
        <v>68</v>
      </c>
      <c r="D371" s="178">
        <v>1870</v>
      </c>
      <c r="E371" s="178" t="s">
        <v>50</v>
      </c>
      <c r="F371" s="179" t="s">
        <v>3</v>
      </c>
      <c r="G371" s="180" t="s">
        <v>97</v>
      </c>
      <c r="H371" s="178" t="s">
        <v>63</v>
      </c>
      <c r="I371" s="178" t="s">
        <v>98</v>
      </c>
      <c r="J371" s="178"/>
      <c r="K371" s="178"/>
      <c r="L371" s="178" t="s">
        <v>60</v>
      </c>
      <c r="M371" s="178">
        <v>90</v>
      </c>
      <c r="N371" s="178">
        <v>3300</v>
      </c>
      <c r="O371" s="178"/>
      <c r="P371" s="178">
        <v>90</v>
      </c>
      <c r="Q371" s="178"/>
      <c r="R371" s="178" t="s">
        <v>19</v>
      </c>
      <c r="S371" s="181"/>
      <c r="T371" s="181"/>
      <c r="U371" s="182"/>
      <c r="V371" s="182" t="s">
        <v>35</v>
      </c>
      <c r="W371" s="183">
        <v>100</v>
      </c>
      <c r="X371" s="182" t="s">
        <v>267</v>
      </c>
      <c r="Y371" s="184"/>
      <c r="Z371" s="184"/>
      <c r="AA371" s="184"/>
      <c r="AB371" s="184"/>
      <c r="AC371" s="184"/>
      <c r="AD371" s="184"/>
      <c r="AE371" s="184"/>
      <c r="AF371" s="184"/>
      <c r="AG371" s="184"/>
      <c r="AH371" s="184"/>
      <c r="AI371" s="184"/>
      <c r="AJ371" s="184"/>
      <c r="AK371" s="184"/>
      <c r="AL371" s="184"/>
      <c r="AM371" s="184"/>
      <c r="AN371" s="184"/>
      <c r="AO371" s="184"/>
      <c r="AP371" s="184"/>
      <c r="AQ371" s="184"/>
      <c r="AR371" s="184"/>
      <c r="AS371" s="184"/>
      <c r="AT371" s="184"/>
      <c r="AU371" s="184"/>
      <c r="AV371" s="184"/>
      <c r="AW371" s="184"/>
      <c r="AX371" s="184"/>
      <c r="AY371" s="184"/>
      <c r="AZ371" s="184"/>
      <c r="BA371" s="184"/>
      <c r="BB371" s="184"/>
      <c r="BC371" s="184"/>
      <c r="BD371" s="184"/>
      <c r="BE371" s="184"/>
      <c r="BF371" s="184"/>
      <c r="BG371" s="184"/>
      <c r="BH371" s="184"/>
      <c r="BI371" s="184">
        <v>12000</v>
      </c>
      <c r="BJ371" s="184">
        <v>12000</v>
      </c>
      <c r="BK371" s="184">
        <v>12000</v>
      </c>
      <c r="BL371" s="184">
        <v>12000</v>
      </c>
      <c r="BM371" s="184">
        <v>12000</v>
      </c>
      <c r="BN371" s="184">
        <v>12000</v>
      </c>
      <c r="BO371" s="184"/>
      <c r="BP371" s="184"/>
      <c r="BQ371" s="184"/>
      <c r="BR371" s="184"/>
      <c r="BS371" s="184"/>
      <c r="BT371" s="184"/>
      <c r="BU371" s="146" cm="1">
        <f t="array" ref="BU371">LOOKUP(2,1/(Y371:BT371&lt;&gt;""),Y371:BH371)</f>
        <v>12000</v>
      </c>
      <c r="BV371" s="145" cm="1">
        <f t="array" aca="1" ref="BV371" ca="1">_xlfn.LET(
    _xlpm.last_col_idx, LOOKUP(2, 1/(Y371:BT371&lt;&gt;""), COLUMN(Y371:BT371) - COLUMN(Y371) + 1),
    _xlpm.header_val, INDEX($Y$3:$BT$3, 1, _xlpm.last_col_idx),
    _xlpm.header_date, IF(ISNUMBER(_xlpm.header_val), _xlpm.header_val, DATEVALUE(_xlpm.header_val)),
    IF(_xlpm.header_date &gt; TODAY(), TODAY(), _xlpm.header_date)
)</f>
        <v>46174</v>
      </c>
      <c r="BW371" s="209" cm="1">
        <f t="array" ref="BW371">(LOOKUP(2,1/(BH371:BT371&lt;&gt;""),BH371:BT371))/(INDEX(BH371:BT371,MATCH(TRUE,INDEX((BH371:BT371&lt;&gt;0),0),0)))-1</f>
        <v>0</v>
      </c>
      <c r="BX371" s="210">
        <f t="shared" si="64"/>
        <v>12</v>
      </c>
      <c r="BY371" s="210">
        <f t="shared" si="65"/>
        <v>9</v>
      </c>
      <c r="BZ371" s="210">
        <f ca="1">IF(L371="BR",'Impostos e Frete'!$F$6,IF(L371="EU",'Impostos e Frete'!$I$3,IF(L371="CN",'Impostos e Frete'!$I$4,IF(L371="JP",'Impostos e Frete'!$I$5,IF(L371="RU",'Impostos e Frete'!$I$7,"ERRO")))))</f>
        <v>1.1330439999999999</v>
      </c>
      <c r="CA371" s="210">
        <f>VLOOKUP(L371,'Impostos e Frete'!$A$3:$B$7,2,0)*'Preços e Condições'!BY371</f>
        <v>1.2600000000000002</v>
      </c>
      <c r="CB371" s="147">
        <f t="shared" si="66"/>
        <v>0</v>
      </c>
      <c r="CC371" s="147">
        <f>IF(X371="BRL",'Impostos e Frete'!$B$11,'Impostos e Frete'!$B$12)</f>
        <v>9.1999999999999998E-2</v>
      </c>
      <c r="CD371" s="211">
        <f t="shared" ca="1" si="67"/>
        <v>11.485044</v>
      </c>
      <c r="CE371" s="212">
        <f t="shared" ca="1" si="68"/>
        <v>0.78098299199999999</v>
      </c>
      <c r="CF371" s="213">
        <f>VLOOKUP(L371,'Impostos e Frete'!$A$3:$C$7,3,0)</f>
        <v>120</v>
      </c>
      <c r="CG371" s="213">
        <f t="shared" si="69"/>
        <v>90</v>
      </c>
      <c r="CH371" s="213">
        <f t="shared" si="70"/>
        <v>-30</v>
      </c>
      <c r="CI371" s="214">
        <f t="shared" ca="1" si="71"/>
        <v>0.17227565999999861</v>
      </c>
      <c r="CJ371" s="215">
        <f t="shared" ca="1" si="72"/>
        <v>11.657319659999999</v>
      </c>
      <c r="CK371" s="216">
        <f t="shared" ca="1" si="73"/>
        <v>0.79269773687999989</v>
      </c>
    </row>
    <row r="372" spans="1:89">
      <c r="A372" s="217">
        <v>2032265</v>
      </c>
      <c r="B372" s="177">
        <v>8269</v>
      </c>
      <c r="C372" s="178">
        <v>68</v>
      </c>
      <c r="D372" s="178"/>
      <c r="E372" s="178" t="s">
        <v>50</v>
      </c>
      <c r="F372" s="179" t="s">
        <v>2</v>
      </c>
      <c r="G372" s="189" t="s">
        <v>85</v>
      </c>
      <c r="H372" s="178" t="s">
        <v>42</v>
      </c>
      <c r="I372" s="178">
        <v>32102</v>
      </c>
      <c r="J372" s="178"/>
      <c r="K372" s="178"/>
      <c r="L372" s="178" t="s">
        <v>59</v>
      </c>
      <c r="M372" s="178">
        <v>120</v>
      </c>
      <c r="N372" s="178"/>
      <c r="O372" s="178"/>
      <c r="P372" s="178"/>
      <c r="Q372" s="178"/>
      <c r="R372" s="178" t="s">
        <v>126</v>
      </c>
      <c r="S372" s="181"/>
      <c r="T372" s="181"/>
      <c r="U372" s="182"/>
      <c r="V372" s="182" t="s">
        <v>35</v>
      </c>
      <c r="W372" s="183">
        <v>100</v>
      </c>
      <c r="X372" s="182" t="s">
        <v>51</v>
      </c>
      <c r="Y372" s="184"/>
      <c r="Z372" s="184"/>
      <c r="AA372" s="184"/>
      <c r="AB372" s="184"/>
      <c r="AC372" s="184"/>
      <c r="AD372" s="184"/>
      <c r="AE372" s="184"/>
      <c r="AF372" s="184"/>
      <c r="AG372" s="184"/>
      <c r="AH372" s="184"/>
      <c r="AI372" s="184"/>
      <c r="AJ372" s="184"/>
      <c r="AK372" s="184"/>
      <c r="AL372" s="184"/>
      <c r="AM372" s="184"/>
      <c r="AN372" s="184"/>
      <c r="AO372" s="184"/>
      <c r="AP372" s="184"/>
      <c r="AQ372" s="184"/>
      <c r="AR372" s="184"/>
      <c r="AS372" s="184"/>
      <c r="AT372" s="184"/>
      <c r="AU372" s="184"/>
      <c r="AV372" s="184"/>
      <c r="AW372" s="184"/>
      <c r="AX372" s="184"/>
      <c r="AY372" s="184"/>
      <c r="AZ372" s="184"/>
      <c r="BA372" s="184"/>
      <c r="BB372" s="184"/>
      <c r="BC372" s="184"/>
      <c r="BD372" s="184"/>
      <c r="BE372" s="184"/>
      <c r="BF372" s="184"/>
      <c r="BG372" s="184"/>
      <c r="BH372" s="184"/>
      <c r="BI372" s="184">
        <v>2020</v>
      </c>
      <c r="BJ372" s="184">
        <v>2020</v>
      </c>
      <c r="BK372" s="184">
        <v>2020</v>
      </c>
      <c r="BL372" s="184">
        <v>2100</v>
      </c>
      <c r="BM372" s="184">
        <v>2100</v>
      </c>
      <c r="BN372" s="184">
        <v>2100</v>
      </c>
      <c r="BO372" s="184">
        <v>2180</v>
      </c>
      <c r="BP372" s="184">
        <v>2180</v>
      </c>
      <c r="BQ372" s="184">
        <v>2180</v>
      </c>
      <c r="BR372" s="184"/>
      <c r="BS372" s="184"/>
      <c r="BT372" s="184"/>
      <c r="BU372" s="146" cm="1">
        <f t="array" ref="BU372">LOOKUP(2,1/(Y372:BT372&lt;&gt;""),Y372:BH372)</f>
        <v>2180</v>
      </c>
      <c r="BV372" s="145" cm="1">
        <f t="array" aca="1" ref="BV372" ca="1">_xlfn.LET(
    _xlpm.last_col_idx, LOOKUP(2, 1/(Y372:BT372&lt;&gt;""), COLUMN(Y372:BT372) - COLUMN(Y372) + 1),
    _xlpm.header_val, INDEX($Y$3:$BT$3, 1, _xlpm.last_col_idx),
    _xlpm.header_date, IF(ISNUMBER(_xlpm.header_val), _xlpm.header_val, DATEVALUE(_xlpm.header_val)),
    IF(_xlpm.header_date &gt; TODAY(), TODAY(), _xlpm.header_date)
)</f>
        <v>46212</v>
      </c>
      <c r="BW372" s="209" cm="1">
        <f t="array" ref="BW372">(LOOKUP(2,1/(BH372:BT372&lt;&gt;""),BH372:BT372))/(INDEX(BH372:BT372,MATCH(TRUE,INDEX((BH372:BT372&lt;&gt;0),0),0)))-1</f>
        <v>7.9207920792079278E-2</v>
      </c>
      <c r="BX372" s="210">
        <f t="shared" si="64"/>
        <v>2.1800000000000002</v>
      </c>
      <c r="BY372" s="210">
        <f t="shared" si="65"/>
        <v>12.862000000000002</v>
      </c>
      <c r="BZ372" s="210">
        <f ca="1">IF(L372="BR",'Impostos e Frete'!$F$6,IF(L372="EU",'Impostos e Frete'!$I$3,IF(L372="CN",'Impostos e Frete'!$I$4,IF(L372="JP",'Impostos e Frete'!$I$5,IF(L372="RU",'Impostos e Frete'!$I$7,"ERRO")))))</f>
        <v>0.1410816</v>
      </c>
      <c r="CA372" s="210">
        <f>VLOOKUP(L372,'Impostos e Frete'!$A$3:$B$7,2,0)*'Preços e Condições'!BY372</f>
        <v>1.6720600000000003</v>
      </c>
      <c r="CB372" s="147">
        <f t="shared" si="66"/>
        <v>-0.17699999999999999</v>
      </c>
      <c r="CC372" s="147">
        <f>IF(X372="BRL",'Impostos e Frete'!$B$11,'Impostos e Frete'!$B$12)</f>
        <v>9.1999999999999998E-2</v>
      </c>
      <c r="CD372" s="211">
        <f t="shared" ca="1" si="67"/>
        <v>14.590141600000003</v>
      </c>
      <c r="CE372" s="212">
        <f t="shared" ca="1" si="68"/>
        <v>0.99212962880000011</v>
      </c>
      <c r="CF372" s="213">
        <f>VLOOKUP(L372,'Impostos e Frete'!$A$3:$C$7,3,0)</f>
        <v>105</v>
      </c>
      <c r="CG372" s="213">
        <f t="shared" si="69"/>
        <v>120</v>
      </c>
      <c r="CH372" s="213">
        <f t="shared" si="70"/>
        <v>15</v>
      </c>
      <c r="CI372" s="214">
        <f t="shared" ca="1" si="71"/>
        <v>-0.10821020756403676</v>
      </c>
      <c r="CJ372" s="215">
        <f t="shared" ca="1" si="72"/>
        <v>14.481931392435966</v>
      </c>
      <c r="CK372" s="216">
        <f t="shared" ca="1" si="73"/>
        <v>0.98477133468564571</v>
      </c>
    </row>
    <row r="373" spans="1:89">
      <c r="A373" s="217">
        <v>2032265</v>
      </c>
      <c r="B373" s="177">
        <v>8269</v>
      </c>
      <c r="C373" s="178">
        <v>68</v>
      </c>
      <c r="D373" s="178"/>
      <c r="E373" s="196" t="s">
        <v>50</v>
      </c>
      <c r="F373" s="179" t="s">
        <v>2</v>
      </c>
      <c r="G373" s="189" t="s">
        <v>85</v>
      </c>
      <c r="H373" s="178" t="s">
        <v>42</v>
      </c>
      <c r="I373" s="178">
        <v>32102</v>
      </c>
      <c r="J373" s="178"/>
      <c r="K373" s="178"/>
      <c r="L373" s="178" t="s">
        <v>59</v>
      </c>
      <c r="M373" s="178">
        <v>120</v>
      </c>
      <c r="N373" s="178"/>
      <c r="O373" s="178"/>
      <c r="P373" s="178"/>
      <c r="Q373" s="178"/>
      <c r="R373" s="178" t="s">
        <v>126</v>
      </c>
      <c r="S373" s="181"/>
      <c r="T373" s="181"/>
      <c r="U373" s="182"/>
      <c r="V373" s="182" t="s">
        <v>35</v>
      </c>
      <c r="W373" s="183">
        <v>70</v>
      </c>
      <c r="X373" s="182" t="s">
        <v>51</v>
      </c>
      <c r="Y373" s="228"/>
      <c r="Z373" s="228"/>
      <c r="AA373" s="228"/>
      <c r="AB373" s="228"/>
      <c r="AC373" s="228"/>
      <c r="AD373" s="228"/>
      <c r="AE373" s="228"/>
      <c r="AF373" s="228"/>
      <c r="AG373" s="228"/>
      <c r="AH373" s="228"/>
      <c r="AI373" s="228"/>
      <c r="AJ373" s="228"/>
      <c r="AK373" s="228"/>
      <c r="AL373" s="228"/>
      <c r="AM373" s="228"/>
      <c r="AN373" s="228"/>
      <c r="AO373" s="228"/>
      <c r="AP373" s="228"/>
      <c r="AQ373" s="228"/>
      <c r="AR373" s="228"/>
      <c r="AS373" s="228"/>
      <c r="AT373" s="228"/>
      <c r="AU373" s="228"/>
      <c r="AV373" s="228"/>
      <c r="AW373" s="184"/>
      <c r="AX373" s="184"/>
      <c r="AY373" s="184"/>
      <c r="AZ373" s="184"/>
      <c r="BA373" s="184"/>
      <c r="BB373" s="184"/>
      <c r="BC373" s="184"/>
      <c r="BD373" s="184"/>
      <c r="BE373" s="184"/>
      <c r="BF373" s="184"/>
      <c r="BG373" s="184"/>
      <c r="BH373" s="184"/>
      <c r="BI373" s="184">
        <v>2040</v>
      </c>
      <c r="BJ373" s="184">
        <v>2040</v>
      </c>
      <c r="BK373" s="184">
        <v>2040</v>
      </c>
      <c r="BL373" s="202">
        <v>2120</v>
      </c>
      <c r="BM373" s="202">
        <v>2120</v>
      </c>
      <c r="BN373" s="202">
        <v>2120</v>
      </c>
      <c r="BO373" s="184">
        <v>2200</v>
      </c>
      <c r="BP373" s="184">
        <v>2200</v>
      </c>
      <c r="BQ373" s="184">
        <v>2200</v>
      </c>
      <c r="BR373" s="184"/>
      <c r="BS373" s="184"/>
      <c r="BT373" s="184"/>
      <c r="BU373" s="146" cm="1">
        <f t="array" ref="BU373">LOOKUP(2,1/(Y373:BT373&lt;&gt;""),Y373:BH373)</f>
        <v>2200</v>
      </c>
      <c r="BV373" s="145" cm="1">
        <f t="array" aca="1" ref="BV373" ca="1">_xlfn.LET(
    _xlpm.last_col_idx, LOOKUP(2, 1/(Y373:BT373&lt;&gt;""), COLUMN(Y373:BT373) - COLUMN(Y373) + 1),
    _xlpm.header_val, INDEX($Y$3:$BT$3, 1, _xlpm.last_col_idx),
    _xlpm.header_date, IF(ISNUMBER(_xlpm.header_val), _xlpm.header_val, DATEVALUE(_xlpm.header_val)),
    IF(_xlpm.header_date &gt; TODAY(), TODAY(), _xlpm.header_date)
)</f>
        <v>46212</v>
      </c>
      <c r="BW373" s="209" cm="1">
        <f t="array" ref="BW373">(LOOKUP(2,1/(BH373:BT373&lt;&gt;""),BH373:BT373))/(INDEX(BH373:BT373,MATCH(TRUE,INDEX((BH373:BT373&lt;&gt;0),0),0)))-1</f>
        <v>7.8431372549019551E-2</v>
      </c>
      <c r="BX373" s="210">
        <f t="shared" si="64"/>
        <v>2.2000000000000002</v>
      </c>
      <c r="BY373" s="210">
        <f t="shared" si="65"/>
        <v>12.980000000000002</v>
      </c>
      <c r="BZ373" s="210">
        <f ca="1">IF(L373="BR",'Impostos e Frete'!$F$6,IF(L373="EU",'Impostos e Frete'!$I$3,IF(L373="CN",'Impostos e Frete'!$I$4,IF(L373="JP",'Impostos e Frete'!$I$5,IF(L373="RU",'Impostos e Frete'!$I$7,"ERRO")))))</f>
        <v>0.1410816</v>
      </c>
      <c r="CA373" s="210">
        <f>VLOOKUP(L373,'Impostos e Frete'!$A$3:$B$7,2,0)*'Preços e Condições'!BY373</f>
        <v>1.6874000000000002</v>
      </c>
      <c r="CB373" s="147">
        <f t="shared" si="66"/>
        <v>-0.17699999999999999</v>
      </c>
      <c r="CC373" s="147">
        <f>IF(X373="BRL",'Impostos e Frete'!$B$11,'Impostos e Frete'!$B$12)</f>
        <v>9.1999999999999998E-2</v>
      </c>
      <c r="CD373" s="211">
        <f t="shared" ca="1" si="67"/>
        <v>14.723481600000003</v>
      </c>
      <c r="CE373" s="212">
        <f t="shared" ca="1" si="68"/>
        <v>1.0011967488000002</v>
      </c>
      <c r="CF373" s="213">
        <f>VLOOKUP(L373,'Impostos e Frete'!$A$3:$C$7,3,0)</f>
        <v>105</v>
      </c>
      <c r="CG373" s="213">
        <f t="shared" si="69"/>
        <v>120</v>
      </c>
      <c r="CH373" s="213">
        <f t="shared" si="70"/>
        <v>15</v>
      </c>
      <c r="CI373" s="214">
        <f t="shared" ca="1" si="71"/>
        <v>-0.10919914581235446</v>
      </c>
      <c r="CJ373" s="215">
        <f t="shared" ca="1" si="72"/>
        <v>14.614282454187649</v>
      </c>
      <c r="CK373" s="216">
        <f t="shared" ca="1" si="73"/>
        <v>0.99377120688476006</v>
      </c>
    </row>
    <row r="374" spans="1:89">
      <c r="A374" s="217">
        <v>2032265</v>
      </c>
      <c r="B374" s="177">
        <v>8269</v>
      </c>
      <c r="C374" s="178">
        <v>68</v>
      </c>
      <c r="D374" s="178"/>
      <c r="E374" s="196" t="s">
        <v>50</v>
      </c>
      <c r="F374" s="179" t="s">
        <v>2</v>
      </c>
      <c r="G374" s="189" t="s">
        <v>85</v>
      </c>
      <c r="H374" s="178" t="s">
        <v>42</v>
      </c>
      <c r="I374" s="178">
        <v>32102</v>
      </c>
      <c r="J374" s="178"/>
      <c r="K374" s="178"/>
      <c r="L374" s="178" t="s">
        <v>59</v>
      </c>
      <c r="M374" s="178">
        <v>120</v>
      </c>
      <c r="N374" s="178"/>
      <c r="O374" s="178"/>
      <c r="P374" s="178"/>
      <c r="Q374" s="178"/>
      <c r="R374" s="178" t="s">
        <v>126</v>
      </c>
      <c r="S374" s="181"/>
      <c r="T374" s="181"/>
      <c r="U374" s="182"/>
      <c r="V374" s="182" t="s">
        <v>35</v>
      </c>
      <c r="W374" s="183">
        <v>50</v>
      </c>
      <c r="X374" s="182" t="s">
        <v>51</v>
      </c>
      <c r="Y374" s="184"/>
      <c r="Z374" s="184"/>
      <c r="AA374" s="184"/>
      <c r="AB374" s="184"/>
      <c r="AC374" s="184"/>
      <c r="AD374" s="184"/>
      <c r="AE374" s="184"/>
      <c r="AF374" s="184"/>
      <c r="AG374" s="184"/>
      <c r="AH374" s="184"/>
      <c r="AI374" s="184"/>
      <c r="AJ374" s="184"/>
      <c r="AK374" s="184"/>
      <c r="AL374" s="184"/>
      <c r="AM374" s="184"/>
      <c r="AN374" s="184"/>
      <c r="AO374" s="184"/>
      <c r="AP374" s="184"/>
      <c r="AQ374" s="184"/>
      <c r="AR374" s="184"/>
      <c r="AS374" s="184"/>
      <c r="AT374" s="184"/>
      <c r="AU374" s="184"/>
      <c r="AV374" s="184"/>
      <c r="AW374" s="184"/>
      <c r="AX374" s="184"/>
      <c r="AY374" s="184"/>
      <c r="AZ374" s="184"/>
      <c r="BA374" s="184"/>
      <c r="BB374" s="184"/>
      <c r="BC374" s="184"/>
      <c r="BD374" s="184"/>
      <c r="BE374" s="184"/>
      <c r="BF374" s="184"/>
      <c r="BG374" s="184"/>
      <c r="BH374" s="184"/>
      <c r="BI374" s="184">
        <v>2070</v>
      </c>
      <c r="BJ374" s="184">
        <v>2070</v>
      </c>
      <c r="BK374" s="184">
        <v>2070</v>
      </c>
      <c r="BL374" s="202">
        <v>2150</v>
      </c>
      <c r="BM374" s="202">
        <v>2150</v>
      </c>
      <c r="BN374" s="202">
        <v>2150</v>
      </c>
      <c r="BO374" s="184">
        <v>2230</v>
      </c>
      <c r="BP374" s="184">
        <v>2230</v>
      </c>
      <c r="BQ374" s="184">
        <v>2230</v>
      </c>
      <c r="BR374" s="184"/>
      <c r="BS374" s="184"/>
      <c r="BT374" s="184"/>
      <c r="BU374" s="146" cm="1">
        <f t="array" ref="BU374">LOOKUP(2,1/(Y374:BT374&lt;&gt;""),Y374:BH374)</f>
        <v>2230</v>
      </c>
      <c r="BV374" s="145" cm="1">
        <f t="array" aca="1" ref="BV374" ca="1">_xlfn.LET(
    _xlpm.last_col_idx, LOOKUP(2, 1/(Y374:BT374&lt;&gt;""), COLUMN(Y374:BT374) - COLUMN(Y374) + 1),
    _xlpm.header_val, INDEX($Y$3:$BT$3, 1, _xlpm.last_col_idx),
    _xlpm.header_date, IF(ISNUMBER(_xlpm.header_val), _xlpm.header_val, DATEVALUE(_xlpm.header_val)),
    IF(_xlpm.header_date &gt; TODAY(), TODAY(), _xlpm.header_date)
)</f>
        <v>46212</v>
      </c>
      <c r="BW374" s="209" cm="1">
        <f t="array" ref="BW374">(LOOKUP(2,1/(BH374:BT374&lt;&gt;""),BH374:BT374))/(INDEX(BH374:BT374,MATCH(TRUE,INDEX((BH374:BT374&lt;&gt;0),0),0)))-1</f>
        <v>7.7294685990338063E-2</v>
      </c>
      <c r="BX374" s="210">
        <f t="shared" si="64"/>
        <v>2.23</v>
      </c>
      <c r="BY374" s="210">
        <f t="shared" si="65"/>
        <v>13.157</v>
      </c>
      <c r="BZ374" s="210">
        <f ca="1">IF(L374="BR",'Impostos e Frete'!$F$6,IF(L374="EU",'Impostos e Frete'!$I$3,IF(L374="CN",'Impostos e Frete'!$I$4,IF(L374="JP",'Impostos e Frete'!$I$5,IF(L374="RU",'Impostos e Frete'!$I$7,"ERRO")))))</f>
        <v>0.1410816</v>
      </c>
      <c r="CA374" s="210">
        <f>VLOOKUP(L374,'Impostos e Frete'!$A$3:$B$7,2,0)*'Preços e Condições'!BY374</f>
        <v>1.71041</v>
      </c>
      <c r="CB374" s="147">
        <f t="shared" si="66"/>
        <v>-0.17699999999999999</v>
      </c>
      <c r="CC374" s="147">
        <f>IF(X374="BRL",'Impostos e Frete'!$B$11,'Impostos e Frete'!$B$12)</f>
        <v>9.1999999999999998E-2</v>
      </c>
      <c r="CD374" s="211">
        <f t="shared" ca="1" si="67"/>
        <v>14.9234916</v>
      </c>
      <c r="CE374" s="212">
        <f t="shared" ca="1" si="68"/>
        <v>1.0147974287999999</v>
      </c>
      <c r="CF374" s="213">
        <f>VLOOKUP(L374,'Impostos e Frete'!$A$3:$C$7,3,0)</f>
        <v>105</v>
      </c>
      <c r="CG374" s="213">
        <f t="shared" si="69"/>
        <v>120</v>
      </c>
      <c r="CH374" s="213">
        <f t="shared" si="70"/>
        <v>15</v>
      </c>
      <c r="CI374" s="214">
        <f t="shared" ca="1" si="71"/>
        <v>-0.11068255318482834</v>
      </c>
      <c r="CJ374" s="215">
        <f t="shared" ca="1" si="72"/>
        <v>14.812809046815172</v>
      </c>
      <c r="CK374" s="216">
        <f t="shared" ca="1" si="73"/>
        <v>1.0072710151834317</v>
      </c>
    </row>
    <row r="375" spans="1:89">
      <c r="A375" s="217">
        <v>2032265</v>
      </c>
      <c r="B375" s="177">
        <v>8269</v>
      </c>
      <c r="C375" s="178">
        <v>68</v>
      </c>
      <c r="D375" s="178"/>
      <c r="E375" s="196" t="s">
        <v>50</v>
      </c>
      <c r="F375" s="179" t="s">
        <v>2</v>
      </c>
      <c r="G375" s="189" t="s">
        <v>85</v>
      </c>
      <c r="H375" s="178" t="s">
        <v>42</v>
      </c>
      <c r="I375" s="178">
        <v>32102</v>
      </c>
      <c r="J375" s="178"/>
      <c r="K375" s="178"/>
      <c r="L375" s="178" t="s">
        <v>59</v>
      </c>
      <c r="M375" s="178">
        <v>120</v>
      </c>
      <c r="N375" s="178"/>
      <c r="O375" s="178"/>
      <c r="P375" s="178"/>
      <c r="Q375" s="178"/>
      <c r="R375" s="178" t="s">
        <v>126</v>
      </c>
      <c r="S375" s="181"/>
      <c r="T375" s="181"/>
      <c r="U375" s="182"/>
      <c r="V375" s="182" t="s">
        <v>35</v>
      </c>
      <c r="W375" s="183">
        <v>30</v>
      </c>
      <c r="X375" s="182" t="s">
        <v>51</v>
      </c>
      <c r="Y375" s="184"/>
      <c r="Z375" s="184"/>
      <c r="AA375" s="184"/>
      <c r="AB375" s="184"/>
      <c r="AC375" s="184"/>
      <c r="AD375" s="184"/>
      <c r="AE375" s="184"/>
      <c r="AF375" s="184"/>
      <c r="AG375" s="184"/>
      <c r="AH375" s="184"/>
      <c r="AI375" s="184"/>
      <c r="AJ375" s="184"/>
      <c r="AK375" s="184"/>
      <c r="AL375" s="184"/>
      <c r="AM375" s="184"/>
      <c r="AN375" s="184"/>
      <c r="AO375" s="184"/>
      <c r="AP375" s="184"/>
      <c r="AQ375" s="184"/>
      <c r="AR375" s="184"/>
      <c r="AS375" s="184"/>
      <c r="AT375" s="184"/>
      <c r="AU375" s="184"/>
      <c r="AV375" s="184"/>
      <c r="AW375" s="184"/>
      <c r="AX375" s="184"/>
      <c r="AY375" s="184"/>
      <c r="AZ375" s="184"/>
      <c r="BA375" s="184"/>
      <c r="BB375" s="184"/>
      <c r="BC375" s="184"/>
      <c r="BD375" s="184"/>
      <c r="BE375" s="184"/>
      <c r="BF375" s="184"/>
      <c r="BG375" s="184"/>
      <c r="BH375" s="184"/>
      <c r="BI375" s="184">
        <v>2120</v>
      </c>
      <c r="BJ375" s="184">
        <v>2120</v>
      </c>
      <c r="BK375" s="184">
        <v>2120</v>
      </c>
      <c r="BL375" s="202">
        <v>2200</v>
      </c>
      <c r="BM375" s="202">
        <v>2200</v>
      </c>
      <c r="BN375" s="202">
        <v>2200</v>
      </c>
      <c r="BO375" s="184">
        <v>2280</v>
      </c>
      <c r="BP375" s="184">
        <v>2280</v>
      </c>
      <c r="BQ375" s="184">
        <v>2280</v>
      </c>
      <c r="BR375" s="184"/>
      <c r="BS375" s="184"/>
      <c r="BT375" s="184"/>
      <c r="BU375" s="146" cm="1">
        <f t="array" ref="BU375">LOOKUP(2,1/(Y375:BT375&lt;&gt;""),Y375:BH375)</f>
        <v>2280</v>
      </c>
      <c r="BV375" s="145" cm="1">
        <f t="array" aca="1" ref="BV375" ca="1">_xlfn.LET(
    _xlpm.last_col_idx, LOOKUP(2, 1/(Y375:BT375&lt;&gt;""), COLUMN(Y375:BT375) - COLUMN(Y375) + 1),
    _xlpm.header_val, INDEX($Y$3:$BT$3, 1, _xlpm.last_col_idx),
    _xlpm.header_date, IF(ISNUMBER(_xlpm.header_val), _xlpm.header_val, DATEVALUE(_xlpm.header_val)),
    IF(_xlpm.header_date &gt; TODAY(), TODAY(), _xlpm.header_date)
)</f>
        <v>46212</v>
      </c>
      <c r="BW375" s="209" cm="1">
        <f t="array" ref="BW375">(LOOKUP(2,1/(BH375:BT375&lt;&gt;""),BH375:BT375))/(INDEX(BH375:BT375,MATCH(TRUE,INDEX((BH375:BT375&lt;&gt;0),0),0)))-1</f>
        <v>7.547169811320753E-2</v>
      </c>
      <c r="BX375" s="210">
        <f t="shared" si="64"/>
        <v>2.2799999999999998</v>
      </c>
      <c r="BY375" s="210">
        <f t="shared" si="65"/>
        <v>13.452</v>
      </c>
      <c r="BZ375" s="210">
        <f ca="1">IF(L375="BR",'Impostos e Frete'!$F$6,IF(L375="EU",'Impostos e Frete'!$I$3,IF(L375="CN",'Impostos e Frete'!$I$4,IF(L375="JP",'Impostos e Frete'!$I$5,IF(L375="RU",'Impostos e Frete'!$I$7,"ERRO")))))</f>
        <v>0.1410816</v>
      </c>
      <c r="CA375" s="210">
        <f>VLOOKUP(L375,'Impostos e Frete'!$A$3:$B$7,2,0)*'Preços e Condições'!BY375</f>
        <v>1.7487600000000001</v>
      </c>
      <c r="CB375" s="147">
        <f t="shared" si="66"/>
        <v>-0.17699999999999999</v>
      </c>
      <c r="CC375" s="147">
        <f>IF(X375="BRL",'Impostos e Frete'!$B$11,'Impostos e Frete'!$B$12)</f>
        <v>9.1999999999999998E-2</v>
      </c>
      <c r="CD375" s="211">
        <f t="shared" ca="1" si="67"/>
        <v>15.256841600000001</v>
      </c>
      <c r="CE375" s="212">
        <f t="shared" ca="1" si="68"/>
        <v>1.0374652288000001</v>
      </c>
      <c r="CF375" s="213">
        <f>VLOOKUP(L375,'Impostos e Frete'!$A$3:$C$7,3,0)</f>
        <v>105</v>
      </c>
      <c r="CG375" s="213">
        <f t="shared" si="69"/>
        <v>120</v>
      </c>
      <c r="CH375" s="213">
        <f t="shared" si="70"/>
        <v>15</v>
      </c>
      <c r="CI375" s="214">
        <f t="shared" ca="1" si="71"/>
        <v>-0.11315489880561813</v>
      </c>
      <c r="CJ375" s="215">
        <f t="shared" ca="1" si="72"/>
        <v>15.143686701194383</v>
      </c>
      <c r="CK375" s="216">
        <f t="shared" ca="1" si="73"/>
        <v>1.029770695681218</v>
      </c>
    </row>
    <row r="376" spans="1:89">
      <c r="A376" s="217">
        <v>2037349</v>
      </c>
      <c r="B376" s="177">
        <v>248</v>
      </c>
      <c r="C376" s="178">
        <v>65</v>
      </c>
      <c r="D376" s="178"/>
      <c r="E376" s="196" t="s">
        <v>50</v>
      </c>
      <c r="F376" s="179" t="s">
        <v>108</v>
      </c>
      <c r="G376" s="189" t="s">
        <v>109</v>
      </c>
      <c r="H376" s="178" t="s">
        <v>63</v>
      </c>
      <c r="I376" s="178" t="s">
        <v>112</v>
      </c>
      <c r="J376" s="178"/>
      <c r="K376" s="178"/>
      <c r="L376" s="178" t="s">
        <v>59</v>
      </c>
      <c r="M376" s="178">
        <v>30</v>
      </c>
      <c r="N376" s="178">
        <v>500</v>
      </c>
      <c r="O376" s="178"/>
      <c r="P376" s="178"/>
      <c r="Q376" s="178"/>
      <c r="R376" s="178" t="s">
        <v>19</v>
      </c>
      <c r="S376" s="181"/>
      <c r="T376" s="181"/>
      <c r="U376" s="182"/>
      <c r="V376" s="182" t="s">
        <v>35</v>
      </c>
      <c r="W376" s="183">
        <v>80</v>
      </c>
      <c r="X376" s="182" t="s">
        <v>51</v>
      </c>
      <c r="Y376" s="184"/>
      <c r="Z376" s="184"/>
      <c r="AA376" s="184"/>
      <c r="AB376" s="184"/>
      <c r="AC376" s="184"/>
      <c r="AD376" s="184"/>
      <c r="AE376" s="184"/>
      <c r="AF376" s="184"/>
      <c r="AG376" s="184"/>
      <c r="AH376" s="184"/>
      <c r="AI376" s="184"/>
      <c r="AJ376" s="184"/>
      <c r="AK376" s="184"/>
      <c r="AL376" s="184"/>
      <c r="AM376" s="184"/>
      <c r="AN376" s="184"/>
      <c r="AO376" s="184"/>
      <c r="AP376" s="184"/>
      <c r="AQ376" s="184"/>
      <c r="AR376" s="184"/>
      <c r="AS376" s="184"/>
      <c r="AT376" s="184"/>
      <c r="AU376" s="184"/>
      <c r="AV376" s="184"/>
      <c r="AW376" s="184"/>
      <c r="AX376" s="184"/>
      <c r="AY376" s="184"/>
      <c r="AZ376" s="184"/>
      <c r="BA376" s="184"/>
      <c r="BB376" s="184"/>
      <c r="BC376" s="184"/>
      <c r="BD376" s="184"/>
      <c r="BE376" s="184"/>
      <c r="BF376" s="184"/>
      <c r="BG376" s="184"/>
      <c r="BH376" s="184"/>
      <c r="BI376" s="184">
        <v>2480</v>
      </c>
      <c r="BJ376" s="184">
        <v>2480</v>
      </c>
      <c r="BK376" s="184">
        <v>2480</v>
      </c>
      <c r="BL376" s="202">
        <v>2450</v>
      </c>
      <c r="BM376" s="202">
        <v>2450</v>
      </c>
      <c r="BN376" s="202">
        <v>2450</v>
      </c>
      <c r="BO376" s="184">
        <v>2530</v>
      </c>
      <c r="BP376" s="184">
        <v>2530</v>
      </c>
      <c r="BQ376" s="184">
        <v>2530</v>
      </c>
      <c r="BR376" s="184"/>
      <c r="BS376" s="184"/>
      <c r="BT376" s="184"/>
      <c r="BU376" s="146" cm="1">
        <f t="array" ref="BU376">LOOKUP(2,1/(Y376:BT376&lt;&gt;""),Y376:BH376)</f>
        <v>2530</v>
      </c>
      <c r="BV376" s="145" cm="1">
        <f t="array" aca="1" ref="BV376" ca="1">_xlfn.LET(
    _xlpm.last_col_idx, LOOKUP(2, 1/(Y376:BT376&lt;&gt;""), COLUMN(Y376:BT376) - COLUMN(Y376) + 1),
    _xlpm.header_val, INDEX($Y$3:$BT$3, 1, _xlpm.last_col_idx),
    _xlpm.header_date, IF(ISNUMBER(_xlpm.header_val), _xlpm.header_val, DATEVALUE(_xlpm.header_val)),
    IF(_xlpm.header_date &gt; TODAY(), TODAY(), _xlpm.header_date)
)</f>
        <v>46212</v>
      </c>
      <c r="BW376" s="209" cm="1">
        <f t="array" ref="BW376">(LOOKUP(2,1/(BH376:BT376&lt;&gt;""),BH376:BT376))/(INDEX(BH376:BT376,MATCH(TRUE,INDEX((BH376:BT376&lt;&gt;0),0),0)))-1</f>
        <v>2.0161290322580738E-2</v>
      </c>
      <c r="BX376" s="210">
        <f t="shared" si="64"/>
        <v>2.5299999999999998</v>
      </c>
      <c r="BY376" s="210">
        <f t="shared" si="65"/>
        <v>14.927</v>
      </c>
      <c r="BZ376" s="210">
        <f ca="1">IF(L376="BR",'Impostos e Frete'!$F$6,IF(L376="EU",'Impostos e Frete'!$I$3,IF(L376="CN",'Impostos e Frete'!$I$4,IF(L376="JP",'Impostos e Frete'!$I$5,IF(L376="RU",'Impostos e Frete'!$I$7,"ERRO")))))</f>
        <v>0.1410816</v>
      </c>
      <c r="CA376" s="210">
        <f>VLOOKUP(L376,'Impostos e Frete'!$A$3:$B$7,2,0)*'Preços e Condições'!BY376</f>
        <v>1.94051</v>
      </c>
      <c r="CB376" s="147">
        <f t="shared" si="66"/>
        <v>0</v>
      </c>
      <c r="CC376" s="147">
        <f>IF(X376="BRL",'Impostos e Frete'!$B$11,'Impostos e Frete'!$B$12)</f>
        <v>9.1999999999999998E-2</v>
      </c>
      <c r="CD376" s="211">
        <f t="shared" ca="1" si="67"/>
        <v>17.100591599999998</v>
      </c>
      <c r="CE376" s="212">
        <f t="shared" ca="1" si="68"/>
        <v>1.111538454</v>
      </c>
      <c r="CF376" s="213">
        <f>VLOOKUP(L376,'Impostos e Frete'!$A$3:$C$7,3,0)</f>
        <v>105</v>
      </c>
      <c r="CG376" s="213">
        <f t="shared" si="69"/>
        <v>30</v>
      </c>
      <c r="CH376" s="213">
        <f t="shared" si="70"/>
        <v>-75</v>
      </c>
      <c r="CI376" s="214">
        <f t="shared" ca="1" si="71"/>
        <v>0.64850449919559594</v>
      </c>
      <c r="CJ376" s="215">
        <f t="shared" ca="1" si="72"/>
        <v>17.749096099195594</v>
      </c>
      <c r="CK376" s="216">
        <f t="shared" ca="1" si="73"/>
        <v>1.1536912464477136</v>
      </c>
    </row>
    <row r="377" spans="1:89">
      <c r="A377" s="217">
        <v>2043069</v>
      </c>
      <c r="B377" s="177" t="s">
        <v>52</v>
      </c>
      <c r="C377" s="178">
        <v>71</v>
      </c>
      <c r="D377" s="178"/>
      <c r="E377" s="178" t="s">
        <v>50</v>
      </c>
      <c r="F377" s="179" t="s">
        <v>47</v>
      </c>
      <c r="G377" s="185" t="s">
        <v>92</v>
      </c>
      <c r="H377" s="178" t="s">
        <v>42</v>
      </c>
      <c r="I377" s="178" t="s">
        <v>40</v>
      </c>
      <c r="J377" s="178"/>
      <c r="K377" s="178"/>
      <c r="L377" s="178" t="s">
        <v>59</v>
      </c>
      <c r="M377" s="178">
        <v>120</v>
      </c>
      <c r="N377" s="178">
        <v>300</v>
      </c>
      <c r="O377" s="178"/>
      <c r="P377" s="178"/>
      <c r="Q377" s="178"/>
      <c r="R377" s="178" t="s">
        <v>19</v>
      </c>
      <c r="S377" s="181"/>
      <c r="T377" s="181"/>
      <c r="U377" s="182"/>
      <c r="V377" s="182" t="s">
        <v>35</v>
      </c>
      <c r="W377" s="183">
        <v>100</v>
      </c>
      <c r="X377" s="182" t="s">
        <v>51</v>
      </c>
      <c r="Y377" s="184"/>
      <c r="Z377" s="184"/>
      <c r="AA377" s="184"/>
      <c r="AB377" s="184"/>
      <c r="AC377" s="184"/>
      <c r="AD377" s="184"/>
      <c r="AE377" s="184"/>
      <c r="AF377" s="184"/>
      <c r="AG377" s="184"/>
      <c r="AH377" s="184"/>
      <c r="AI377" s="184"/>
      <c r="AJ377" s="184"/>
      <c r="AK377" s="184"/>
      <c r="AL377" s="184"/>
      <c r="AM377" s="184"/>
      <c r="AN377" s="184"/>
      <c r="AO377" s="184"/>
      <c r="AP377" s="184"/>
      <c r="AQ377" s="184"/>
      <c r="AR377" s="184"/>
      <c r="AS377" s="184"/>
      <c r="AT377" s="184"/>
      <c r="AU377" s="184"/>
      <c r="AV377" s="184"/>
      <c r="AW377" s="184"/>
      <c r="AX377" s="184"/>
      <c r="AY377" s="184"/>
      <c r="AZ377" s="184"/>
      <c r="BA377" s="184"/>
      <c r="BB377" s="184"/>
      <c r="BC377" s="184"/>
      <c r="BD377" s="184"/>
      <c r="BE377" s="184"/>
      <c r="BF377" s="184"/>
      <c r="BG377" s="184"/>
      <c r="BH377" s="184"/>
      <c r="BI377" s="184">
        <v>2200</v>
      </c>
      <c r="BJ377" s="184">
        <v>2200</v>
      </c>
      <c r="BK377" s="184">
        <v>2200</v>
      </c>
      <c r="BL377" s="184">
        <v>2300</v>
      </c>
      <c r="BM377" s="184">
        <v>2300</v>
      </c>
      <c r="BN377" s="184">
        <v>2300</v>
      </c>
      <c r="BO377" s="184">
        <v>2380</v>
      </c>
      <c r="BP377" s="184">
        <v>2380</v>
      </c>
      <c r="BQ377" s="184">
        <v>2380</v>
      </c>
      <c r="BR377" s="184"/>
      <c r="BS377" s="184"/>
      <c r="BT377" s="184"/>
      <c r="BU377" s="146" cm="1">
        <f t="array" ref="BU377">LOOKUP(2,1/(Y377:BT377&lt;&gt;""),Y377:BH377)</f>
        <v>2380</v>
      </c>
      <c r="BV377" s="145" cm="1">
        <f t="array" aca="1" ref="BV377" ca="1">_xlfn.LET(
    _xlpm.last_col_idx, LOOKUP(2, 1/(Y377:BT377&lt;&gt;""), COLUMN(Y377:BT377) - COLUMN(Y377) + 1),
    _xlpm.header_val, INDEX($Y$3:$BT$3, 1, _xlpm.last_col_idx),
    _xlpm.header_date, IF(ISNUMBER(_xlpm.header_val), _xlpm.header_val, DATEVALUE(_xlpm.header_val)),
    IF(_xlpm.header_date &gt; TODAY(), TODAY(), _xlpm.header_date)
)</f>
        <v>46212</v>
      </c>
      <c r="BW377" s="209" cm="1">
        <f t="array" ref="BW377">(LOOKUP(2,1/(BH377:BT377&lt;&gt;""),BH377:BT377))/(INDEX(BH377:BT377,MATCH(TRUE,INDEX((BH377:BT377&lt;&gt;0),0),0)))-1</f>
        <v>8.181818181818179E-2</v>
      </c>
      <c r="BX377" s="210">
        <f t="shared" si="64"/>
        <v>2.38</v>
      </c>
      <c r="BY377" s="210">
        <f t="shared" si="65"/>
        <v>14.042</v>
      </c>
      <c r="BZ377" s="210">
        <f ca="1">IF(L377="BR",'Impostos e Frete'!$F$6,IF(L377="EU",'Impostos e Frete'!$I$3,IF(L377="CN",'Impostos e Frete'!$I$4,IF(L377="JP",'Impostos e Frete'!$I$5,IF(L377="RU",'Impostos e Frete'!$I$7,"ERRO")))))</f>
        <v>0.1410816</v>
      </c>
      <c r="CA377" s="210">
        <f>VLOOKUP(L377,'Impostos e Frete'!$A$3:$B$7,2,0)*'Preços e Condições'!BY377</f>
        <v>1.8254600000000001</v>
      </c>
      <c r="CB377" s="147">
        <f t="shared" si="66"/>
        <v>0</v>
      </c>
      <c r="CC377" s="147">
        <f>IF(X377="BRL",'Impostos e Frete'!$B$11,'Impostos e Frete'!$B$12)</f>
        <v>9.1999999999999998E-2</v>
      </c>
      <c r="CD377" s="211">
        <f t="shared" ca="1" si="67"/>
        <v>16.1005416</v>
      </c>
      <c r="CE377" s="212">
        <f t="shared" ca="1" si="68"/>
        <v>1.1431384536</v>
      </c>
      <c r="CF377" s="213">
        <f>VLOOKUP(L377,'Impostos e Frete'!$A$3:$C$7,3,0)</f>
        <v>105</v>
      </c>
      <c r="CG377" s="213">
        <f t="shared" si="69"/>
        <v>120</v>
      </c>
      <c r="CH377" s="213">
        <f t="shared" si="70"/>
        <v>15</v>
      </c>
      <c r="CI377" s="214">
        <f t="shared" ca="1" si="71"/>
        <v>-0.1194123399343443</v>
      </c>
      <c r="CJ377" s="215">
        <f t="shared" ca="1" si="72"/>
        <v>15.981129260065655</v>
      </c>
      <c r="CK377" s="216">
        <f t="shared" ca="1" si="73"/>
        <v>1.1346601774646616</v>
      </c>
    </row>
    <row r="378" spans="1:89">
      <c r="A378" s="217">
        <v>2043069</v>
      </c>
      <c r="B378" s="177" t="s">
        <v>52</v>
      </c>
      <c r="C378" s="178">
        <v>71</v>
      </c>
      <c r="D378" s="178"/>
      <c r="E378" s="178" t="s">
        <v>50</v>
      </c>
      <c r="F378" s="179" t="s">
        <v>47</v>
      </c>
      <c r="G378" s="185" t="s">
        <v>92</v>
      </c>
      <c r="H378" s="178" t="s">
        <v>42</v>
      </c>
      <c r="I378" s="178" t="s">
        <v>40</v>
      </c>
      <c r="K378" s="178"/>
      <c r="L378" s="178" t="s">
        <v>59</v>
      </c>
      <c r="M378" s="178">
        <v>120</v>
      </c>
      <c r="N378" s="178">
        <v>300</v>
      </c>
      <c r="O378" s="178"/>
      <c r="P378" s="178"/>
      <c r="Q378" s="178"/>
      <c r="R378" s="178" t="s">
        <v>19</v>
      </c>
      <c r="S378" s="181"/>
      <c r="T378" s="181"/>
      <c r="U378" s="182"/>
      <c r="V378" s="182" t="s">
        <v>35</v>
      </c>
      <c r="W378" s="183">
        <v>50</v>
      </c>
      <c r="X378" s="182" t="s">
        <v>51</v>
      </c>
      <c r="Y378" s="184"/>
      <c r="Z378" s="184"/>
      <c r="AA378" s="184"/>
      <c r="AB378" s="184"/>
      <c r="AC378" s="184"/>
      <c r="AD378" s="184"/>
      <c r="AE378" s="184"/>
      <c r="AF378" s="184"/>
      <c r="AG378" s="184"/>
      <c r="AH378" s="184"/>
      <c r="AI378" s="184"/>
      <c r="AJ378" s="184"/>
      <c r="AK378" s="184"/>
      <c r="AL378" s="184"/>
      <c r="AM378" s="184"/>
      <c r="AN378" s="184"/>
      <c r="AO378" s="184"/>
      <c r="AP378" s="184"/>
      <c r="AQ378" s="184"/>
      <c r="AR378" s="184"/>
      <c r="AS378" s="184"/>
      <c r="AT378" s="184"/>
      <c r="AU378" s="184"/>
      <c r="AV378" s="184"/>
      <c r="AW378" s="184"/>
      <c r="AX378" s="184"/>
      <c r="AY378" s="184"/>
      <c r="AZ378" s="184"/>
      <c r="BA378" s="184"/>
      <c r="BB378" s="184"/>
      <c r="BC378" s="184"/>
      <c r="BD378" s="184"/>
      <c r="BE378" s="184"/>
      <c r="BF378" s="184"/>
      <c r="BG378" s="184"/>
      <c r="BH378" s="184"/>
      <c r="BI378" s="184">
        <v>2220</v>
      </c>
      <c r="BJ378" s="184">
        <v>2220</v>
      </c>
      <c r="BK378" s="184">
        <v>2220</v>
      </c>
      <c r="BL378" s="184">
        <v>2320</v>
      </c>
      <c r="BM378" s="184">
        <v>2320</v>
      </c>
      <c r="BN378" s="184">
        <v>2320</v>
      </c>
      <c r="BO378" s="184">
        <v>2400</v>
      </c>
      <c r="BP378" s="184">
        <v>2400</v>
      </c>
      <c r="BQ378" s="184">
        <v>2400</v>
      </c>
      <c r="BR378" s="184"/>
      <c r="BS378" s="184"/>
      <c r="BT378" s="184"/>
      <c r="BU378" s="146" cm="1">
        <f t="array" ref="BU378">LOOKUP(2,1/(Y378:BT378&lt;&gt;""),Y378:BH378)</f>
        <v>2400</v>
      </c>
      <c r="BV378" s="145" cm="1">
        <f t="array" aca="1" ref="BV378" ca="1">_xlfn.LET(
    _xlpm.last_col_idx, LOOKUP(2, 1/(Y378:BT378&lt;&gt;""), COLUMN(Y378:BT378) - COLUMN(Y378) + 1),
    _xlpm.header_val, INDEX($Y$3:$BT$3, 1, _xlpm.last_col_idx),
    _xlpm.header_date, IF(ISNUMBER(_xlpm.header_val), _xlpm.header_val, DATEVALUE(_xlpm.header_val)),
    IF(_xlpm.header_date &gt; TODAY(), TODAY(), _xlpm.header_date)
)</f>
        <v>46212</v>
      </c>
      <c r="BW378" s="209" cm="1">
        <f t="array" ref="BW378">(LOOKUP(2,1/(BH378:BT378&lt;&gt;""),BH378:BT378))/(INDEX(BH378:BT378,MATCH(TRUE,INDEX((BH378:BT378&lt;&gt;0),0),0)))-1</f>
        <v>8.1081081081081141E-2</v>
      </c>
      <c r="BX378" s="210">
        <f t="shared" si="64"/>
        <v>2.4</v>
      </c>
      <c r="BY378" s="210">
        <f t="shared" si="65"/>
        <v>14.16</v>
      </c>
      <c r="BZ378" s="210">
        <f ca="1">IF(L378="BR",'Impostos e Frete'!$F$6,IF(L378="EU",'Impostos e Frete'!$I$3,IF(L378="CN",'Impostos e Frete'!$I$4,IF(L378="JP",'Impostos e Frete'!$I$5,IF(L378="RU",'Impostos e Frete'!$I$7,"ERRO")))))</f>
        <v>0.1410816</v>
      </c>
      <c r="CA378" s="210">
        <f>VLOOKUP(L378,'Impostos e Frete'!$A$3:$B$7,2,0)*'Preços e Condições'!BY378</f>
        <v>1.8408</v>
      </c>
      <c r="CB378" s="147">
        <f t="shared" si="66"/>
        <v>0</v>
      </c>
      <c r="CC378" s="147">
        <f>IF(X378="BRL",'Impostos e Frete'!$B$11,'Impostos e Frete'!$B$12)</f>
        <v>9.1999999999999998E-2</v>
      </c>
      <c r="CD378" s="211">
        <f t="shared" ca="1" si="67"/>
        <v>16.2338816</v>
      </c>
      <c r="CE378" s="212">
        <f t="shared" ca="1" si="68"/>
        <v>1.1526055935999999</v>
      </c>
      <c r="CF378" s="213">
        <f>VLOOKUP(L378,'Impostos e Frete'!$A$3:$C$7,3,0)</f>
        <v>105</v>
      </c>
      <c r="CG378" s="213">
        <f t="shared" si="69"/>
        <v>120</v>
      </c>
      <c r="CH378" s="213">
        <f t="shared" si="70"/>
        <v>15</v>
      </c>
      <c r="CI378" s="214">
        <f t="shared" ca="1" si="71"/>
        <v>-0.120401278182662</v>
      </c>
      <c r="CJ378" s="215">
        <f t="shared" ca="1" si="72"/>
        <v>16.113480321817338</v>
      </c>
      <c r="CK378" s="216">
        <f t="shared" ca="1" si="73"/>
        <v>1.1440571028490312</v>
      </c>
    </row>
    <row r="379" spans="1:89">
      <c r="A379" s="217">
        <v>2043069</v>
      </c>
      <c r="B379" s="177" t="s">
        <v>52</v>
      </c>
      <c r="C379" s="178">
        <v>71</v>
      </c>
      <c r="D379" s="178"/>
      <c r="E379" s="178" t="s">
        <v>50</v>
      </c>
      <c r="F379" s="179" t="s">
        <v>47</v>
      </c>
      <c r="G379" s="185" t="s">
        <v>92</v>
      </c>
      <c r="H379" s="178" t="s">
        <v>42</v>
      </c>
      <c r="I379" s="178" t="s">
        <v>40</v>
      </c>
      <c r="J379" s="178"/>
      <c r="K379" s="178"/>
      <c r="L379" s="178" t="s">
        <v>59</v>
      </c>
      <c r="M379" s="178">
        <v>120</v>
      </c>
      <c r="N379" s="178">
        <v>300</v>
      </c>
      <c r="O379" s="178"/>
      <c r="P379" s="178"/>
      <c r="Q379" s="178"/>
      <c r="R379" s="178" t="s">
        <v>19</v>
      </c>
      <c r="S379" s="181"/>
      <c r="T379" s="181"/>
      <c r="U379" s="182"/>
      <c r="V379" s="182" t="s">
        <v>35</v>
      </c>
      <c r="W379" s="183">
        <v>30</v>
      </c>
      <c r="X379" s="182" t="s">
        <v>51</v>
      </c>
      <c r="Y379" s="184"/>
      <c r="Z379" s="184"/>
      <c r="AA379" s="184"/>
      <c r="AB379" s="184"/>
      <c r="AC379" s="184"/>
      <c r="AD379" s="184"/>
      <c r="AE379" s="184"/>
      <c r="AF379" s="184"/>
      <c r="AG379" s="184"/>
      <c r="AH379" s="184"/>
      <c r="AI379" s="184"/>
      <c r="AJ379" s="184"/>
      <c r="AK379" s="184"/>
      <c r="AL379" s="184"/>
      <c r="AM379" s="184"/>
      <c r="AN379" s="184"/>
      <c r="AO379" s="184"/>
      <c r="AP379" s="184"/>
      <c r="AQ379" s="184"/>
      <c r="AR379" s="184"/>
      <c r="AS379" s="184"/>
      <c r="AT379" s="184"/>
      <c r="AU379" s="184"/>
      <c r="AV379" s="184"/>
      <c r="AW379" s="184"/>
      <c r="AX379" s="184"/>
      <c r="AY379" s="184"/>
      <c r="AZ379" s="184"/>
      <c r="BA379" s="184"/>
      <c r="BB379" s="184"/>
      <c r="BC379" s="184"/>
      <c r="BD379" s="184"/>
      <c r="BE379" s="184"/>
      <c r="BF379" s="184"/>
      <c r="BG379" s="184"/>
      <c r="BH379" s="184"/>
      <c r="BI379" s="184">
        <v>2270</v>
      </c>
      <c r="BJ379" s="184">
        <v>2270</v>
      </c>
      <c r="BK379" s="184">
        <v>2270</v>
      </c>
      <c r="BL379" s="184">
        <v>2370</v>
      </c>
      <c r="BM379" s="184">
        <v>2370</v>
      </c>
      <c r="BN379" s="184">
        <v>2370</v>
      </c>
      <c r="BO379" s="184">
        <v>2450</v>
      </c>
      <c r="BP379" s="184">
        <v>2450</v>
      </c>
      <c r="BQ379" s="184">
        <v>2450</v>
      </c>
      <c r="BR379" s="184"/>
      <c r="BS379" s="184"/>
      <c r="BT379" s="184"/>
      <c r="BU379" s="146" cm="1">
        <f t="array" ref="BU379">LOOKUP(2,1/(Y379:BT379&lt;&gt;""),Y379:BH379)</f>
        <v>2450</v>
      </c>
      <c r="BV379" s="145" cm="1">
        <f t="array" aca="1" ref="BV379" ca="1">_xlfn.LET(
    _xlpm.last_col_idx, LOOKUP(2, 1/(Y379:BT379&lt;&gt;""), COLUMN(Y379:BT379) - COLUMN(Y379) + 1),
    _xlpm.header_val, INDEX($Y$3:$BT$3, 1, _xlpm.last_col_idx),
    _xlpm.header_date, IF(ISNUMBER(_xlpm.header_val), _xlpm.header_val, DATEVALUE(_xlpm.header_val)),
    IF(_xlpm.header_date &gt; TODAY(), TODAY(), _xlpm.header_date)
)</f>
        <v>46212</v>
      </c>
      <c r="BW379" s="209" cm="1">
        <f t="array" ref="BW379">(LOOKUP(2,1/(BH379:BT379&lt;&gt;""),BH379:BT379))/(INDEX(BH379:BT379,MATCH(TRUE,INDEX((BH379:BT379&lt;&gt;0),0),0)))-1</f>
        <v>7.9295154185021977E-2</v>
      </c>
      <c r="BX379" s="210">
        <f t="shared" si="64"/>
        <v>2.4500000000000002</v>
      </c>
      <c r="BY379" s="210">
        <f t="shared" si="65"/>
        <v>14.455000000000002</v>
      </c>
      <c r="BZ379" s="210">
        <f ca="1">IF(L379="BR",'Impostos e Frete'!$F$6,IF(L379="EU",'Impostos e Frete'!$I$3,IF(L379="CN",'Impostos e Frete'!$I$4,IF(L379="JP",'Impostos e Frete'!$I$5,IF(L379="RU",'Impostos e Frete'!$I$7,"ERRO")))))</f>
        <v>0.1410816</v>
      </c>
      <c r="CA379" s="210">
        <f>VLOOKUP(L379,'Impostos e Frete'!$A$3:$B$7,2,0)*'Preços e Condições'!BY379</f>
        <v>1.8791500000000003</v>
      </c>
      <c r="CB379" s="147">
        <f t="shared" si="66"/>
        <v>0</v>
      </c>
      <c r="CC379" s="147">
        <f>IF(X379="BRL",'Impostos e Frete'!$B$11,'Impostos e Frete'!$B$12)</f>
        <v>9.1999999999999998E-2</v>
      </c>
      <c r="CD379" s="211">
        <f t="shared" ca="1" si="67"/>
        <v>16.5672316</v>
      </c>
      <c r="CE379" s="212">
        <f t="shared" ca="1" si="68"/>
        <v>1.1762734436</v>
      </c>
      <c r="CF379" s="213">
        <f>VLOOKUP(L379,'Impostos e Frete'!$A$3:$C$7,3,0)</f>
        <v>105</v>
      </c>
      <c r="CG379" s="213">
        <f t="shared" si="69"/>
        <v>120</v>
      </c>
      <c r="CH379" s="213">
        <f t="shared" si="70"/>
        <v>15</v>
      </c>
      <c r="CI379" s="214">
        <f t="shared" ca="1" si="71"/>
        <v>-0.12287362380345002</v>
      </c>
      <c r="CJ379" s="215">
        <f t="shared" ca="1" si="72"/>
        <v>16.444357976196549</v>
      </c>
      <c r="CK379" s="216">
        <f t="shared" ca="1" si="73"/>
        <v>1.1675494163099551</v>
      </c>
    </row>
    <row r="380" spans="1:89">
      <c r="A380" s="217">
        <v>2043069</v>
      </c>
      <c r="B380" s="177" t="s">
        <v>52</v>
      </c>
      <c r="C380" s="178">
        <v>71</v>
      </c>
      <c r="D380" s="178"/>
      <c r="E380" s="178" t="s">
        <v>50</v>
      </c>
      <c r="F380" s="179" t="s">
        <v>47</v>
      </c>
      <c r="G380" s="185" t="s">
        <v>92</v>
      </c>
      <c r="H380" s="178" t="s">
        <v>42</v>
      </c>
      <c r="I380" s="178" t="s">
        <v>40</v>
      </c>
      <c r="J380" s="178"/>
      <c r="K380" s="178"/>
      <c r="L380" s="178" t="s">
        <v>59</v>
      </c>
      <c r="M380" s="178">
        <v>120</v>
      </c>
      <c r="N380" s="178">
        <v>300</v>
      </c>
      <c r="O380" s="178"/>
      <c r="P380" s="178"/>
      <c r="Q380" s="178"/>
      <c r="R380" s="178" t="s">
        <v>19</v>
      </c>
      <c r="S380" s="181"/>
      <c r="T380" s="181"/>
      <c r="U380" s="182"/>
      <c r="V380" s="182" t="s">
        <v>35</v>
      </c>
      <c r="W380" s="183">
        <v>20</v>
      </c>
      <c r="X380" s="182" t="s">
        <v>51</v>
      </c>
      <c r="Y380" s="184"/>
      <c r="Z380" s="184"/>
      <c r="AA380" s="184"/>
      <c r="AB380" s="184"/>
      <c r="AC380" s="184"/>
      <c r="AD380" s="184"/>
      <c r="AE380" s="184"/>
      <c r="AF380" s="184"/>
      <c r="AG380" s="184"/>
      <c r="AH380" s="184"/>
      <c r="AI380" s="184"/>
      <c r="AJ380" s="184"/>
      <c r="AK380" s="184"/>
      <c r="AL380" s="184"/>
      <c r="AM380" s="184"/>
      <c r="AN380" s="184"/>
      <c r="AO380" s="184"/>
      <c r="AP380" s="184"/>
      <c r="AQ380" s="184"/>
      <c r="AR380" s="184"/>
      <c r="AS380" s="184"/>
      <c r="AT380" s="184"/>
      <c r="AU380" s="184"/>
      <c r="AV380" s="184"/>
      <c r="AW380" s="184"/>
      <c r="AX380" s="184"/>
      <c r="AY380" s="184"/>
      <c r="AZ380" s="184"/>
      <c r="BA380" s="184"/>
      <c r="BB380" s="184"/>
      <c r="BC380" s="184"/>
      <c r="BD380" s="184"/>
      <c r="BE380" s="184"/>
      <c r="BF380" s="184"/>
      <c r="BG380" s="184"/>
      <c r="BH380" s="184"/>
      <c r="BI380" s="184">
        <v>2320</v>
      </c>
      <c r="BJ380" s="184">
        <v>2320</v>
      </c>
      <c r="BK380" s="184">
        <v>2320</v>
      </c>
      <c r="BL380" s="184">
        <v>2420</v>
      </c>
      <c r="BM380" s="184">
        <v>2420</v>
      </c>
      <c r="BN380" s="184">
        <v>2420</v>
      </c>
      <c r="BO380" s="184">
        <v>2500</v>
      </c>
      <c r="BP380" s="184">
        <v>2500</v>
      </c>
      <c r="BQ380" s="184">
        <v>2500</v>
      </c>
      <c r="BR380" s="184"/>
      <c r="BS380" s="184"/>
      <c r="BT380" s="184"/>
      <c r="BU380" s="146" cm="1">
        <f t="array" ref="BU380">LOOKUP(2,1/(Y380:BT380&lt;&gt;""),Y380:BH380)</f>
        <v>2500</v>
      </c>
      <c r="BV380" s="145" cm="1">
        <f t="array" aca="1" ref="BV380" ca="1">_xlfn.LET(
    _xlpm.last_col_idx, LOOKUP(2, 1/(Y380:BT380&lt;&gt;""), COLUMN(Y380:BT380) - COLUMN(Y380) + 1),
    _xlpm.header_val, INDEX($Y$3:$BT$3, 1, _xlpm.last_col_idx),
    _xlpm.header_date, IF(ISNUMBER(_xlpm.header_val), _xlpm.header_val, DATEVALUE(_xlpm.header_val)),
    IF(_xlpm.header_date &gt; TODAY(), TODAY(), _xlpm.header_date)
)</f>
        <v>46212</v>
      </c>
      <c r="BW380" s="209" cm="1">
        <f t="array" ref="BW380">(LOOKUP(2,1/(BH380:BT380&lt;&gt;""),BH380:BT380))/(INDEX(BH380:BT380,MATCH(TRUE,INDEX((BH380:BT380&lt;&gt;0),0),0)))-1</f>
        <v>7.7586206896551824E-2</v>
      </c>
      <c r="BX380" s="210">
        <f t="shared" si="64"/>
        <v>2.5</v>
      </c>
      <c r="BY380" s="210">
        <f t="shared" si="65"/>
        <v>14.75</v>
      </c>
      <c r="BZ380" s="210">
        <f ca="1">IF(L380="BR",'Impostos e Frete'!$F$6,IF(L380="EU",'Impostos e Frete'!$I$3,IF(L380="CN",'Impostos e Frete'!$I$4,IF(L380="JP",'Impostos e Frete'!$I$5,IF(L380="RU",'Impostos e Frete'!$I$7,"ERRO")))))</f>
        <v>0.1410816</v>
      </c>
      <c r="CA380" s="210">
        <f>VLOOKUP(L380,'Impostos e Frete'!$A$3:$B$7,2,0)*'Preços e Condições'!BY380</f>
        <v>1.9175</v>
      </c>
      <c r="CB380" s="147">
        <f t="shared" si="66"/>
        <v>0</v>
      </c>
      <c r="CC380" s="147">
        <f>IF(X380="BRL",'Impostos e Frete'!$B$11,'Impostos e Frete'!$B$12)</f>
        <v>9.1999999999999998E-2</v>
      </c>
      <c r="CD380" s="211">
        <f t="shared" ca="1" si="67"/>
        <v>16.900581599999999</v>
      </c>
      <c r="CE380" s="212">
        <f t="shared" ca="1" si="68"/>
        <v>1.1999412936</v>
      </c>
      <c r="CF380" s="213">
        <f>VLOOKUP(L380,'Impostos e Frete'!$A$3:$C$7,3,0)</f>
        <v>105</v>
      </c>
      <c r="CG380" s="213">
        <f t="shared" si="69"/>
        <v>120</v>
      </c>
      <c r="CH380" s="213">
        <f t="shared" si="70"/>
        <v>15</v>
      </c>
      <c r="CI380" s="214">
        <f t="shared" ca="1" si="71"/>
        <v>-0.12534596942424159</v>
      </c>
      <c r="CJ380" s="215">
        <f t="shared" ca="1" si="72"/>
        <v>16.775235630575757</v>
      </c>
      <c r="CK380" s="216">
        <f t="shared" ca="1" si="73"/>
        <v>1.1910417297708789</v>
      </c>
    </row>
    <row r="381" spans="1:89">
      <c r="A381" s="217">
        <v>2043069</v>
      </c>
      <c r="B381" s="177" t="s">
        <v>52</v>
      </c>
      <c r="C381" s="178">
        <v>71</v>
      </c>
      <c r="D381" s="178"/>
      <c r="E381" s="178" t="s">
        <v>50</v>
      </c>
      <c r="F381" s="179" t="s">
        <v>47</v>
      </c>
      <c r="G381" s="185" t="s">
        <v>92</v>
      </c>
      <c r="H381" s="178" t="s">
        <v>42</v>
      </c>
      <c r="I381" s="178" t="s">
        <v>40</v>
      </c>
      <c r="J381" s="178"/>
      <c r="K381" s="178"/>
      <c r="L381" s="178" t="s">
        <v>59</v>
      </c>
      <c r="M381" s="178">
        <v>120</v>
      </c>
      <c r="N381" s="178">
        <v>300</v>
      </c>
      <c r="O381" s="178"/>
      <c r="P381" s="178"/>
      <c r="Q381" s="178"/>
      <c r="R381" s="178" t="s">
        <v>19</v>
      </c>
      <c r="S381" s="181"/>
      <c r="T381" s="181"/>
      <c r="U381" s="182"/>
      <c r="V381" s="182" t="s">
        <v>35</v>
      </c>
      <c r="W381" s="183">
        <v>10</v>
      </c>
      <c r="X381" s="182" t="s">
        <v>51</v>
      </c>
      <c r="Y381" s="184"/>
      <c r="Z381" s="184"/>
      <c r="AA381" s="184"/>
      <c r="AB381" s="184"/>
      <c r="AC381" s="184"/>
      <c r="AD381" s="184"/>
      <c r="AE381" s="184"/>
      <c r="AF381" s="184"/>
      <c r="AG381" s="184"/>
      <c r="AH381" s="184"/>
      <c r="AI381" s="184"/>
      <c r="AJ381" s="184"/>
      <c r="AK381" s="184"/>
      <c r="AL381" s="184"/>
      <c r="AM381" s="184"/>
      <c r="AN381" s="184"/>
      <c r="AO381" s="184"/>
      <c r="AP381" s="184"/>
      <c r="AQ381" s="184"/>
      <c r="AR381" s="184"/>
      <c r="AS381" s="184"/>
      <c r="AT381" s="184"/>
      <c r="AU381" s="184"/>
      <c r="AV381" s="184"/>
      <c r="AW381" s="184"/>
      <c r="AX381" s="184"/>
      <c r="AY381" s="184"/>
      <c r="AZ381" s="184"/>
      <c r="BA381" s="184"/>
      <c r="BB381" s="184"/>
      <c r="BC381" s="184"/>
      <c r="BD381" s="184"/>
      <c r="BE381" s="184"/>
      <c r="BF381" s="184"/>
      <c r="BG381" s="184"/>
      <c r="BH381" s="184"/>
      <c r="BI381" s="184">
        <v>2400</v>
      </c>
      <c r="BJ381" s="184">
        <v>2400</v>
      </c>
      <c r="BK381" s="184">
        <v>2400</v>
      </c>
      <c r="BL381" s="184">
        <v>2500</v>
      </c>
      <c r="BM381" s="184">
        <v>2500</v>
      </c>
      <c r="BN381" s="184">
        <v>2500</v>
      </c>
      <c r="BO381" s="184">
        <v>2580</v>
      </c>
      <c r="BP381" s="184">
        <v>2580</v>
      </c>
      <c r="BQ381" s="184">
        <v>2580</v>
      </c>
      <c r="BR381" s="184"/>
      <c r="BS381" s="184"/>
      <c r="BT381" s="184"/>
      <c r="BU381" s="146" cm="1">
        <f t="array" ref="BU381">LOOKUP(2,1/(Y381:BT381&lt;&gt;""),Y381:BH381)</f>
        <v>2580</v>
      </c>
      <c r="BV381" s="145" cm="1">
        <f t="array" aca="1" ref="BV381" ca="1">_xlfn.LET(
    _xlpm.last_col_idx, LOOKUP(2, 1/(Y381:BT381&lt;&gt;""), COLUMN(Y381:BT381) - COLUMN(Y381) + 1),
    _xlpm.header_val, INDEX($Y$3:$BT$3, 1, _xlpm.last_col_idx),
    _xlpm.header_date, IF(ISNUMBER(_xlpm.header_val), _xlpm.header_val, DATEVALUE(_xlpm.header_val)),
    IF(_xlpm.header_date &gt; TODAY(), TODAY(), _xlpm.header_date)
)</f>
        <v>46212</v>
      </c>
      <c r="BW381" s="209" cm="1">
        <f t="array" ref="BW381">(LOOKUP(2,1/(BH381:BT381&lt;&gt;""),BH381:BT381))/(INDEX(BH381:BT381,MATCH(TRUE,INDEX((BH381:BT381&lt;&gt;0),0),0)))-1</f>
        <v>7.4999999999999956E-2</v>
      </c>
      <c r="BX381" s="210">
        <f t="shared" si="64"/>
        <v>2.58</v>
      </c>
      <c r="BY381" s="210">
        <f t="shared" si="65"/>
        <v>15.222000000000001</v>
      </c>
      <c r="BZ381" s="210">
        <f ca="1">IF(L381="BR",'Impostos e Frete'!$F$6,IF(L381="EU",'Impostos e Frete'!$I$3,IF(L381="CN",'Impostos e Frete'!$I$4,IF(L381="JP",'Impostos e Frete'!$I$5,IF(L381="RU",'Impostos e Frete'!$I$7,"ERRO")))))</f>
        <v>0.1410816</v>
      </c>
      <c r="CA381" s="210">
        <f>VLOOKUP(L381,'Impostos e Frete'!$A$3:$B$7,2,0)*'Preços e Condições'!BY381</f>
        <v>1.9788600000000003</v>
      </c>
      <c r="CB381" s="147">
        <f t="shared" si="66"/>
        <v>0</v>
      </c>
      <c r="CC381" s="147">
        <f>IF(X381="BRL",'Impostos e Frete'!$B$11,'Impostos e Frete'!$B$12)</f>
        <v>9.1999999999999998E-2</v>
      </c>
      <c r="CD381" s="211">
        <f t="shared" ca="1" si="67"/>
        <v>17.433941600000001</v>
      </c>
      <c r="CE381" s="212">
        <f t="shared" ca="1" si="68"/>
        <v>1.2378098536</v>
      </c>
      <c r="CF381" s="213">
        <f>VLOOKUP(L381,'Impostos e Frete'!$A$3:$C$7,3,0)</f>
        <v>105</v>
      </c>
      <c r="CG381" s="213">
        <f t="shared" si="69"/>
        <v>120</v>
      </c>
      <c r="CH381" s="213">
        <f t="shared" si="70"/>
        <v>15</v>
      </c>
      <c r="CI381" s="214">
        <f t="shared" ca="1" si="71"/>
        <v>-0.12930172241750526</v>
      </c>
      <c r="CJ381" s="215">
        <f t="shared" ca="1" si="72"/>
        <v>17.304639877582495</v>
      </c>
      <c r="CK381" s="216">
        <f t="shared" ca="1" si="73"/>
        <v>1.2286294313083572</v>
      </c>
    </row>
    <row r="382" spans="1:89">
      <c r="A382" s="217">
        <v>2090448</v>
      </c>
      <c r="B382" s="177">
        <v>689</v>
      </c>
      <c r="C382" s="178">
        <v>68</v>
      </c>
      <c r="D382" s="178"/>
      <c r="E382" s="178" t="s">
        <v>50</v>
      </c>
      <c r="F382" s="179" t="s">
        <v>3</v>
      </c>
      <c r="G382" s="180" t="s">
        <v>101</v>
      </c>
      <c r="H382" s="178" t="s">
        <v>63</v>
      </c>
      <c r="I382" s="178" t="s">
        <v>102</v>
      </c>
      <c r="J382" s="178"/>
      <c r="K382" s="178"/>
      <c r="L382" s="178" t="s">
        <v>60</v>
      </c>
      <c r="M382" s="178">
        <v>90</v>
      </c>
      <c r="N382" s="178">
        <v>3300</v>
      </c>
      <c r="O382" s="178"/>
      <c r="P382" s="178">
        <v>90</v>
      </c>
      <c r="Q382" s="178"/>
      <c r="R382" s="178" t="s">
        <v>19</v>
      </c>
      <c r="S382" s="181"/>
      <c r="T382" s="181"/>
      <c r="U382" s="182"/>
      <c r="V382" s="182" t="s">
        <v>35</v>
      </c>
      <c r="W382" s="183">
        <v>100</v>
      </c>
      <c r="X382" s="182" t="s">
        <v>267</v>
      </c>
      <c r="Y382" s="184"/>
      <c r="Z382" s="184"/>
      <c r="AA382" s="184"/>
      <c r="AB382" s="184"/>
      <c r="AC382" s="184"/>
      <c r="AD382" s="184"/>
      <c r="AE382" s="184"/>
      <c r="AF382" s="184"/>
      <c r="AG382" s="184"/>
      <c r="AH382" s="184"/>
      <c r="AI382" s="184"/>
      <c r="AJ382" s="184"/>
      <c r="AK382" s="184"/>
      <c r="AL382" s="184"/>
      <c r="AM382" s="184"/>
      <c r="AN382" s="184"/>
      <c r="AO382" s="184"/>
      <c r="AP382" s="184"/>
      <c r="AQ382" s="184"/>
      <c r="AR382" s="184"/>
      <c r="AS382" s="184"/>
      <c r="AT382" s="184"/>
      <c r="AU382" s="184"/>
      <c r="AV382" s="184"/>
      <c r="AW382" s="184"/>
      <c r="AX382" s="184"/>
      <c r="AY382" s="184"/>
      <c r="AZ382" s="184"/>
      <c r="BA382" s="184"/>
      <c r="BB382" s="184"/>
      <c r="BC382" s="184"/>
      <c r="BD382" s="184"/>
      <c r="BE382" s="184"/>
      <c r="BF382" s="184"/>
      <c r="BG382" s="184"/>
      <c r="BH382" s="184"/>
      <c r="BI382" s="184">
        <v>12000</v>
      </c>
      <c r="BJ382" s="184">
        <v>12000</v>
      </c>
      <c r="BK382" s="184">
        <v>12000</v>
      </c>
      <c r="BL382" s="184">
        <v>12000</v>
      </c>
      <c r="BM382" s="184">
        <v>12000</v>
      </c>
      <c r="BN382" s="184">
        <v>12000</v>
      </c>
      <c r="BO382" s="184"/>
      <c r="BP382" s="184"/>
      <c r="BQ382" s="184"/>
      <c r="BR382" s="184"/>
      <c r="BS382" s="184"/>
      <c r="BT382" s="184"/>
      <c r="BU382" s="146" cm="1">
        <f t="array" ref="BU382">LOOKUP(2,1/(Y382:BT382&lt;&gt;""),Y382:BH382)</f>
        <v>12000</v>
      </c>
      <c r="BV382" s="145" cm="1">
        <f t="array" aca="1" ref="BV382" ca="1">_xlfn.LET(
    _xlpm.last_col_idx, LOOKUP(2, 1/(Y382:BT382&lt;&gt;""), COLUMN(Y382:BT382) - COLUMN(Y382) + 1),
    _xlpm.header_val, INDEX($Y$3:$BT$3, 1, _xlpm.last_col_idx),
    _xlpm.header_date, IF(ISNUMBER(_xlpm.header_val), _xlpm.header_val, DATEVALUE(_xlpm.header_val)),
    IF(_xlpm.header_date &gt; TODAY(), TODAY(), _xlpm.header_date)
)</f>
        <v>46174</v>
      </c>
      <c r="BW382" s="209" cm="1">
        <f t="array" ref="BW382">(LOOKUP(2,1/(BH382:BT382&lt;&gt;""),BH382:BT382))/(INDEX(BH382:BT382,MATCH(TRUE,INDEX((BH382:BT382&lt;&gt;0),0),0)))-1</f>
        <v>0</v>
      </c>
      <c r="BX382" s="210">
        <f t="shared" si="64"/>
        <v>12</v>
      </c>
      <c r="BY382" s="210">
        <f t="shared" si="65"/>
        <v>9</v>
      </c>
      <c r="BZ382" s="210">
        <f ca="1">IF(L382="BR",'Impostos e Frete'!$F$6,IF(L382="EU",'Impostos e Frete'!$I$3,IF(L382="CN",'Impostos e Frete'!$I$4,IF(L382="JP",'Impostos e Frete'!$I$5,IF(L382="RU",'Impostos e Frete'!$I$7,"ERRO")))))</f>
        <v>1.1330439999999999</v>
      </c>
      <c r="CA382" s="210">
        <f>VLOOKUP(L382,'Impostos e Frete'!$A$3:$B$7,2,0)*'Preços e Condições'!BY382</f>
        <v>1.2600000000000002</v>
      </c>
      <c r="CB382" s="147">
        <f t="shared" si="66"/>
        <v>0</v>
      </c>
      <c r="CC382" s="147">
        <f>IF(X382="BRL",'Impostos e Frete'!$B$11,'Impostos e Frete'!$B$12)</f>
        <v>9.1999999999999998E-2</v>
      </c>
      <c r="CD382" s="211">
        <f t="shared" ca="1" si="67"/>
        <v>11.485044</v>
      </c>
      <c r="CE382" s="212">
        <f t="shared" ca="1" si="68"/>
        <v>0.78098299199999999</v>
      </c>
      <c r="CF382" s="213">
        <f>VLOOKUP(L382,'Impostos e Frete'!$A$3:$C$7,3,0)</f>
        <v>120</v>
      </c>
      <c r="CG382" s="213">
        <f t="shared" si="69"/>
        <v>90</v>
      </c>
      <c r="CH382" s="213">
        <f t="shared" si="70"/>
        <v>-30</v>
      </c>
      <c r="CI382" s="214">
        <f t="shared" ca="1" si="71"/>
        <v>0.17227565999999861</v>
      </c>
      <c r="CJ382" s="215">
        <f t="shared" ca="1" si="72"/>
        <v>11.657319659999999</v>
      </c>
      <c r="CK382" s="216">
        <f t="shared" ca="1" si="73"/>
        <v>0.79269773687999989</v>
      </c>
    </row>
    <row r="383" spans="1:89">
      <c r="A383" s="176">
        <v>7000403</v>
      </c>
      <c r="B383" s="177">
        <v>104</v>
      </c>
      <c r="C383" s="178">
        <v>70</v>
      </c>
      <c r="D383" s="178"/>
      <c r="E383" s="178" t="s">
        <v>50</v>
      </c>
      <c r="F383" s="179" t="s">
        <v>1</v>
      </c>
      <c r="G383" s="192" t="s">
        <v>6</v>
      </c>
      <c r="H383" s="190" t="s">
        <v>43</v>
      </c>
      <c r="I383" s="178">
        <v>990</v>
      </c>
      <c r="J383" s="183"/>
      <c r="K383" s="190" t="s">
        <v>28</v>
      </c>
      <c r="L383" s="183" t="s">
        <v>58</v>
      </c>
      <c r="M383" s="183">
        <v>0</v>
      </c>
      <c r="N383" s="183"/>
      <c r="O383" s="183"/>
      <c r="P383" s="183">
        <v>3</v>
      </c>
      <c r="Q383" s="183" t="s">
        <v>27</v>
      </c>
      <c r="R383" s="183" t="s">
        <v>19</v>
      </c>
      <c r="S383" s="181">
        <v>0.12</v>
      </c>
      <c r="T383" s="181" t="s">
        <v>210</v>
      </c>
      <c r="U383" s="182">
        <v>9.2499999999999999E-2</v>
      </c>
      <c r="V383" s="182" t="s">
        <v>35</v>
      </c>
      <c r="W383" s="183">
        <v>70</v>
      </c>
      <c r="X383" s="182" t="s">
        <v>46</v>
      </c>
      <c r="Y383" s="184"/>
      <c r="Z383" s="184"/>
      <c r="AA383" s="184"/>
      <c r="AB383" s="184"/>
      <c r="AC383" s="184"/>
      <c r="AD383" s="184"/>
      <c r="AE383" s="184"/>
      <c r="AF383" s="184"/>
      <c r="AG383" s="184"/>
      <c r="AH383" s="184"/>
      <c r="AI383" s="184"/>
      <c r="AJ383" s="184"/>
      <c r="AK383" s="184"/>
      <c r="AL383" s="184"/>
      <c r="AM383" s="184"/>
      <c r="AN383" s="184"/>
      <c r="AO383" s="184"/>
      <c r="AP383" s="184"/>
      <c r="AQ383" s="184"/>
      <c r="AR383" s="184"/>
      <c r="AS383" s="184"/>
      <c r="AT383" s="184"/>
      <c r="AU383" s="184"/>
      <c r="AV383" s="184"/>
      <c r="AW383" s="184"/>
      <c r="AX383" s="184"/>
      <c r="AY383" s="184"/>
      <c r="AZ383" s="184"/>
      <c r="BA383" s="184"/>
      <c r="BB383" s="184"/>
      <c r="BC383" s="184"/>
      <c r="BD383" s="184"/>
      <c r="BE383" s="184"/>
      <c r="BF383" s="184"/>
      <c r="BG383" s="184"/>
      <c r="BH383" s="184"/>
      <c r="BI383" s="184">
        <v>13634</v>
      </c>
      <c r="BJ383" s="184">
        <v>13634</v>
      </c>
      <c r="BK383" s="184">
        <v>13634</v>
      </c>
      <c r="BL383" s="184">
        <v>14425</v>
      </c>
      <c r="BM383" s="184">
        <v>14425</v>
      </c>
      <c r="BN383" s="184">
        <v>14425</v>
      </c>
      <c r="BO383" s="184">
        <v>15045</v>
      </c>
      <c r="BP383" s="184">
        <v>15045</v>
      </c>
      <c r="BQ383" s="184">
        <v>15045</v>
      </c>
      <c r="BR383" s="184"/>
      <c r="BS383" s="184"/>
      <c r="BT383" s="184"/>
      <c r="BU383" s="146" cm="1">
        <f t="array" ref="BU383">LOOKUP(2,1/(Y383:BT383&lt;&gt;""),Y383:BH383)</f>
        <v>15045</v>
      </c>
      <c r="BV383" s="145" cm="1">
        <f t="array" aca="1" ref="BV383" ca="1">_xlfn.LET(
    _xlpm.last_col_idx, LOOKUP(2, 1/(Y383:BT383&lt;&gt;""), COLUMN(Y383:BT383) - COLUMN(Y383) + 1),
    _xlpm.header_val, INDEX($Y$3:$BT$3, 1, _xlpm.last_col_idx),
    _xlpm.header_date, IF(ISNUMBER(_xlpm.header_val), _xlpm.header_val, DATEVALUE(_xlpm.header_val)),
    IF(_xlpm.header_date &gt; TODAY(), TODAY(), _xlpm.header_date)
)</f>
        <v>46212</v>
      </c>
      <c r="BW383" s="209" cm="1">
        <f t="array" ref="BW383">(LOOKUP(2,1/(BH383:BT383&lt;&gt;""),BH383:BT383))/(INDEX(BH383:BT383,MATCH(TRUE,INDEX((BH383:BT383&lt;&gt;0),0),0)))-1</f>
        <v>0.10349127182044882</v>
      </c>
      <c r="BX383" s="210">
        <f t="shared" si="64"/>
        <v>15.045</v>
      </c>
      <c r="BY383" s="210">
        <f t="shared" si="65"/>
        <v>15.045</v>
      </c>
      <c r="BZ383" s="210">
        <f>IF(L383="BR",'Impostos e Frete'!$F$6,IF(L383="EU",'Impostos e Frete'!$I$3,IF(L383="CN",'Impostos e Frete'!$I$4,IF(L383="JP",'Impostos e Frete'!$I$5,IF(L383="RU",'Impostos e Frete'!$I$7,"ERRO")))))</f>
        <v>0</v>
      </c>
      <c r="CA383" s="210">
        <f>VLOOKUP(L383,'Impostos e Frete'!$A$3:$B$7,2,0)*'Preços e Condições'!BY383</f>
        <v>0</v>
      </c>
      <c r="CB383" s="147">
        <f t="shared" si="66"/>
        <v>0</v>
      </c>
      <c r="CC383" s="147">
        <f>IF(X383="BRL",'Impostos e Frete'!$B$11,'Impostos e Frete'!$B$12)</f>
        <v>0.2</v>
      </c>
      <c r="CD383" s="211">
        <f t="shared" si="67"/>
        <v>15.244999999999999</v>
      </c>
      <c r="CE383" s="212">
        <f t="shared" si="68"/>
        <v>1.06715</v>
      </c>
      <c r="CF383" s="213">
        <f>VLOOKUP(L383,'Impostos e Frete'!$A$3:$C$7,3,0)</f>
        <v>45</v>
      </c>
      <c r="CG383" s="213">
        <f t="shared" si="69"/>
        <v>0</v>
      </c>
      <c r="CH383" s="213">
        <f t="shared" si="70"/>
        <v>-45</v>
      </c>
      <c r="CI383" s="214">
        <f t="shared" si="71"/>
        <v>0.34429559908687146</v>
      </c>
      <c r="CJ383" s="215">
        <f t="shared" si="72"/>
        <v>15.589295599086871</v>
      </c>
      <c r="CK383" s="216">
        <f t="shared" si="73"/>
        <v>1.0912506919360809</v>
      </c>
    </row>
    <row r="384" spans="1:89">
      <c r="A384" s="217">
        <v>7000440</v>
      </c>
      <c r="B384" s="177">
        <v>8269</v>
      </c>
      <c r="C384" s="178">
        <v>68</v>
      </c>
      <c r="D384" s="178"/>
      <c r="E384" s="178" t="s">
        <v>50</v>
      </c>
      <c r="F384" s="179" t="s">
        <v>1</v>
      </c>
      <c r="G384" s="192" t="s">
        <v>14</v>
      </c>
      <c r="H384" s="190" t="s">
        <v>42</v>
      </c>
      <c r="I384" s="178">
        <v>756</v>
      </c>
      <c r="J384" s="183"/>
      <c r="K384" s="190" t="s">
        <v>28</v>
      </c>
      <c r="L384" s="183" t="s">
        <v>58</v>
      </c>
      <c r="M384" s="183">
        <v>0</v>
      </c>
      <c r="N384" s="183"/>
      <c r="O384" s="183"/>
      <c r="P384" s="183">
        <v>3</v>
      </c>
      <c r="Q384" s="183" t="s">
        <v>27</v>
      </c>
      <c r="R384" s="183" t="s">
        <v>19</v>
      </c>
      <c r="S384" s="181">
        <v>0.12</v>
      </c>
      <c r="T384" s="181" t="s">
        <v>210</v>
      </c>
      <c r="U384" s="182">
        <v>9.2499999999999999E-2</v>
      </c>
      <c r="V384" s="182" t="s">
        <v>35</v>
      </c>
      <c r="W384" s="183">
        <v>50</v>
      </c>
      <c r="X384" s="182" t="s">
        <v>46</v>
      </c>
      <c r="Y384" s="184"/>
      <c r="Z384" s="184"/>
      <c r="AA384" s="184"/>
      <c r="AB384" s="184"/>
      <c r="AC384" s="184"/>
      <c r="AD384" s="184"/>
      <c r="AE384" s="184"/>
      <c r="AF384" s="184"/>
      <c r="AG384" s="184"/>
      <c r="AH384" s="184"/>
      <c r="AI384" s="184"/>
      <c r="AJ384" s="184"/>
      <c r="AK384" s="184"/>
      <c r="AL384" s="184"/>
      <c r="AM384" s="184"/>
      <c r="AN384" s="184"/>
      <c r="AO384" s="184"/>
      <c r="AP384" s="184"/>
      <c r="AQ384" s="184"/>
      <c r="AR384" s="184"/>
      <c r="AS384" s="184"/>
      <c r="AT384" s="184"/>
      <c r="AU384" s="184"/>
      <c r="AV384" s="184"/>
      <c r="AW384" s="184"/>
      <c r="AX384" s="184"/>
      <c r="AY384" s="184"/>
      <c r="AZ384" s="184"/>
      <c r="BA384" s="184"/>
      <c r="BB384" s="184"/>
      <c r="BC384" s="184"/>
      <c r="BD384" s="184"/>
      <c r="BE384" s="184"/>
      <c r="BF384" s="184"/>
      <c r="BG384" s="184"/>
      <c r="BH384" s="184"/>
      <c r="BI384" s="184">
        <v>18131</v>
      </c>
      <c r="BJ384" s="184">
        <v>18131</v>
      </c>
      <c r="BK384" s="184">
        <v>18131</v>
      </c>
      <c r="BL384" s="184">
        <v>19183</v>
      </c>
      <c r="BM384" s="184">
        <v>19183</v>
      </c>
      <c r="BN384" s="184">
        <v>19183</v>
      </c>
      <c r="BO384" s="184">
        <v>20008</v>
      </c>
      <c r="BP384" s="184">
        <v>20008</v>
      </c>
      <c r="BQ384" s="184">
        <v>20008</v>
      </c>
      <c r="BR384" s="184"/>
      <c r="BS384" s="184"/>
      <c r="BT384" s="184"/>
      <c r="BU384" s="146" cm="1">
        <f t="array" ref="BU384">LOOKUP(2,1/(Y384:BT384&lt;&gt;""),Y384:BH384)</f>
        <v>20008</v>
      </c>
      <c r="BV384" s="145" cm="1">
        <f t="array" aca="1" ref="BV384" ca="1">_xlfn.LET(
    _xlpm.last_col_idx, LOOKUP(2, 1/(Y384:BT384&lt;&gt;""), COLUMN(Y384:BT384) - COLUMN(Y384) + 1),
    _xlpm.header_val, INDEX($Y$3:$BT$3, 1, _xlpm.last_col_idx),
    _xlpm.header_date, IF(ISNUMBER(_xlpm.header_val), _xlpm.header_val, DATEVALUE(_xlpm.header_val)),
    IF(_xlpm.header_date &gt; TODAY(), TODAY(), _xlpm.header_date)
)</f>
        <v>46212</v>
      </c>
      <c r="BW384" s="209" cm="1">
        <f t="array" ref="BW384">(LOOKUP(2,1/(BH384:BT384&lt;&gt;""),BH384:BT384))/(INDEX(BH384:BT384,MATCH(TRUE,INDEX((BH384:BT384&lt;&gt;0),0),0)))-1</f>
        <v>0.10352435055981468</v>
      </c>
      <c r="BX384" s="210">
        <f t="shared" si="64"/>
        <v>20.007999999999999</v>
      </c>
      <c r="BY384" s="210">
        <f t="shared" si="65"/>
        <v>20.007999999999999</v>
      </c>
      <c r="BZ384" s="210">
        <f>IF(L384="BR",'Impostos e Frete'!$F$6,IF(L384="EU",'Impostos e Frete'!$I$3,IF(L384="CN",'Impostos e Frete'!$I$4,IF(L384="JP",'Impostos e Frete'!$I$5,IF(L384="RU",'Impostos e Frete'!$I$7,"ERRO")))))</f>
        <v>0</v>
      </c>
      <c r="CA384" s="210">
        <f>VLOOKUP(L384,'Impostos e Frete'!$A$3:$B$7,2,0)*'Preços e Condições'!BY384</f>
        <v>0</v>
      </c>
      <c r="CB384" s="147">
        <f t="shared" si="66"/>
        <v>0</v>
      </c>
      <c r="CC384" s="147">
        <f>IF(X384="BRL",'Impostos e Frete'!$B$11,'Impostos e Frete'!$B$12)</f>
        <v>0.2</v>
      </c>
      <c r="CD384" s="211">
        <f t="shared" si="67"/>
        <v>20.207999999999998</v>
      </c>
      <c r="CE384" s="212">
        <f t="shared" si="68"/>
        <v>1.3741439999999998</v>
      </c>
      <c r="CF384" s="213">
        <f>VLOOKUP(L384,'Impostos e Frete'!$A$3:$C$7,3,0)</f>
        <v>45</v>
      </c>
      <c r="CG384" s="213">
        <f t="shared" si="69"/>
        <v>0</v>
      </c>
      <c r="CH384" s="213">
        <f t="shared" si="70"/>
        <v>-45</v>
      </c>
      <c r="CI384" s="214">
        <f t="shared" si="71"/>
        <v>0.45638081117398954</v>
      </c>
      <c r="CJ384" s="215">
        <f t="shared" si="72"/>
        <v>20.664380811173988</v>
      </c>
      <c r="CK384" s="216">
        <f t="shared" si="73"/>
        <v>1.4051778951598313</v>
      </c>
    </row>
    <row r="385" spans="1:89">
      <c r="A385" s="217">
        <v>7000443</v>
      </c>
      <c r="B385" s="177">
        <v>248</v>
      </c>
      <c r="C385" s="178">
        <v>65</v>
      </c>
      <c r="D385" s="178"/>
      <c r="E385" s="178" t="s">
        <v>50</v>
      </c>
      <c r="F385" s="179" t="s">
        <v>0</v>
      </c>
      <c r="G385" s="180" t="s">
        <v>244</v>
      </c>
      <c r="H385" s="178" t="s">
        <v>63</v>
      </c>
      <c r="I385" s="178"/>
      <c r="J385" s="178"/>
      <c r="K385" s="178"/>
      <c r="L385" s="178" t="s">
        <v>60</v>
      </c>
      <c r="M385" s="178">
        <v>90</v>
      </c>
      <c r="N385" s="178">
        <v>400</v>
      </c>
      <c r="O385" s="178"/>
      <c r="P385" s="178"/>
      <c r="Q385" s="178"/>
      <c r="R385" s="178" t="s">
        <v>19</v>
      </c>
      <c r="S385" s="181"/>
      <c r="T385" s="181"/>
      <c r="U385" s="182"/>
      <c r="V385" s="182" t="s">
        <v>35</v>
      </c>
      <c r="W385" s="183">
        <v>100</v>
      </c>
      <c r="X385" s="182" t="s">
        <v>51</v>
      </c>
      <c r="Y385" s="184"/>
      <c r="Z385" s="184"/>
      <c r="AA385" s="184"/>
      <c r="AB385" s="184"/>
      <c r="AC385" s="184"/>
      <c r="AD385" s="184"/>
      <c r="AE385" s="184"/>
      <c r="AF385" s="184"/>
      <c r="AG385" s="184"/>
      <c r="AH385" s="184"/>
      <c r="AI385" s="184"/>
      <c r="AJ385" s="184"/>
      <c r="AK385" s="184"/>
      <c r="AL385" s="184"/>
      <c r="AM385" s="184"/>
      <c r="AN385" s="184"/>
      <c r="AO385" s="184"/>
      <c r="AP385" s="184"/>
      <c r="AQ385" s="184"/>
      <c r="AR385" s="184"/>
      <c r="AS385" s="184"/>
      <c r="AT385" s="184"/>
      <c r="AU385" s="184"/>
      <c r="AV385" s="184"/>
      <c r="AW385" s="184"/>
      <c r="AX385" s="184"/>
      <c r="AY385" s="184"/>
      <c r="AZ385" s="184"/>
      <c r="BA385" s="184"/>
      <c r="BB385" s="184"/>
      <c r="BC385" s="184"/>
      <c r="BD385" s="184"/>
      <c r="BE385" s="184">
        <v>1800</v>
      </c>
      <c r="BF385" s="184"/>
      <c r="BG385" s="184"/>
      <c r="BH385" s="184"/>
      <c r="BI385" s="184"/>
      <c r="BJ385" s="184"/>
      <c r="BK385" s="184"/>
      <c r="BL385" s="184"/>
      <c r="BM385" s="184"/>
      <c r="BN385" s="184"/>
      <c r="BO385" s="184"/>
      <c r="BP385" s="184"/>
      <c r="BQ385" s="184"/>
      <c r="BR385" s="184"/>
      <c r="BS385" s="184"/>
      <c r="BT385" s="184"/>
      <c r="BU385" s="146" cm="1">
        <f t="array" ref="BU385">LOOKUP(2,1/(Y385:BT385&lt;&gt;""),Y385:BH385)</f>
        <v>1800</v>
      </c>
      <c r="BV385" s="145" cm="1">
        <f t="array" aca="1" ref="BV385" ca="1">_xlfn.LET(
    _xlpm.last_col_idx, LOOKUP(2, 1/(Y385:BT385&lt;&gt;""), COLUMN(Y385:BT385) - COLUMN(Y385) + 1),
    _xlpm.header_val, INDEX($Y$3:$BT$3, 1, _xlpm.last_col_idx),
    _xlpm.header_date, IF(ISNUMBER(_xlpm.header_val), _xlpm.header_val, DATEVALUE(_xlpm.header_val)),
    IF(_xlpm.header_date &gt; TODAY(), TODAY(), _xlpm.header_date)
)</f>
        <v>45901</v>
      </c>
      <c r="BW385" s="209" t="e" cm="1">
        <f t="array" ref="BW385">(LOOKUP(2,1/(BH385:BT385&lt;&gt;""),BH385:BT385))/(INDEX(BH385:BT385,MATCH(TRUE,INDEX((BH385:BT385&lt;&gt;0),0),0)))-1</f>
        <v>#N/A</v>
      </c>
      <c r="BX385" s="210">
        <f t="shared" si="64"/>
        <v>1.8</v>
      </c>
      <c r="BY385" s="210">
        <f t="shared" si="65"/>
        <v>10.620000000000001</v>
      </c>
      <c r="BZ385" s="210">
        <f ca="1">IF(L385="BR",'Impostos e Frete'!$F$6,IF(L385="EU",'Impostos e Frete'!$I$3,IF(L385="CN",'Impostos e Frete'!$I$4,IF(L385="JP",'Impostos e Frete'!$I$5,IF(L385="RU",'Impostos e Frete'!$I$7,"ERRO")))))</f>
        <v>1.1330439999999999</v>
      </c>
      <c r="CA385" s="210">
        <f>VLOOKUP(L385,'Impostos e Frete'!$A$3:$B$7,2,0)*'Preços e Condições'!BY385</f>
        <v>1.4868000000000003</v>
      </c>
      <c r="CB385" s="147">
        <f t="shared" si="66"/>
        <v>0</v>
      </c>
      <c r="CC385" s="147">
        <f>IF(X385="BRL",'Impostos e Frete'!$B$11,'Impostos e Frete'!$B$12)</f>
        <v>9.1999999999999998E-2</v>
      </c>
      <c r="CD385" s="211">
        <f t="shared" ca="1" si="67"/>
        <v>13.331844000000002</v>
      </c>
      <c r="CE385" s="212">
        <f t="shared" ca="1" si="68"/>
        <v>0.86656986000000014</v>
      </c>
      <c r="CF385" s="213">
        <f>VLOOKUP(L385,'Impostos e Frete'!$A$3:$C$7,3,0)</f>
        <v>120</v>
      </c>
      <c r="CG385" s="213">
        <f t="shared" si="69"/>
        <v>90</v>
      </c>
      <c r="CH385" s="213">
        <f t="shared" si="70"/>
        <v>-30</v>
      </c>
      <c r="CI385" s="214">
        <f t="shared" ca="1" si="71"/>
        <v>0.19997765999999828</v>
      </c>
      <c r="CJ385" s="215">
        <f t="shared" ca="1" si="72"/>
        <v>13.53182166</v>
      </c>
      <c r="CK385" s="216">
        <f t="shared" ca="1" si="73"/>
        <v>0.87956840790000002</v>
      </c>
    </row>
    <row r="386" spans="1:89">
      <c r="A386" s="217">
        <v>7000444</v>
      </c>
      <c r="B386" s="177">
        <v>399</v>
      </c>
      <c r="C386" s="178">
        <v>68</v>
      </c>
      <c r="D386" s="178"/>
      <c r="E386" s="178" t="s">
        <v>50</v>
      </c>
      <c r="F386" s="179" t="s">
        <v>47</v>
      </c>
      <c r="G386" s="179" t="s">
        <v>79</v>
      </c>
      <c r="H386" s="178" t="s">
        <v>42</v>
      </c>
      <c r="I386" s="178">
        <v>6656</v>
      </c>
      <c r="J386" s="178"/>
      <c r="K386" s="178"/>
      <c r="L386" s="178" t="s">
        <v>59</v>
      </c>
      <c r="M386" s="178">
        <v>120</v>
      </c>
      <c r="N386" s="178">
        <v>300</v>
      </c>
      <c r="O386" s="178"/>
      <c r="P386" s="178"/>
      <c r="Q386" s="178"/>
      <c r="R386" s="178" t="s">
        <v>19</v>
      </c>
      <c r="S386" s="181"/>
      <c r="T386" s="181"/>
      <c r="U386" s="182"/>
      <c r="V386" s="182" t="s">
        <v>35</v>
      </c>
      <c r="W386" s="183">
        <v>50</v>
      </c>
      <c r="X386" s="182" t="s">
        <v>51</v>
      </c>
      <c r="Y386" s="184"/>
      <c r="Z386" s="184"/>
      <c r="AA386" s="184"/>
      <c r="AB386" s="184"/>
      <c r="AC386" s="184"/>
      <c r="AD386" s="184"/>
      <c r="AE386" s="184"/>
      <c r="AF386" s="184"/>
      <c r="AG386" s="184"/>
      <c r="AH386" s="184"/>
      <c r="AI386" s="184"/>
      <c r="AJ386" s="184"/>
      <c r="AK386" s="184"/>
      <c r="AL386" s="184"/>
      <c r="AM386" s="184"/>
      <c r="AN386" s="184"/>
      <c r="AO386" s="184"/>
      <c r="AP386" s="184"/>
      <c r="AQ386" s="184"/>
      <c r="AR386" s="184"/>
      <c r="AS386" s="184"/>
      <c r="AT386" s="184"/>
      <c r="AU386" s="184"/>
      <c r="AV386" s="184"/>
      <c r="AW386" s="184"/>
      <c r="AX386" s="184"/>
      <c r="AY386" s="184"/>
      <c r="AZ386" s="184"/>
      <c r="BA386" s="184"/>
      <c r="BB386" s="184"/>
      <c r="BC386" s="184"/>
      <c r="BD386" s="184"/>
      <c r="BE386" s="184"/>
      <c r="BF386" s="184"/>
      <c r="BG386" s="184"/>
      <c r="BH386" s="184"/>
      <c r="BI386" s="184">
        <v>2540</v>
      </c>
      <c r="BJ386" s="184">
        <v>2540</v>
      </c>
      <c r="BK386" s="184">
        <v>2540</v>
      </c>
      <c r="BL386" s="184">
        <v>2640</v>
      </c>
      <c r="BM386" s="184">
        <v>2640</v>
      </c>
      <c r="BN386" s="184">
        <v>2640</v>
      </c>
      <c r="BO386" s="184">
        <v>2720</v>
      </c>
      <c r="BP386" s="184">
        <v>2720</v>
      </c>
      <c r="BQ386" s="184">
        <v>2720</v>
      </c>
      <c r="BR386" s="184"/>
      <c r="BS386" s="184"/>
      <c r="BT386" s="184"/>
      <c r="BU386" s="146" cm="1">
        <f t="array" ref="BU386">LOOKUP(2,1/(Y386:BT386&lt;&gt;""),Y386:BH386)</f>
        <v>2720</v>
      </c>
      <c r="BV386" s="145" cm="1">
        <f t="array" aca="1" ref="BV386" ca="1">_xlfn.LET(
    _xlpm.last_col_idx, LOOKUP(2, 1/(Y386:BT386&lt;&gt;""), COLUMN(Y386:BT386) - COLUMN(Y386) + 1),
    _xlpm.header_val, INDEX($Y$3:$BT$3, 1, _xlpm.last_col_idx),
    _xlpm.header_date, IF(ISNUMBER(_xlpm.header_val), _xlpm.header_val, DATEVALUE(_xlpm.header_val)),
    IF(_xlpm.header_date &gt; TODAY(), TODAY(), _xlpm.header_date)
)</f>
        <v>46212</v>
      </c>
      <c r="BW386" s="209" cm="1">
        <f t="array" ref="BW386">(LOOKUP(2,1/(BH386:BT386&lt;&gt;""),BH386:BT386))/(INDEX(BH386:BT386,MATCH(TRUE,INDEX((BH386:BT386&lt;&gt;0),0),0)))-1</f>
        <v>7.0866141732283561E-2</v>
      </c>
      <c r="BX386" s="210">
        <f t="shared" si="64"/>
        <v>2.72</v>
      </c>
      <c r="BY386" s="210">
        <f t="shared" si="65"/>
        <v>16.048000000000002</v>
      </c>
      <c r="BZ386" s="210">
        <f ca="1">IF(L386="BR",'Impostos e Frete'!$F$6,IF(L386="EU",'Impostos e Frete'!$I$3,IF(L386="CN",'Impostos e Frete'!$I$4,IF(L386="JP",'Impostos e Frete'!$I$5,IF(L386="RU",'Impostos e Frete'!$I$7,"ERRO")))))</f>
        <v>0.1410816</v>
      </c>
      <c r="CA386" s="210">
        <f>VLOOKUP(L386,'Impostos e Frete'!$A$3:$B$7,2,0)*'Preços e Condições'!BY386</f>
        <v>2.0862400000000001</v>
      </c>
      <c r="CB386" s="147">
        <f t="shared" si="66"/>
        <v>0</v>
      </c>
      <c r="CC386" s="147">
        <f>IF(X386="BRL",'Impostos e Frete'!$B$11,'Impostos e Frete'!$B$12)</f>
        <v>9.1999999999999998E-2</v>
      </c>
      <c r="CD386" s="211">
        <f t="shared" ca="1" si="67"/>
        <v>18.3673216</v>
      </c>
      <c r="CE386" s="212">
        <f t="shared" ca="1" si="68"/>
        <v>1.2489778687999999</v>
      </c>
      <c r="CF386" s="213">
        <f>VLOOKUP(L386,'Impostos e Frete'!$A$3:$C$7,3,0)</f>
        <v>105</v>
      </c>
      <c r="CG386" s="213">
        <f t="shared" si="69"/>
        <v>120</v>
      </c>
      <c r="CH386" s="213">
        <f t="shared" si="70"/>
        <v>15</v>
      </c>
      <c r="CI386" s="214">
        <f t="shared" ca="1" si="71"/>
        <v>-0.13622429015572024</v>
      </c>
      <c r="CJ386" s="215">
        <f t="shared" ca="1" si="72"/>
        <v>18.23109730984428</v>
      </c>
      <c r="CK386" s="216">
        <f t="shared" ca="1" si="73"/>
        <v>1.2397146170694111</v>
      </c>
    </row>
    <row r="387" spans="1:89">
      <c r="A387" s="217">
        <v>7000444</v>
      </c>
      <c r="B387" s="177">
        <v>399</v>
      </c>
      <c r="C387" s="178">
        <v>68</v>
      </c>
      <c r="D387" s="178"/>
      <c r="E387" s="178" t="s">
        <v>50</v>
      </c>
      <c r="F387" s="179" t="s">
        <v>47</v>
      </c>
      <c r="G387" s="179" t="s">
        <v>79</v>
      </c>
      <c r="H387" s="178" t="s">
        <v>42</v>
      </c>
      <c r="I387" s="178">
        <v>6656</v>
      </c>
      <c r="J387" s="178"/>
      <c r="K387" s="178"/>
      <c r="L387" s="178" t="s">
        <v>59</v>
      </c>
      <c r="M387" s="178">
        <v>120</v>
      </c>
      <c r="N387" s="178">
        <v>300</v>
      </c>
      <c r="O387" s="178"/>
      <c r="P387" s="178"/>
      <c r="Q387" s="178"/>
      <c r="R387" s="178" t="s">
        <v>19</v>
      </c>
      <c r="S387" s="181"/>
      <c r="T387" s="181"/>
      <c r="U387" s="182"/>
      <c r="V387" s="182" t="s">
        <v>35</v>
      </c>
      <c r="W387" s="183">
        <v>30</v>
      </c>
      <c r="X387" s="182" t="s">
        <v>51</v>
      </c>
      <c r="Y387" s="184"/>
      <c r="Z387" s="184"/>
      <c r="AA387" s="184"/>
      <c r="AB387" s="184"/>
      <c r="AC387" s="184"/>
      <c r="AD387" s="184"/>
      <c r="AE387" s="184"/>
      <c r="AF387" s="184"/>
      <c r="AG387" s="184"/>
      <c r="AH387" s="184"/>
      <c r="AI387" s="184"/>
      <c r="AJ387" s="184"/>
      <c r="AK387" s="184"/>
      <c r="AL387" s="184"/>
      <c r="AM387" s="184"/>
      <c r="AN387" s="184"/>
      <c r="AO387" s="184"/>
      <c r="AP387" s="184"/>
      <c r="AQ387" s="184"/>
      <c r="AR387" s="184"/>
      <c r="AS387" s="184"/>
      <c r="AT387" s="184"/>
      <c r="AU387" s="184"/>
      <c r="AV387" s="184"/>
      <c r="AW387" s="184"/>
      <c r="AX387" s="184"/>
      <c r="AY387" s="184"/>
      <c r="AZ387" s="184"/>
      <c r="BA387" s="184"/>
      <c r="BB387" s="184"/>
      <c r="BC387" s="184"/>
      <c r="BD387" s="184"/>
      <c r="BE387" s="184"/>
      <c r="BF387" s="184"/>
      <c r="BG387" s="184"/>
      <c r="BH387" s="184"/>
      <c r="BI387" s="184">
        <v>2590</v>
      </c>
      <c r="BJ387" s="184">
        <v>2590</v>
      </c>
      <c r="BK387" s="184">
        <v>2590</v>
      </c>
      <c r="BL387" s="184">
        <v>2690</v>
      </c>
      <c r="BM387" s="184">
        <v>2690</v>
      </c>
      <c r="BN387" s="184">
        <v>2690</v>
      </c>
      <c r="BO387" s="184">
        <v>2770</v>
      </c>
      <c r="BP387" s="184">
        <v>2770</v>
      </c>
      <c r="BQ387" s="184">
        <v>2770</v>
      </c>
      <c r="BR387" s="184"/>
      <c r="BS387" s="184"/>
      <c r="BT387" s="184"/>
      <c r="BU387" s="146" cm="1">
        <f t="array" ref="BU387">LOOKUP(2,1/(Y387:BT387&lt;&gt;""),Y387:BH387)</f>
        <v>2770</v>
      </c>
      <c r="BV387" s="145" cm="1">
        <f t="array" aca="1" ref="BV387" ca="1">_xlfn.LET(
    _xlpm.last_col_idx, LOOKUP(2, 1/(Y387:BT387&lt;&gt;""), COLUMN(Y387:BT387) - COLUMN(Y387) + 1),
    _xlpm.header_val, INDEX($Y$3:$BT$3, 1, _xlpm.last_col_idx),
    _xlpm.header_date, IF(ISNUMBER(_xlpm.header_val), _xlpm.header_val, DATEVALUE(_xlpm.header_val)),
    IF(_xlpm.header_date &gt; TODAY(), TODAY(), _xlpm.header_date)
)</f>
        <v>46212</v>
      </c>
      <c r="BW387" s="209" cm="1">
        <f t="array" ref="BW387">(LOOKUP(2,1/(BH387:BT387&lt;&gt;""),BH387:BT387))/(INDEX(BH387:BT387,MATCH(TRUE,INDEX((BH387:BT387&lt;&gt;0),0),0)))-1</f>
        <v>6.9498069498069581E-2</v>
      </c>
      <c r="BX387" s="210">
        <f t="shared" si="64"/>
        <v>2.77</v>
      </c>
      <c r="BY387" s="210">
        <f t="shared" si="65"/>
        <v>16.343</v>
      </c>
      <c r="BZ387" s="210">
        <f ca="1">IF(L387="BR",'Impostos e Frete'!$F$6,IF(L387="EU",'Impostos e Frete'!$I$3,IF(L387="CN",'Impostos e Frete'!$I$4,IF(L387="JP",'Impostos e Frete'!$I$5,IF(L387="RU",'Impostos e Frete'!$I$7,"ERRO")))))</f>
        <v>0.1410816</v>
      </c>
      <c r="CA387" s="210">
        <f>VLOOKUP(L387,'Impostos e Frete'!$A$3:$B$7,2,0)*'Preços e Condições'!BY387</f>
        <v>2.12459</v>
      </c>
      <c r="CB387" s="147">
        <f t="shared" si="66"/>
        <v>0</v>
      </c>
      <c r="CC387" s="147">
        <f>IF(X387="BRL",'Impostos e Frete'!$B$11,'Impostos e Frete'!$B$12)</f>
        <v>9.1999999999999998E-2</v>
      </c>
      <c r="CD387" s="211">
        <f t="shared" ca="1" si="67"/>
        <v>18.7006716</v>
      </c>
      <c r="CE387" s="212">
        <f t="shared" ca="1" si="68"/>
        <v>1.2716456688</v>
      </c>
      <c r="CF387" s="213">
        <f>VLOOKUP(L387,'Impostos e Frete'!$A$3:$C$7,3,0)</f>
        <v>105</v>
      </c>
      <c r="CG387" s="213">
        <f t="shared" si="69"/>
        <v>120</v>
      </c>
      <c r="CH387" s="213">
        <f t="shared" si="70"/>
        <v>15</v>
      </c>
      <c r="CI387" s="214">
        <f t="shared" ca="1" si="71"/>
        <v>-0.13869663577650826</v>
      </c>
      <c r="CJ387" s="215">
        <f t="shared" ca="1" si="72"/>
        <v>18.561974964223491</v>
      </c>
      <c r="CK387" s="216">
        <f t="shared" ca="1" si="73"/>
        <v>1.2622142975671975</v>
      </c>
    </row>
    <row r="388" spans="1:89">
      <c r="A388" s="217">
        <v>7000444</v>
      </c>
      <c r="B388" s="177">
        <v>399</v>
      </c>
      <c r="C388" s="178">
        <v>68</v>
      </c>
      <c r="D388" s="178"/>
      <c r="E388" s="178" t="s">
        <v>50</v>
      </c>
      <c r="F388" s="179" t="s">
        <v>47</v>
      </c>
      <c r="G388" s="179" t="s">
        <v>79</v>
      </c>
      <c r="H388" s="178" t="s">
        <v>42</v>
      </c>
      <c r="I388" s="178">
        <v>6656</v>
      </c>
      <c r="J388" s="178"/>
      <c r="K388" s="178"/>
      <c r="L388" s="178" t="s">
        <v>59</v>
      </c>
      <c r="M388" s="178">
        <v>120</v>
      </c>
      <c r="N388" s="178">
        <v>300</v>
      </c>
      <c r="O388" s="178"/>
      <c r="P388" s="178"/>
      <c r="Q388" s="178"/>
      <c r="R388" s="178" t="s">
        <v>19</v>
      </c>
      <c r="S388" s="181"/>
      <c r="T388" s="181"/>
      <c r="U388" s="182"/>
      <c r="V388" s="182" t="s">
        <v>35</v>
      </c>
      <c r="W388" s="183">
        <v>20</v>
      </c>
      <c r="X388" s="182" t="s">
        <v>51</v>
      </c>
      <c r="Y388" s="184"/>
      <c r="Z388" s="184"/>
      <c r="AA388" s="184"/>
      <c r="AB388" s="184"/>
      <c r="AC388" s="184"/>
      <c r="AD388" s="184"/>
      <c r="AE388" s="184"/>
      <c r="AF388" s="184"/>
      <c r="AG388" s="184"/>
      <c r="AH388" s="184"/>
      <c r="AI388" s="184"/>
      <c r="AJ388" s="184"/>
      <c r="AK388" s="184"/>
      <c r="AL388" s="184"/>
      <c r="AM388" s="184"/>
      <c r="AN388" s="184"/>
      <c r="AO388" s="184"/>
      <c r="AP388" s="184"/>
      <c r="AQ388" s="184"/>
      <c r="AR388" s="184"/>
      <c r="AS388" s="184"/>
      <c r="AT388" s="184"/>
      <c r="AU388" s="184"/>
      <c r="AV388" s="184"/>
      <c r="AW388" s="184"/>
      <c r="AX388" s="184"/>
      <c r="AY388" s="184"/>
      <c r="AZ388" s="184"/>
      <c r="BA388" s="184"/>
      <c r="BB388" s="184"/>
      <c r="BC388" s="184"/>
      <c r="BD388" s="184"/>
      <c r="BE388" s="184"/>
      <c r="BF388" s="184"/>
      <c r="BG388" s="184"/>
      <c r="BH388" s="184"/>
      <c r="BI388" s="184">
        <v>2640</v>
      </c>
      <c r="BJ388" s="184">
        <v>2640</v>
      </c>
      <c r="BK388" s="184">
        <v>2640</v>
      </c>
      <c r="BL388" s="184">
        <v>2740</v>
      </c>
      <c r="BM388" s="184">
        <v>2740</v>
      </c>
      <c r="BN388" s="184">
        <v>2740</v>
      </c>
      <c r="BO388" s="184">
        <v>2820</v>
      </c>
      <c r="BP388" s="184">
        <v>2820</v>
      </c>
      <c r="BQ388" s="184">
        <v>2820</v>
      </c>
      <c r="BR388" s="184"/>
      <c r="BS388" s="184"/>
      <c r="BT388" s="184"/>
      <c r="BU388" s="146" cm="1">
        <f t="array" ref="BU388">LOOKUP(2,1/(Y388:BT388&lt;&gt;""),Y388:BH388)</f>
        <v>2820</v>
      </c>
      <c r="BV388" s="145" cm="1">
        <f t="array" aca="1" ref="BV388" ca="1">_xlfn.LET(
    _xlpm.last_col_idx, LOOKUP(2, 1/(Y388:BT388&lt;&gt;""), COLUMN(Y388:BT388) - COLUMN(Y388) + 1),
    _xlpm.header_val, INDEX($Y$3:$BT$3, 1, _xlpm.last_col_idx),
    _xlpm.header_date, IF(ISNUMBER(_xlpm.header_val), _xlpm.header_val, DATEVALUE(_xlpm.header_val)),
    IF(_xlpm.header_date &gt; TODAY(), TODAY(), _xlpm.header_date)
)</f>
        <v>46212</v>
      </c>
      <c r="BW388" s="209" cm="1">
        <f t="array" ref="BW388">(LOOKUP(2,1/(BH388:BT388&lt;&gt;""),BH388:BT388))/(INDEX(BH388:BT388,MATCH(TRUE,INDEX((BH388:BT388&lt;&gt;0),0),0)))-1</f>
        <v>6.8181818181818121E-2</v>
      </c>
      <c r="BX388" s="210">
        <f t="shared" ref="BX388:BX451" si="78">BU388/1000</f>
        <v>2.82</v>
      </c>
      <c r="BY388" s="210">
        <f t="shared" ref="BY388:BY451" si="79">IF(X388="BRL",BX388,IF(X388="EUR",BX388*$CK$2,IF(X388="USD",BX388*$CK$1,IF(X388="CNY",BX388*$CM$1,IF(X388="RUB",BX388*$CM$2,"CRRY#")))))</f>
        <v>16.638000000000002</v>
      </c>
      <c r="BZ388" s="210">
        <f ca="1">IF(L388="BR",'Impostos e Frete'!$F$6,IF(L388="EU",'Impostos e Frete'!$I$3,IF(L388="CN",'Impostos e Frete'!$I$4,IF(L388="JP",'Impostos e Frete'!$I$5,IF(L388="RU",'Impostos e Frete'!$I$7,"ERRO")))))</f>
        <v>0.1410816</v>
      </c>
      <c r="CA388" s="210">
        <f>VLOOKUP(L388,'Impostos e Frete'!$A$3:$B$7,2,0)*'Preços e Condições'!BY388</f>
        <v>2.1629400000000003</v>
      </c>
      <c r="CB388" s="147">
        <f t="shared" ref="CB388:CB451" si="80">IF(R388="CFR",$CB$2,IF(R388="FOB",0,IF(R388="EXW",$CB$1,"ERRO")))</f>
        <v>0</v>
      </c>
      <c r="CC388" s="147">
        <f>IF(X388="BRL",'Impostos e Frete'!$B$11,'Impostos e Frete'!$B$12)</f>
        <v>9.1999999999999998E-2</v>
      </c>
      <c r="CD388" s="211">
        <f t="shared" ref="CD388:CD451" ca="1" si="81">SUM(BY388:CC388)</f>
        <v>19.034021599999999</v>
      </c>
      <c r="CE388" s="212">
        <f t="shared" ref="CE388:CE451" ca="1" si="82">IF(C388="","erro",(CD388/1000)*C388)</f>
        <v>1.2943134688</v>
      </c>
      <c r="CF388" s="213">
        <f>VLOOKUP(L388,'Impostos e Frete'!$A$3:$C$7,3,0)</f>
        <v>105</v>
      </c>
      <c r="CG388" s="213">
        <f t="shared" ref="CG388:CG451" si="83">M388</f>
        <v>120</v>
      </c>
      <c r="CH388" s="213">
        <f t="shared" ref="CH388:CH451" si="84">CG388-CF388</f>
        <v>15</v>
      </c>
      <c r="CI388" s="214">
        <f t="shared" ref="CI388:CI451" ca="1" si="85">CD388*(1+VALUE($CI$2))^((CH388*-1)/30)-CD388</f>
        <v>-0.14116898139729983</v>
      </c>
      <c r="CJ388" s="215">
        <f t="shared" ref="CJ388:CJ451" ca="1" si="86">CD388+CI388</f>
        <v>18.892852618602699</v>
      </c>
      <c r="CK388" s="216">
        <f t="shared" ref="CK388:CK451" ca="1" si="87">IF(C388="","erro",(CJ388/1000)*C388)</f>
        <v>1.2847139780649834</v>
      </c>
    </row>
    <row r="389" spans="1:89">
      <c r="A389" s="217">
        <v>7000444</v>
      </c>
      <c r="B389" s="177">
        <v>399</v>
      </c>
      <c r="C389" s="178">
        <v>68</v>
      </c>
      <c r="D389" s="178"/>
      <c r="E389" s="178" t="s">
        <v>50</v>
      </c>
      <c r="F389" s="179" t="s">
        <v>47</v>
      </c>
      <c r="G389" s="179" t="s">
        <v>79</v>
      </c>
      <c r="H389" s="178" t="s">
        <v>42</v>
      </c>
      <c r="I389" s="178">
        <v>6656</v>
      </c>
      <c r="J389" s="178"/>
      <c r="K389" s="178"/>
      <c r="L389" s="178" t="s">
        <v>59</v>
      </c>
      <c r="M389" s="178">
        <v>120</v>
      </c>
      <c r="N389" s="178">
        <v>300</v>
      </c>
      <c r="O389" s="178"/>
      <c r="P389" s="178"/>
      <c r="Q389" s="178"/>
      <c r="R389" s="178" t="s">
        <v>19</v>
      </c>
      <c r="S389" s="181"/>
      <c r="T389" s="181"/>
      <c r="U389" s="182"/>
      <c r="V389" s="182" t="s">
        <v>35</v>
      </c>
      <c r="W389" s="183">
        <v>10</v>
      </c>
      <c r="X389" s="182" t="s">
        <v>51</v>
      </c>
      <c r="Y389" s="184"/>
      <c r="Z389" s="184"/>
      <c r="AA389" s="184"/>
      <c r="AB389" s="184"/>
      <c r="AC389" s="184"/>
      <c r="AD389" s="184"/>
      <c r="AE389" s="184"/>
      <c r="AF389" s="184"/>
      <c r="AG389" s="184"/>
      <c r="AH389" s="184"/>
      <c r="AI389" s="184"/>
      <c r="AJ389" s="184"/>
      <c r="AK389" s="184"/>
      <c r="AL389" s="184"/>
      <c r="AM389" s="184"/>
      <c r="AN389" s="184"/>
      <c r="AO389" s="184"/>
      <c r="AP389" s="184"/>
      <c r="AQ389" s="184"/>
      <c r="AR389" s="184"/>
      <c r="AS389" s="184"/>
      <c r="AT389" s="184"/>
      <c r="AU389" s="184"/>
      <c r="AV389" s="184"/>
      <c r="AW389" s="184"/>
      <c r="AX389" s="184"/>
      <c r="AY389" s="184"/>
      <c r="AZ389" s="184"/>
      <c r="BA389" s="184"/>
      <c r="BB389" s="184"/>
      <c r="BC389" s="184"/>
      <c r="BD389" s="184"/>
      <c r="BE389" s="184"/>
      <c r="BF389" s="184"/>
      <c r="BG389" s="184"/>
      <c r="BH389" s="184"/>
      <c r="BI389" s="184">
        <v>2720</v>
      </c>
      <c r="BJ389" s="184">
        <v>2720</v>
      </c>
      <c r="BK389" s="184">
        <v>2720</v>
      </c>
      <c r="BL389" s="184">
        <v>2820</v>
      </c>
      <c r="BM389" s="184">
        <v>2820</v>
      </c>
      <c r="BN389" s="184">
        <v>2820</v>
      </c>
      <c r="BO389" s="184">
        <v>2900</v>
      </c>
      <c r="BP389" s="184">
        <v>2900</v>
      </c>
      <c r="BQ389" s="184">
        <v>2900</v>
      </c>
      <c r="BR389" s="184"/>
      <c r="BS389" s="184"/>
      <c r="BT389" s="184"/>
      <c r="BU389" s="146" cm="1">
        <f t="array" ref="BU389">LOOKUP(2,1/(Y389:BT389&lt;&gt;""),Y389:BH389)</f>
        <v>2900</v>
      </c>
      <c r="BV389" s="145" cm="1">
        <f t="array" aca="1" ref="BV389" ca="1">_xlfn.LET(
    _xlpm.last_col_idx, LOOKUP(2, 1/(Y389:BT389&lt;&gt;""), COLUMN(Y389:BT389) - COLUMN(Y389) + 1),
    _xlpm.header_val, INDEX($Y$3:$BT$3, 1, _xlpm.last_col_idx),
    _xlpm.header_date, IF(ISNUMBER(_xlpm.header_val), _xlpm.header_val, DATEVALUE(_xlpm.header_val)),
    IF(_xlpm.header_date &gt; TODAY(), TODAY(), _xlpm.header_date)
)</f>
        <v>46212</v>
      </c>
      <c r="BW389" s="209" cm="1">
        <f t="array" ref="BW389">(LOOKUP(2,1/(BH389:BT389&lt;&gt;""),BH389:BT389))/(INDEX(BH389:BT389,MATCH(TRUE,INDEX((BH389:BT389&lt;&gt;0),0),0)))-1</f>
        <v>6.6176470588235281E-2</v>
      </c>
      <c r="BX389" s="210">
        <f t="shared" si="78"/>
        <v>2.9</v>
      </c>
      <c r="BY389" s="210">
        <f t="shared" si="79"/>
        <v>17.11</v>
      </c>
      <c r="BZ389" s="210">
        <f ca="1">IF(L389="BR",'Impostos e Frete'!$F$6,IF(L389="EU",'Impostos e Frete'!$I$3,IF(L389="CN",'Impostos e Frete'!$I$4,IF(L389="JP",'Impostos e Frete'!$I$5,IF(L389="RU",'Impostos e Frete'!$I$7,"ERRO")))))</f>
        <v>0.1410816</v>
      </c>
      <c r="CA389" s="210">
        <f>VLOOKUP(L389,'Impostos e Frete'!$A$3:$B$7,2,0)*'Preços e Condições'!BY389</f>
        <v>2.2242999999999999</v>
      </c>
      <c r="CB389" s="147">
        <f t="shared" si="80"/>
        <v>0</v>
      </c>
      <c r="CC389" s="147">
        <f>IF(X389="BRL",'Impostos e Frete'!$B$11,'Impostos e Frete'!$B$12)</f>
        <v>9.1999999999999998E-2</v>
      </c>
      <c r="CD389" s="211">
        <f t="shared" ca="1" si="81"/>
        <v>19.567381599999997</v>
      </c>
      <c r="CE389" s="212">
        <f t="shared" ca="1" si="82"/>
        <v>1.3305819487999997</v>
      </c>
      <c r="CF389" s="213">
        <f>VLOOKUP(L389,'Impostos e Frete'!$A$3:$C$7,3,0)</f>
        <v>105</v>
      </c>
      <c r="CG389" s="213">
        <f t="shared" si="83"/>
        <v>120</v>
      </c>
      <c r="CH389" s="213">
        <f t="shared" si="84"/>
        <v>15</v>
      </c>
      <c r="CI389" s="214">
        <f t="shared" ca="1" si="85"/>
        <v>-0.1451247343905635</v>
      </c>
      <c r="CJ389" s="215">
        <f t="shared" ca="1" si="86"/>
        <v>19.422256865609434</v>
      </c>
      <c r="CK389" s="216">
        <f t="shared" ca="1" si="87"/>
        <v>1.3207134668614415</v>
      </c>
    </row>
    <row r="390" spans="1:89">
      <c r="A390" s="217">
        <v>7000447</v>
      </c>
      <c r="B390" s="177">
        <v>301</v>
      </c>
      <c r="C390" s="178">
        <v>65</v>
      </c>
      <c r="D390" s="178"/>
      <c r="E390" s="178" t="s">
        <v>50</v>
      </c>
      <c r="F390" s="179" t="s">
        <v>108</v>
      </c>
      <c r="G390" s="189" t="s">
        <v>111</v>
      </c>
      <c r="H390" s="178" t="s">
        <v>345</v>
      </c>
      <c r="I390" s="178" t="s">
        <v>113</v>
      </c>
      <c r="J390" s="178"/>
      <c r="K390" s="178"/>
      <c r="L390" s="178" t="s">
        <v>59</v>
      </c>
      <c r="M390" s="178">
        <v>30</v>
      </c>
      <c r="N390" s="178">
        <v>500</v>
      </c>
      <c r="O390" s="178"/>
      <c r="P390" s="178"/>
      <c r="Q390" s="178"/>
      <c r="R390" s="178" t="s">
        <v>19</v>
      </c>
      <c r="S390" s="181"/>
      <c r="T390" s="181"/>
      <c r="U390" s="182"/>
      <c r="V390" s="182" t="s">
        <v>35</v>
      </c>
      <c r="W390" s="183">
        <v>80</v>
      </c>
      <c r="X390" s="182" t="s">
        <v>51</v>
      </c>
      <c r="Y390" s="184"/>
      <c r="Z390" s="184"/>
      <c r="AA390" s="184"/>
      <c r="AB390" s="184"/>
      <c r="AC390" s="184"/>
      <c r="AD390" s="184"/>
      <c r="AE390" s="184"/>
      <c r="AF390" s="184"/>
      <c r="AG390" s="184"/>
      <c r="AH390" s="184"/>
      <c r="AI390" s="184"/>
      <c r="AJ390" s="184"/>
      <c r="AK390" s="184"/>
      <c r="AL390" s="184"/>
      <c r="AM390" s="184"/>
      <c r="AN390" s="184"/>
      <c r="AO390" s="184"/>
      <c r="AP390" s="184"/>
      <c r="AQ390" s="184"/>
      <c r="AR390" s="184"/>
      <c r="AS390" s="184"/>
      <c r="AT390" s="184"/>
      <c r="AU390" s="184"/>
      <c r="AV390" s="184"/>
      <c r="AW390" s="184"/>
      <c r="AX390" s="184"/>
      <c r="AY390" s="184"/>
      <c r="AZ390" s="184"/>
      <c r="BA390" s="184"/>
      <c r="BB390" s="184"/>
      <c r="BC390" s="184"/>
      <c r="BD390" s="184"/>
      <c r="BE390" s="184"/>
      <c r="BF390" s="184"/>
      <c r="BG390" s="184"/>
      <c r="BH390" s="184"/>
      <c r="BI390" s="184">
        <v>2480</v>
      </c>
      <c r="BJ390" s="184">
        <v>2480</v>
      </c>
      <c r="BK390" s="184">
        <v>2480</v>
      </c>
      <c r="BL390" s="184">
        <v>2250</v>
      </c>
      <c r="BM390" s="184">
        <v>2250</v>
      </c>
      <c r="BN390" s="184">
        <v>2250</v>
      </c>
      <c r="BO390" s="184">
        <v>2330</v>
      </c>
      <c r="BP390" s="184">
        <v>2330</v>
      </c>
      <c r="BQ390" s="184">
        <v>2330</v>
      </c>
      <c r="BR390" s="184"/>
      <c r="BS390" s="184"/>
      <c r="BT390" s="184"/>
      <c r="BU390" s="146" cm="1">
        <f t="array" ref="BU390">LOOKUP(2,1/(Y390:BT390&lt;&gt;""),Y390:BH390)</f>
        <v>2330</v>
      </c>
      <c r="BV390" s="145" cm="1">
        <f t="array" aca="1" ref="BV390" ca="1">_xlfn.LET(
    _xlpm.last_col_idx, LOOKUP(2, 1/(Y390:BT390&lt;&gt;""), COLUMN(Y390:BT390) - COLUMN(Y390) + 1),
    _xlpm.header_val, INDEX($Y$3:$BT$3, 1, _xlpm.last_col_idx),
    _xlpm.header_date, IF(ISNUMBER(_xlpm.header_val), _xlpm.header_val, DATEVALUE(_xlpm.header_val)),
    IF(_xlpm.header_date &gt; TODAY(), TODAY(), _xlpm.header_date)
)</f>
        <v>46212</v>
      </c>
      <c r="BW390" s="209" cm="1">
        <f t="array" ref="BW390">(LOOKUP(2,1/(BH390:BT390&lt;&gt;""),BH390:BT390))/(INDEX(BH390:BT390,MATCH(TRUE,INDEX((BH390:BT390&lt;&gt;0),0),0)))-1</f>
        <v>-6.0483870967741882E-2</v>
      </c>
      <c r="BX390" s="210">
        <f t="shared" si="78"/>
        <v>2.33</v>
      </c>
      <c r="BY390" s="210">
        <f t="shared" si="79"/>
        <v>13.747000000000002</v>
      </c>
      <c r="BZ390" s="210">
        <f ca="1">IF(L390="BR",'Impostos e Frete'!$F$6,IF(L390="EU",'Impostos e Frete'!$I$3,IF(L390="CN",'Impostos e Frete'!$I$4,IF(L390="JP",'Impostos e Frete'!$I$5,IF(L390="RU",'Impostos e Frete'!$I$7,"ERRO")))))</f>
        <v>0.1410816</v>
      </c>
      <c r="CA390" s="210">
        <f>VLOOKUP(L390,'Impostos e Frete'!$A$3:$B$7,2,0)*'Preços e Condições'!BY390</f>
        <v>1.7871100000000002</v>
      </c>
      <c r="CB390" s="147">
        <f t="shared" si="80"/>
        <v>0</v>
      </c>
      <c r="CC390" s="147">
        <f>IF(X390="BRL",'Impostos e Frete'!$B$11,'Impostos e Frete'!$B$12)</f>
        <v>9.1999999999999998E-2</v>
      </c>
      <c r="CD390" s="211">
        <f t="shared" ca="1" si="81"/>
        <v>15.767191600000002</v>
      </c>
      <c r="CE390" s="212">
        <f t="shared" ca="1" si="82"/>
        <v>1.024867454</v>
      </c>
      <c r="CF390" s="213">
        <f>VLOOKUP(L390,'Impostos e Frete'!$A$3:$C$7,3,0)</f>
        <v>105</v>
      </c>
      <c r="CG390" s="213">
        <f t="shared" si="83"/>
        <v>30</v>
      </c>
      <c r="CH390" s="213">
        <f t="shared" si="84"/>
        <v>-75</v>
      </c>
      <c r="CI390" s="214">
        <f t="shared" ca="1" si="85"/>
        <v>0.59793806737534005</v>
      </c>
      <c r="CJ390" s="215">
        <f t="shared" ca="1" si="86"/>
        <v>16.365129667375342</v>
      </c>
      <c r="CK390" s="216">
        <f t="shared" ca="1" si="87"/>
        <v>1.0637334283793971</v>
      </c>
    </row>
    <row r="391" spans="1:89">
      <c r="A391" s="203">
        <v>7000448</v>
      </c>
      <c r="B391" s="186">
        <v>2638</v>
      </c>
      <c r="C391" s="196">
        <v>68</v>
      </c>
      <c r="D391" s="196"/>
      <c r="E391" s="196" t="s">
        <v>50</v>
      </c>
      <c r="F391" s="224" t="s">
        <v>1</v>
      </c>
      <c r="G391" s="226" t="s">
        <v>13</v>
      </c>
      <c r="H391" s="196" t="s">
        <v>42</v>
      </c>
      <c r="I391" s="196">
        <v>752</v>
      </c>
      <c r="J391" s="199"/>
      <c r="K391" s="199"/>
      <c r="L391" s="199" t="s">
        <v>58</v>
      </c>
      <c r="M391" s="199">
        <v>0</v>
      </c>
      <c r="N391" s="199"/>
      <c r="O391" s="199"/>
      <c r="P391" s="199">
        <v>3</v>
      </c>
      <c r="Q391" s="199" t="s">
        <v>27</v>
      </c>
      <c r="R391" s="199" t="s">
        <v>19</v>
      </c>
      <c r="S391" s="200">
        <v>0.12</v>
      </c>
      <c r="T391" s="200" t="s">
        <v>210</v>
      </c>
      <c r="U391" s="201">
        <v>9.2499999999999999E-2</v>
      </c>
      <c r="V391" s="201" t="s">
        <v>35</v>
      </c>
      <c r="W391" s="199">
        <v>50</v>
      </c>
      <c r="X391" s="201" t="s">
        <v>46</v>
      </c>
      <c r="Y391" s="202"/>
      <c r="Z391" s="202"/>
      <c r="AA391" s="202"/>
      <c r="AB391" s="202"/>
      <c r="AC391" s="202"/>
      <c r="AD391" s="202"/>
      <c r="AE391" s="202"/>
      <c r="AF391" s="202"/>
      <c r="AG391" s="202"/>
      <c r="AH391" s="202"/>
      <c r="AI391" s="202"/>
      <c r="AJ391" s="202"/>
      <c r="AK391" s="202"/>
      <c r="AL391" s="202"/>
      <c r="AM391" s="202"/>
      <c r="AN391" s="202"/>
      <c r="AO391" s="202"/>
      <c r="AP391" s="202"/>
      <c r="AQ391" s="202"/>
      <c r="AR391" s="202"/>
      <c r="AS391" s="202"/>
      <c r="AT391" s="202"/>
      <c r="AU391" s="202"/>
      <c r="AV391" s="202"/>
      <c r="AW391" s="202"/>
      <c r="AX391" s="202"/>
      <c r="AY391" s="202"/>
      <c r="AZ391" s="202"/>
      <c r="BA391" s="202"/>
      <c r="BB391" s="202"/>
      <c r="BC391" s="202"/>
      <c r="BD391" s="202"/>
      <c r="BE391" s="202"/>
      <c r="BF391" s="202"/>
      <c r="BG391" s="202"/>
      <c r="BH391" s="202"/>
      <c r="BI391" s="202">
        <v>17118</v>
      </c>
      <c r="BJ391" s="202">
        <v>17118</v>
      </c>
      <c r="BK391" s="202">
        <v>17118</v>
      </c>
      <c r="BL391" s="202">
        <v>18111</v>
      </c>
      <c r="BM391" s="202">
        <v>18111</v>
      </c>
      <c r="BN391" s="202">
        <v>18111</v>
      </c>
      <c r="BO391" s="202">
        <v>18889</v>
      </c>
      <c r="BP391" s="202">
        <v>18889</v>
      </c>
      <c r="BQ391" s="202">
        <v>18889</v>
      </c>
      <c r="BR391" s="202"/>
      <c r="BS391" s="202"/>
      <c r="BT391" s="202"/>
      <c r="BU391" s="146" cm="1">
        <f t="array" ref="BU391">LOOKUP(2,1/(Y391:BT391&lt;&gt;""),Y391:BH391)</f>
        <v>18889</v>
      </c>
      <c r="BV391" s="145" cm="1">
        <f t="array" aca="1" ref="BV391" ca="1">_xlfn.LET(
    _xlpm.last_col_idx, LOOKUP(2, 1/(Y391:BT391&lt;&gt;""), COLUMN(Y391:BT391) - COLUMN(Y391) + 1),
    _xlpm.header_val, INDEX($Y$3:$BT$3, 1, _xlpm.last_col_idx),
    _xlpm.header_date, IF(ISNUMBER(_xlpm.header_val), _xlpm.header_val, DATEVALUE(_xlpm.header_val)),
    IF(_xlpm.header_date &gt; TODAY(), TODAY(), _xlpm.header_date)
)</f>
        <v>46212</v>
      </c>
      <c r="BW391" s="209" cm="1">
        <f t="array" ref="BW391">(LOOKUP(2,1/(BH391:BT391&lt;&gt;""),BH391:BT391))/(INDEX(BH391:BT391,MATCH(TRUE,INDEX((BH391:BT391&lt;&gt;0),0),0)))-1</f>
        <v>0.10345834793784325</v>
      </c>
      <c r="BX391" s="210">
        <f t="shared" si="78"/>
        <v>18.888999999999999</v>
      </c>
      <c r="BY391" s="210">
        <f t="shared" si="79"/>
        <v>18.888999999999999</v>
      </c>
      <c r="BZ391" s="210">
        <f>IF(L391="BR",'Impostos e Frete'!$F$6,IF(L391="EU",'Impostos e Frete'!$I$3,IF(L391="CN",'Impostos e Frete'!$I$4,IF(L391="JP",'Impostos e Frete'!$I$5,IF(L391="RU",'Impostos e Frete'!$I$7,"ERRO")))))</f>
        <v>0</v>
      </c>
      <c r="CA391" s="210">
        <f>VLOOKUP(L391,'Impostos e Frete'!$A$3:$B$7,2,0)*'Preços e Condições'!BY391</f>
        <v>0</v>
      </c>
      <c r="CB391" s="147">
        <f t="shared" si="80"/>
        <v>0</v>
      </c>
      <c r="CC391" s="147">
        <f>IF(X391="BRL",'Impostos e Frete'!$B$11,'Impostos e Frete'!$B$12)</f>
        <v>0.2</v>
      </c>
      <c r="CD391" s="211">
        <f t="shared" si="81"/>
        <v>19.088999999999999</v>
      </c>
      <c r="CE391" s="212">
        <f t="shared" si="82"/>
        <v>1.298052</v>
      </c>
      <c r="CF391" s="213">
        <f>VLOOKUP(L391,'Impostos e Frete'!$A$3:$C$7,3,0)</f>
        <v>45</v>
      </c>
      <c r="CG391" s="213">
        <f t="shared" si="83"/>
        <v>0</v>
      </c>
      <c r="CH391" s="213">
        <f t="shared" si="84"/>
        <v>-45</v>
      </c>
      <c r="CI391" s="214">
        <f t="shared" si="85"/>
        <v>0.43110913027020459</v>
      </c>
      <c r="CJ391" s="215">
        <f t="shared" si="86"/>
        <v>19.520109130270203</v>
      </c>
      <c r="CK391" s="216">
        <f t="shared" si="87"/>
        <v>1.3273674208583737</v>
      </c>
    </row>
    <row r="392" spans="1:89">
      <c r="A392" s="203">
        <v>7000450</v>
      </c>
      <c r="B392" s="186">
        <v>244</v>
      </c>
      <c r="C392" s="196">
        <v>65</v>
      </c>
      <c r="D392" s="196"/>
      <c r="E392" s="196" t="s">
        <v>50</v>
      </c>
      <c r="F392" s="197" t="s">
        <v>108</v>
      </c>
      <c r="G392" s="225" t="s">
        <v>116</v>
      </c>
      <c r="H392" s="196" t="s">
        <v>42</v>
      </c>
      <c r="I392" s="196" t="s">
        <v>121</v>
      </c>
      <c r="J392" s="196"/>
      <c r="K392" s="196"/>
      <c r="L392" s="196" t="s">
        <v>59</v>
      </c>
      <c r="M392" s="196">
        <v>30</v>
      </c>
      <c r="N392" s="196">
        <v>500</v>
      </c>
      <c r="O392" s="196"/>
      <c r="P392" s="196"/>
      <c r="Q392" s="196"/>
      <c r="R392" s="196" t="s">
        <v>19</v>
      </c>
      <c r="S392" s="200"/>
      <c r="T392" s="200"/>
      <c r="U392" s="201"/>
      <c r="V392" s="201" t="s">
        <v>35</v>
      </c>
      <c r="W392" s="199">
        <v>80</v>
      </c>
      <c r="X392" s="201" t="s">
        <v>51</v>
      </c>
      <c r="Y392" s="202"/>
      <c r="Z392" s="202"/>
      <c r="AA392" s="202"/>
      <c r="AB392" s="202"/>
      <c r="AC392" s="202"/>
      <c r="AD392" s="202"/>
      <c r="AE392" s="202"/>
      <c r="AF392" s="202"/>
      <c r="AG392" s="202"/>
      <c r="AH392" s="202"/>
      <c r="AI392" s="202"/>
      <c r="AJ392" s="202"/>
      <c r="AK392" s="202"/>
      <c r="AL392" s="202"/>
      <c r="AM392" s="202"/>
      <c r="AN392" s="202"/>
      <c r="AO392" s="202"/>
      <c r="AP392" s="202"/>
      <c r="AQ392" s="202"/>
      <c r="AR392" s="202"/>
      <c r="AS392" s="202"/>
      <c r="AT392" s="202"/>
      <c r="AU392" s="202"/>
      <c r="AV392" s="202"/>
      <c r="AW392" s="202"/>
      <c r="AX392" s="202"/>
      <c r="AY392" s="202"/>
      <c r="AZ392" s="202"/>
      <c r="BA392" s="202"/>
      <c r="BB392" s="202"/>
      <c r="BC392" s="202"/>
      <c r="BD392" s="202"/>
      <c r="BE392" s="202"/>
      <c r="BF392" s="202"/>
      <c r="BG392" s="202"/>
      <c r="BH392" s="202"/>
      <c r="BI392" s="202">
        <v>2020</v>
      </c>
      <c r="BJ392" s="202">
        <v>2020</v>
      </c>
      <c r="BK392" s="202">
        <v>2020</v>
      </c>
      <c r="BL392" s="202">
        <v>1990</v>
      </c>
      <c r="BM392" s="202">
        <v>1990</v>
      </c>
      <c r="BN392" s="202">
        <v>1990</v>
      </c>
      <c r="BO392" s="202">
        <v>2070</v>
      </c>
      <c r="BP392" s="202">
        <v>2070</v>
      </c>
      <c r="BQ392" s="202">
        <v>2070</v>
      </c>
      <c r="BR392" s="202"/>
      <c r="BS392" s="202"/>
      <c r="BT392" s="202"/>
      <c r="BU392" s="146" cm="1">
        <f t="array" ref="BU392">LOOKUP(2,1/(Y392:BT392&lt;&gt;""),Y392:BH392)</f>
        <v>2070</v>
      </c>
      <c r="BV392" s="145" cm="1">
        <f t="array" aca="1" ref="BV392" ca="1">_xlfn.LET(
    _xlpm.last_col_idx, LOOKUP(2, 1/(Y392:BT392&lt;&gt;""), COLUMN(Y392:BT392) - COLUMN(Y392) + 1),
    _xlpm.header_val, INDEX($Y$3:$BT$3, 1, _xlpm.last_col_idx),
    _xlpm.header_date, IF(ISNUMBER(_xlpm.header_val), _xlpm.header_val, DATEVALUE(_xlpm.header_val)),
    IF(_xlpm.header_date &gt; TODAY(), TODAY(), _xlpm.header_date)
)</f>
        <v>46212</v>
      </c>
      <c r="BW392" s="209" cm="1">
        <f t="array" ref="BW392">(LOOKUP(2,1/(BH392:BT392&lt;&gt;""),BH392:BT392))/(INDEX(BH392:BT392,MATCH(TRUE,INDEX((BH392:BT392&lt;&gt;0),0),0)))-1</f>
        <v>2.4752475247524774E-2</v>
      </c>
      <c r="BX392" s="210">
        <f t="shared" si="78"/>
        <v>2.0699999999999998</v>
      </c>
      <c r="BY392" s="210">
        <f t="shared" si="79"/>
        <v>12.212999999999999</v>
      </c>
      <c r="BZ392" s="210">
        <f ca="1">IF(L392="BR",'Impostos e Frete'!$F$6,IF(L392="EU",'Impostos e Frete'!$I$3,IF(L392="CN",'Impostos e Frete'!$I$4,IF(L392="JP",'Impostos e Frete'!$I$5,IF(L392="RU",'Impostos e Frete'!$I$7,"ERRO")))))</f>
        <v>0.1410816</v>
      </c>
      <c r="CA392" s="210">
        <f>VLOOKUP(L392,'Impostos e Frete'!$A$3:$B$7,2,0)*'Preços e Condições'!BY392</f>
        <v>1.58769</v>
      </c>
      <c r="CB392" s="147">
        <f t="shared" si="80"/>
        <v>0</v>
      </c>
      <c r="CC392" s="147">
        <f>IF(X392="BRL",'Impostos e Frete'!$B$11,'Impostos e Frete'!$B$12)</f>
        <v>9.1999999999999998E-2</v>
      </c>
      <c r="CD392" s="211">
        <f t="shared" ca="1" si="81"/>
        <v>14.0337716</v>
      </c>
      <c r="CE392" s="212">
        <f t="shared" ca="1" si="82"/>
        <v>0.91219515399999995</v>
      </c>
      <c r="CF392" s="213">
        <f>VLOOKUP(L392,'Impostos e Frete'!$A$3:$C$7,3,0)</f>
        <v>105</v>
      </c>
      <c r="CG392" s="213">
        <f t="shared" si="83"/>
        <v>30</v>
      </c>
      <c r="CH392" s="213">
        <f t="shared" si="84"/>
        <v>-75</v>
      </c>
      <c r="CI392" s="214">
        <f t="shared" ca="1" si="85"/>
        <v>0.53220170600901007</v>
      </c>
      <c r="CJ392" s="215">
        <f t="shared" ca="1" si="86"/>
        <v>14.56597330600901</v>
      </c>
      <c r="CK392" s="216">
        <f t="shared" ca="1" si="87"/>
        <v>0.94678826489058565</v>
      </c>
    </row>
    <row r="393" spans="1:89">
      <c r="A393" s="203">
        <v>7000451</v>
      </c>
      <c r="B393" s="186" t="s">
        <v>476</v>
      </c>
      <c r="C393" s="196">
        <v>70</v>
      </c>
      <c r="D393" s="196"/>
      <c r="E393" s="196" t="s">
        <v>50</v>
      </c>
      <c r="F393" s="197" t="s">
        <v>2</v>
      </c>
      <c r="G393" s="189" t="s">
        <v>229</v>
      </c>
      <c r="H393" s="178" t="s">
        <v>42</v>
      </c>
      <c r="I393" s="178">
        <v>32129</v>
      </c>
      <c r="J393" s="178"/>
      <c r="K393" s="178"/>
      <c r="L393" s="178" t="s">
        <v>59</v>
      </c>
      <c r="M393" s="178">
        <v>120</v>
      </c>
      <c r="N393" s="178"/>
      <c r="O393" s="178"/>
      <c r="P393" s="178"/>
      <c r="Q393" s="178"/>
      <c r="R393" s="178" t="s">
        <v>126</v>
      </c>
      <c r="S393" s="181"/>
      <c r="T393" s="181"/>
      <c r="U393" s="182"/>
      <c r="V393" s="182" t="s">
        <v>35</v>
      </c>
      <c r="W393" s="183">
        <v>100</v>
      </c>
      <c r="X393" s="182" t="s">
        <v>51</v>
      </c>
      <c r="Y393" s="202"/>
      <c r="Z393" s="202"/>
      <c r="AA393" s="202"/>
      <c r="AB393" s="202"/>
      <c r="AC393" s="202"/>
      <c r="AD393" s="202"/>
      <c r="AE393" s="202"/>
      <c r="AF393" s="202"/>
      <c r="AG393" s="202"/>
      <c r="AH393" s="202"/>
      <c r="AI393" s="202"/>
      <c r="AJ393" s="202"/>
      <c r="AK393" s="202"/>
      <c r="AL393" s="202"/>
      <c r="AM393" s="202"/>
      <c r="AN393" s="202"/>
      <c r="AO393" s="202"/>
      <c r="AP393" s="202"/>
      <c r="AQ393" s="202"/>
      <c r="AR393" s="202"/>
      <c r="AS393" s="202"/>
      <c r="AT393" s="202"/>
      <c r="AU393" s="202"/>
      <c r="AV393" s="202"/>
      <c r="AW393" s="202"/>
      <c r="AX393" s="202"/>
      <c r="AY393" s="202"/>
      <c r="AZ393" s="202"/>
      <c r="BA393" s="202"/>
      <c r="BB393" s="202"/>
      <c r="BC393" s="202"/>
      <c r="BD393" s="202"/>
      <c r="BE393" s="202"/>
      <c r="BF393" s="202"/>
      <c r="BG393" s="202"/>
      <c r="BH393" s="202"/>
      <c r="BI393" s="184">
        <v>1720</v>
      </c>
      <c r="BJ393" s="184">
        <v>1720</v>
      </c>
      <c r="BK393" s="184">
        <v>1720</v>
      </c>
      <c r="BL393" s="184">
        <v>1800</v>
      </c>
      <c r="BM393" s="184">
        <v>1800</v>
      </c>
      <c r="BN393" s="184">
        <v>1800</v>
      </c>
      <c r="BO393" s="202">
        <v>1880</v>
      </c>
      <c r="BP393" s="202">
        <v>1880</v>
      </c>
      <c r="BQ393" s="202">
        <v>1880</v>
      </c>
      <c r="BR393" s="202"/>
      <c r="BS393" s="202"/>
      <c r="BT393" s="202"/>
      <c r="BU393" s="146" cm="1">
        <f t="array" ref="BU393">LOOKUP(2,1/(Y393:BT393&lt;&gt;""),Y393:BH393)</f>
        <v>1880</v>
      </c>
      <c r="BV393" s="145" cm="1">
        <f t="array" aca="1" ref="BV393" ca="1">_xlfn.LET(
    _xlpm.last_col_idx, LOOKUP(2, 1/(Y393:BT393&lt;&gt;""), COLUMN(Y393:BT393) - COLUMN(Y393) + 1),
    _xlpm.header_val, INDEX($Y$3:$BT$3, 1, _xlpm.last_col_idx),
    _xlpm.header_date, IF(ISNUMBER(_xlpm.header_val), _xlpm.header_val, DATEVALUE(_xlpm.header_val)),
    IF(_xlpm.header_date &gt; TODAY(), TODAY(), _xlpm.header_date)
)</f>
        <v>46212</v>
      </c>
      <c r="BW393" s="209" cm="1">
        <f t="array" ref="BW393">(LOOKUP(2,1/(BH393:BT393&lt;&gt;""),BH393:BT393))/(INDEX(BH393:BT393,MATCH(TRUE,INDEX((BH393:BT393&lt;&gt;0),0),0)))-1</f>
        <v>9.3023255813953432E-2</v>
      </c>
      <c r="BX393" s="210">
        <f t="shared" si="78"/>
        <v>1.88</v>
      </c>
      <c r="BY393" s="210">
        <f t="shared" si="79"/>
        <v>11.092000000000001</v>
      </c>
      <c r="BZ393" s="210">
        <f ca="1">IF(L393="BR",'Impostos e Frete'!$F$6,IF(L393="EU",'Impostos e Frete'!$I$3,IF(L393="CN",'Impostos e Frete'!$I$4,IF(L393="JP",'Impostos e Frete'!$I$5,IF(L393="RU",'Impostos e Frete'!$I$7,"ERRO")))))</f>
        <v>0.1410816</v>
      </c>
      <c r="CA393" s="210">
        <f>VLOOKUP(L393,'Impostos e Frete'!$A$3:$B$7,2,0)*'Preços e Condições'!BY393</f>
        <v>1.4419600000000001</v>
      </c>
      <c r="CB393" s="147">
        <f t="shared" si="80"/>
        <v>-0.17699999999999999</v>
      </c>
      <c r="CC393" s="147">
        <f>IF(X393="BRL",'Impostos e Frete'!$B$11,'Impostos e Frete'!$B$12)</f>
        <v>9.1999999999999998E-2</v>
      </c>
      <c r="CD393" s="211">
        <f t="shared" ca="1" si="81"/>
        <v>12.590041600000001</v>
      </c>
      <c r="CE393" s="212">
        <f t="shared" ca="1" si="82"/>
        <v>0.8813029120000001</v>
      </c>
      <c r="CF393" s="213">
        <f>VLOOKUP(L393,'Impostos e Frete'!$A$3:$C$7,3,0)</f>
        <v>105</v>
      </c>
      <c r="CG393" s="213">
        <f t="shared" si="83"/>
        <v>120</v>
      </c>
      <c r="CH393" s="213">
        <f t="shared" si="84"/>
        <v>15</v>
      </c>
      <c r="CI393" s="214">
        <f t="shared" ca="1" si="85"/>
        <v>-9.337613383929444E-2</v>
      </c>
      <c r="CJ393" s="215">
        <f t="shared" ca="1" si="86"/>
        <v>12.496665466160707</v>
      </c>
      <c r="CK393" s="216">
        <f t="shared" ca="1" si="87"/>
        <v>0.8747665826312494</v>
      </c>
    </row>
    <row r="394" spans="1:89">
      <c r="A394" s="203">
        <v>7000451</v>
      </c>
      <c r="B394" s="186" t="s">
        <v>476</v>
      </c>
      <c r="C394" s="196">
        <v>70</v>
      </c>
      <c r="D394" s="196"/>
      <c r="E394" s="196" t="s">
        <v>50</v>
      </c>
      <c r="F394" s="197" t="s">
        <v>2</v>
      </c>
      <c r="G394" s="189" t="s">
        <v>229</v>
      </c>
      <c r="H394" s="178" t="s">
        <v>42</v>
      </c>
      <c r="I394" s="178">
        <v>32129</v>
      </c>
      <c r="J394" s="178"/>
      <c r="K394" s="178"/>
      <c r="L394" s="178" t="s">
        <v>59</v>
      </c>
      <c r="M394" s="178">
        <v>120</v>
      </c>
      <c r="N394" s="178"/>
      <c r="O394" s="178"/>
      <c r="P394" s="178"/>
      <c r="Q394" s="178"/>
      <c r="R394" s="178" t="s">
        <v>126</v>
      </c>
      <c r="S394" s="181"/>
      <c r="T394" s="181"/>
      <c r="U394" s="182"/>
      <c r="V394" s="182" t="s">
        <v>35</v>
      </c>
      <c r="W394" s="183">
        <v>70</v>
      </c>
      <c r="X394" s="182" t="s">
        <v>51</v>
      </c>
      <c r="Y394" s="202"/>
      <c r="Z394" s="202"/>
      <c r="AA394" s="202"/>
      <c r="AB394" s="202"/>
      <c r="AC394" s="202"/>
      <c r="AD394" s="202"/>
      <c r="AE394" s="202"/>
      <c r="AF394" s="202"/>
      <c r="AG394" s="202"/>
      <c r="AH394" s="202"/>
      <c r="AI394" s="202"/>
      <c r="AJ394" s="202"/>
      <c r="AK394" s="202"/>
      <c r="AL394" s="202"/>
      <c r="AM394" s="202"/>
      <c r="AN394" s="202"/>
      <c r="AO394" s="202"/>
      <c r="AP394" s="202"/>
      <c r="AQ394" s="202"/>
      <c r="AR394" s="202"/>
      <c r="AS394" s="202"/>
      <c r="AT394" s="202"/>
      <c r="AU394" s="202"/>
      <c r="AV394" s="202"/>
      <c r="AW394" s="202"/>
      <c r="AX394" s="202"/>
      <c r="AY394" s="202"/>
      <c r="AZ394" s="202"/>
      <c r="BA394" s="202"/>
      <c r="BB394" s="202"/>
      <c r="BC394" s="202"/>
      <c r="BD394" s="202"/>
      <c r="BE394" s="202"/>
      <c r="BF394" s="202"/>
      <c r="BG394" s="202"/>
      <c r="BH394" s="202"/>
      <c r="BI394" s="184">
        <v>1740</v>
      </c>
      <c r="BJ394" s="184">
        <v>1740</v>
      </c>
      <c r="BK394" s="184">
        <v>1740</v>
      </c>
      <c r="BL394" s="202">
        <v>1820</v>
      </c>
      <c r="BM394" s="202">
        <v>1820</v>
      </c>
      <c r="BN394" s="202">
        <v>1820</v>
      </c>
      <c r="BO394" s="202">
        <v>1900</v>
      </c>
      <c r="BP394" s="202">
        <v>1900</v>
      </c>
      <c r="BQ394" s="202">
        <v>1900</v>
      </c>
      <c r="BR394" s="202"/>
      <c r="BS394" s="202"/>
      <c r="BT394" s="202"/>
      <c r="BU394" s="146" cm="1">
        <f t="array" ref="BU394">LOOKUP(2,1/(Y394:BT394&lt;&gt;""),Y394:BH394)</f>
        <v>1900</v>
      </c>
      <c r="BV394" s="145" cm="1">
        <f t="array" aca="1" ref="BV394" ca="1">_xlfn.LET(
    _xlpm.last_col_idx, LOOKUP(2, 1/(Y394:BT394&lt;&gt;""), COLUMN(Y394:BT394) - COLUMN(Y394) + 1),
    _xlpm.header_val, INDEX($Y$3:$BT$3, 1, _xlpm.last_col_idx),
    _xlpm.header_date, IF(ISNUMBER(_xlpm.header_val), _xlpm.header_val, DATEVALUE(_xlpm.header_val)),
    IF(_xlpm.header_date &gt; TODAY(), TODAY(), _xlpm.header_date)
)</f>
        <v>46212</v>
      </c>
      <c r="BW394" s="209" cm="1">
        <f t="array" ref="BW394">(LOOKUP(2,1/(BH394:BT394&lt;&gt;""),BH394:BT394))/(INDEX(BH394:BT394,MATCH(TRUE,INDEX((BH394:BT394&lt;&gt;0),0),0)))-1</f>
        <v>9.1954022988505857E-2</v>
      </c>
      <c r="BX394" s="210">
        <f t="shared" si="78"/>
        <v>1.9</v>
      </c>
      <c r="BY394" s="210">
        <f t="shared" si="79"/>
        <v>11.21</v>
      </c>
      <c r="BZ394" s="210">
        <f ca="1">IF(L394="BR",'Impostos e Frete'!$F$6,IF(L394="EU",'Impostos e Frete'!$I$3,IF(L394="CN",'Impostos e Frete'!$I$4,IF(L394="JP",'Impostos e Frete'!$I$5,IF(L394="RU",'Impostos e Frete'!$I$7,"ERRO")))))</f>
        <v>0.1410816</v>
      </c>
      <c r="CA394" s="210">
        <f>VLOOKUP(L394,'Impostos e Frete'!$A$3:$B$7,2,0)*'Preços e Condições'!BY394</f>
        <v>1.4573000000000003</v>
      </c>
      <c r="CB394" s="147">
        <f t="shared" si="80"/>
        <v>-0.17699999999999999</v>
      </c>
      <c r="CC394" s="147">
        <f>IF(X394="BRL",'Impostos e Frete'!$B$11,'Impostos e Frete'!$B$12)</f>
        <v>9.1999999999999998E-2</v>
      </c>
      <c r="CD394" s="211">
        <f t="shared" ca="1" si="81"/>
        <v>12.723381600000002</v>
      </c>
      <c r="CE394" s="212">
        <f t="shared" ca="1" si="82"/>
        <v>0.89063671200000016</v>
      </c>
      <c r="CF394" s="213">
        <f>VLOOKUP(L394,'Impostos e Frete'!$A$3:$C$7,3,0)</f>
        <v>105</v>
      </c>
      <c r="CG394" s="213">
        <f t="shared" si="83"/>
        <v>120</v>
      </c>
      <c r="CH394" s="213">
        <f t="shared" si="84"/>
        <v>15</v>
      </c>
      <c r="CI394" s="214">
        <f t="shared" ca="1" si="85"/>
        <v>-9.4365072087612134E-2</v>
      </c>
      <c r="CJ394" s="215">
        <f t="shared" ca="1" si="86"/>
        <v>12.629016527912389</v>
      </c>
      <c r="CK394" s="216">
        <f t="shared" ca="1" si="87"/>
        <v>0.88403115695386725</v>
      </c>
    </row>
    <row r="395" spans="1:89">
      <c r="A395" s="203">
        <v>7000451</v>
      </c>
      <c r="B395" s="186" t="s">
        <v>476</v>
      </c>
      <c r="C395" s="196">
        <v>70</v>
      </c>
      <c r="D395" s="196"/>
      <c r="E395" s="196" t="s">
        <v>50</v>
      </c>
      <c r="F395" s="197" t="s">
        <v>2</v>
      </c>
      <c r="G395" s="189" t="s">
        <v>229</v>
      </c>
      <c r="H395" s="178" t="s">
        <v>42</v>
      </c>
      <c r="I395" s="178">
        <v>32129</v>
      </c>
      <c r="J395" s="178"/>
      <c r="K395" s="178"/>
      <c r="L395" s="178" t="s">
        <v>59</v>
      </c>
      <c r="M395" s="178">
        <v>120</v>
      </c>
      <c r="N395" s="178"/>
      <c r="O395" s="178"/>
      <c r="P395" s="178"/>
      <c r="Q395" s="178"/>
      <c r="R395" s="178" t="s">
        <v>126</v>
      </c>
      <c r="S395" s="181"/>
      <c r="T395" s="181"/>
      <c r="U395" s="182"/>
      <c r="V395" s="182" t="s">
        <v>35</v>
      </c>
      <c r="W395" s="183">
        <v>50</v>
      </c>
      <c r="X395" s="182" t="s">
        <v>51</v>
      </c>
      <c r="Y395" s="202"/>
      <c r="Z395" s="202"/>
      <c r="AA395" s="202"/>
      <c r="AB395" s="202"/>
      <c r="AC395" s="202"/>
      <c r="AD395" s="202"/>
      <c r="AE395" s="202"/>
      <c r="AF395" s="202"/>
      <c r="AG395" s="202"/>
      <c r="AH395" s="202"/>
      <c r="AI395" s="202"/>
      <c r="AJ395" s="202"/>
      <c r="AK395" s="202"/>
      <c r="AL395" s="202"/>
      <c r="AM395" s="202"/>
      <c r="AN395" s="202"/>
      <c r="AO395" s="202"/>
      <c r="AP395" s="202"/>
      <c r="AQ395" s="202"/>
      <c r="AR395" s="202"/>
      <c r="AS395" s="202"/>
      <c r="AT395" s="202"/>
      <c r="AU395" s="202"/>
      <c r="AV395" s="202"/>
      <c r="AW395" s="202"/>
      <c r="AX395" s="202"/>
      <c r="AY395" s="202"/>
      <c r="AZ395" s="202"/>
      <c r="BA395" s="202"/>
      <c r="BB395" s="202"/>
      <c r="BC395" s="202"/>
      <c r="BD395" s="202"/>
      <c r="BE395" s="202"/>
      <c r="BF395" s="202"/>
      <c r="BG395" s="202"/>
      <c r="BH395" s="202"/>
      <c r="BI395" s="184">
        <v>1770</v>
      </c>
      <c r="BJ395" s="184">
        <v>1770</v>
      </c>
      <c r="BK395" s="184">
        <v>1770</v>
      </c>
      <c r="BL395" s="202">
        <v>1850</v>
      </c>
      <c r="BM395" s="202">
        <v>1850</v>
      </c>
      <c r="BN395" s="202">
        <v>1850</v>
      </c>
      <c r="BO395" s="202">
        <v>1930</v>
      </c>
      <c r="BP395" s="202">
        <v>1930</v>
      </c>
      <c r="BQ395" s="202">
        <v>1930</v>
      </c>
      <c r="BR395" s="202"/>
      <c r="BS395" s="202"/>
      <c r="BT395" s="202"/>
      <c r="BU395" s="146" cm="1">
        <f t="array" ref="BU395">LOOKUP(2,1/(Y395:BT395&lt;&gt;""),Y395:BH395)</f>
        <v>1930</v>
      </c>
      <c r="BV395" s="145" cm="1">
        <f t="array" aca="1" ref="BV395" ca="1">_xlfn.LET(
    _xlpm.last_col_idx, LOOKUP(2, 1/(Y395:BT395&lt;&gt;""), COLUMN(Y395:BT395) - COLUMN(Y395) + 1),
    _xlpm.header_val, INDEX($Y$3:$BT$3, 1, _xlpm.last_col_idx),
    _xlpm.header_date, IF(ISNUMBER(_xlpm.header_val), _xlpm.header_val, DATEVALUE(_xlpm.header_val)),
    IF(_xlpm.header_date &gt; TODAY(), TODAY(), _xlpm.header_date)
)</f>
        <v>46212</v>
      </c>
      <c r="BW395" s="209" cm="1">
        <f t="array" ref="BW395">(LOOKUP(2,1/(BH395:BT395&lt;&gt;""),BH395:BT395))/(INDEX(BH395:BT395,MATCH(TRUE,INDEX((BH395:BT395&lt;&gt;0),0),0)))-1</f>
        <v>9.0395480225988756E-2</v>
      </c>
      <c r="BX395" s="210">
        <f t="shared" si="78"/>
        <v>1.93</v>
      </c>
      <c r="BY395" s="210">
        <f t="shared" si="79"/>
        <v>11.387</v>
      </c>
      <c r="BZ395" s="210">
        <f ca="1">IF(L395="BR",'Impostos e Frete'!$F$6,IF(L395="EU",'Impostos e Frete'!$I$3,IF(L395="CN",'Impostos e Frete'!$I$4,IF(L395="JP",'Impostos e Frete'!$I$5,IF(L395="RU",'Impostos e Frete'!$I$7,"ERRO")))))</f>
        <v>0.1410816</v>
      </c>
      <c r="CA395" s="210">
        <f>VLOOKUP(L395,'Impostos e Frete'!$A$3:$B$7,2,0)*'Preços e Condições'!BY395</f>
        <v>1.48031</v>
      </c>
      <c r="CB395" s="147">
        <f t="shared" si="80"/>
        <v>-0.17699999999999999</v>
      </c>
      <c r="CC395" s="147">
        <f>IF(X395="BRL",'Impostos e Frete'!$B$11,'Impostos e Frete'!$B$12)</f>
        <v>9.1999999999999998E-2</v>
      </c>
      <c r="CD395" s="211">
        <f t="shared" ca="1" si="81"/>
        <v>12.9233916</v>
      </c>
      <c r="CE395" s="212">
        <f t="shared" ca="1" si="82"/>
        <v>0.90463741200000003</v>
      </c>
      <c r="CF395" s="213">
        <f>VLOOKUP(L395,'Impostos e Frete'!$A$3:$C$7,3,0)</f>
        <v>105</v>
      </c>
      <c r="CG395" s="213">
        <f t="shared" si="83"/>
        <v>120</v>
      </c>
      <c r="CH395" s="213">
        <f t="shared" si="84"/>
        <v>15</v>
      </c>
      <c r="CI395" s="214">
        <f t="shared" ca="1" si="85"/>
        <v>-9.5848479460086011E-2</v>
      </c>
      <c r="CJ395" s="215">
        <f t="shared" ca="1" si="86"/>
        <v>12.827543120539914</v>
      </c>
      <c r="CK395" s="216">
        <f t="shared" ca="1" si="87"/>
        <v>0.89792801843779402</v>
      </c>
    </row>
    <row r="396" spans="1:89">
      <c r="A396" s="203">
        <v>7000451</v>
      </c>
      <c r="B396" s="186" t="s">
        <v>476</v>
      </c>
      <c r="C396" s="196">
        <v>70</v>
      </c>
      <c r="D396" s="196"/>
      <c r="E396" s="196" t="s">
        <v>50</v>
      </c>
      <c r="F396" s="197" t="s">
        <v>2</v>
      </c>
      <c r="G396" s="189" t="s">
        <v>229</v>
      </c>
      <c r="H396" s="178" t="s">
        <v>42</v>
      </c>
      <c r="I396" s="178">
        <v>32129</v>
      </c>
      <c r="J396" s="178"/>
      <c r="K396" s="178"/>
      <c r="L396" s="178" t="s">
        <v>59</v>
      </c>
      <c r="M396" s="178">
        <v>120</v>
      </c>
      <c r="N396" s="178"/>
      <c r="O396" s="178"/>
      <c r="P396" s="178"/>
      <c r="Q396" s="178"/>
      <c r="R396" s="178" t="s">
        <v>126</v>
      </c>
      <c r="S396" s="181"/>
      <c r="T396" s="181"/>
      <c r="U396" s="182"/>
      <c r="V396" s="182" t="s">
        <v>35</v>
      </c>
      <c r="W396" s="183">
        <v>30</v>
      </c>
      <c r="X396" s="182" t="s">
        <v>51</v>
      </c>
      <c r="Y396" s="202"/>
      <c r="Z396" s="202"/>
      <c r="AA396" s="202"/>
      <c r="AB396" s="202"/>
      <c r="AC396" s="202"/>
      <c r="AD396" s="202"/>
      <c r="AE396" s="202"/>
      <c r="AF396" s="202"/>
      <c r="AG396" s="202"/>
      <c r="AH396" s="202"/>
      <c r="AI396" s="202"/>
      <c r="AJ396" s="202"/>
      <c r="AK396" s="202"/>
      <c r="AL396" s="202"/>
      <c r="AM396" s="202"/>
      <c r="AN396" s="202"/>
      <c r="AO396" s="202"/>
      <c r="AP396" s="202"/>
      <c r="AQ396" s="202"/>
      <c r="AR396" s="202"/>
      <c r="AS396" s="202"/>
      <c r="AT396" s="202"/>
      <c r="AU396" s="202"/>
      <c r="AV396" s="202"/>
      <c r="AW396" s="202"/>
      <c r="AX396" s="202"/>
      <c r="AY396" s="202"/>
      <c r="AZ396" s="202"/>
      <c r="BA396" s="202"/>
      <c r="BB396" s="202"/>
      <c r="BC396" s="202"/>
      <c r="BD396" s="202"/>
      <c r="BE396" s="202"/>
      <c r="BF396" s="202"/>
      <c r="BG396" s="202"/>
      <c r="BH396" s="202"/>
      <c r="BI396" s="202">
        <v>1820</v>
      </c>
      <c r="BJ396" s="202">
        <v>1820</v>
      </c>
      <c r="BK396" s="202">
        <v>1820</v>
      </c>
      <c r="BL396" s="202">
        <v>1900</v>
      </c>
      <c r="BM396" s="202">
        <v>1900</v>
      </c>
      <c r="BN396" s="202">
        <v>1900</v>
      </c>
      <c r="BO396" s="202">
        <v>1980</v>
      </c>
      <c r="BP396" s="202">
        <v>1980</v>
      </c>
      <c r="BQ396" s="202">
        <v>1980</v>
      </c>
      <c r="BR396" s="202"/>
      <c r="BS396" s="202"/>
      <c r="BT396" s="202"/>
      <c r="BU396" s="146" cm="1">
        <f t="array" ref="BU396">LOOKUP(2,1/(Y396:BT396&lt;&gt;""),Y396:BH396)</f>
        <v>1980</v>
      </c>
      <c r="BV396" s="145" cm="1">
        <f t="array" aca="1" ref="BV396" ca="1">_xlfn.LET(
    _xlpm.last_col_idx, LOOKUP(2, 1/(Y396:BT396&lt;&gt;""), COLUMN(Y396:BT396) - COLUMN(Y396) + 1),
    _xlpm.header_val, INDEX($Y$3:$BT$3, 1, _xlpm.last_col_idx),
    _xlpm.header_date, IF(ISNUMBER(_xlpm.header_val), _xlpm.header_val, DATEVALUE(_xlpm.header_val)),
    IF(_xlpm.header_date &gt; TODAY(), TODAY(), _xlpm.header_date)
)</f>
        <v>46212</v>
      </c>
      <c r="BW396" s="209" cm="1">
        <f t="array" ref="BW396">(LOOKUP(2,1/(BH396:BT396&lt;&gt;""),BH396:BT396))/(INDEX(BH396:BT396,MATCH(TRUE,INDEX((BH396:BT396&lt;&gt;0),0),0)))-1</f>
        <v>8.7912087912087822E-2</v>
      </c>
      <c r="BX396" s="210">
        <f t="shared" si="78"/>
        <v>1.98</v>
      </c>
      <c r="BY396" s="210">
        <f t="shared" si="79"/>
        <v>11.682</v>
      </c>
      <c r="BZ396" s="210">
        <f ca="1">IF(L396="BR",'Impostos e Frete'!$F$6,IF(L396="EU",'Impostos e Frete'!$I$3,IF(L396="CN",'Impostos e Frete'!$I$4,IF(L396="JP",'Impostos e Frete'!$I$5,IF(L396="RU",'Impostos e Frete'!$I$7,"ERRO")))))</f>
        <v>0.1410816</v>
      </c>
      <c r="CA396" s="210">
        <f>VLOOKUP(L396,'Impostos e Frete'!$A$3:$B$7,2,0)*'Preços e Condições'!BY396</f>
        <v>1.5186600000000001</v>
      </c>
      <c r="CB396" s="147">
        <f t="shared" si="80"/>
        <v>-0.17699999999999999</v>
      </c>
      <c r="CC396" s="147">
        <f>IF(X396="BRL",'Impostos e Frete'!$B$11,'Impostos e Frete'!$B$12)</f>
        <v>9.1999999999999998E-2</v>
      </c>
      <c r="CD396" s="211">
        <f t="shared" ca="1" si="81"/>
        <v>13.256741600000002</v>
      </c>
      <c r="CE396" s="212">
        <f t="shared" ca="1" si="82"/>
        <v>0.92797191200000018</v>
      </c>
      <c r="CF396" s="213">
        <f>VLOOKUP(L396,'Impostos e Frete'!$A$3:$C$7,3,0)</f>
        <v>105</v>
      </c>
      <c r="CG396" s="213">
        <f t="shared" si="83"/>
        <v>120</v>
      </c>
      <c r="CH396" s="213">
        <f t="shared" si="84"/>
        <v>15</v>
      </c>
      <c r="CI396" s="214">
        <f t="shared" ca="1" si="85"/>
        <v>-9.8320825080875807E-2</v>
      </c>
      <c r="CJ396" s="215">
        <f t="shared" ca="1" si="86"/>
        <v>13.158420774919126</v>
      </c>
      <c r="CK396" s="216">
        <f t="shared" ca="1" si="87"/>
        <v>0.92108945424433886</v>
      </c>
    </row>
    <row r="397" spans="1:89">
      <c r="A397" s="203">
        <v>7000452</v>
      </c>
      <c r="B397" s="186">
        <v>1410</v>
      </c>
      <c r="C397" s="196">
        <v>68</v>
      </c>
      <c r="D397" s="178"/>
      <c r="E397" s="178" t="s">
        <v>50</v>
      </c>
      <c r="F397" s="179" t="s">
        <v>466</v>
      </c>
      <c r="G397" s="180" t="s">
        <v>80</v>
      </c>
      <c r="H397" s="178" t="s">
        <v>61</v>
      </c>
      <c r="I397" s="178">
        <v>1410</v>
      </c>
      <c r="J397" s="178"/>
      <c r="K397" s="178"/>
      <c r="L397" s="178" t="s">
        <v>59</v>
      </c>
      <c r="M397" s="178">
        <v>60</v>
      </c>
      <c r="N397" s="178"/>
      <c r="O397" s="178"/>
      <c r="P397" s="178"/>
      <c r="Q397" s="178"/>
      <c r="R397" s="178" t="s">
        <v>19</v>
      </c>
      <c r="S397" s="181"/>
      <c r="T397" s="181"/>
      <c r="U397" s="182"/>
      <c r="V397" s="182" t="s">
        <v>35</v>
      </c>
      <c r="W397" s="183">
        <v>100</v>
      </c>
      <c r="X397" s="182" t="s">
        <v>51</v>
      </c>
      <c r="Y397" s="202"/>
      <c r="Z397" s="202"/>
      <c r="AA397" s="202"/>
      <c r="AB397" s="202"/>
      <c r="AC397" s="202"/>
      <c r="AD397" s="202"/>
      <c r="AE397" s="202"/>
      <c r="AF397" s="202"/>
      <c r="AG397" s="202"/>
      <c r="AH397" s="202"/>
      <c r="AI397" s="202"/>
      <c r="AJ397" s="184"/>
      <c r="AK397" s="202"/>
      <c r="AL397" s="202"/>
      <c r="AM397" s="202"/>
      <c r="AN397" s="202"/>
      <c r="AO397" s="202"/>
      <c r="AP397" s="202"/>
      <c r="AQ397" s="202"/>
      <c r="AR397" s="202"/>
      <c r="AS397" s="202"/>
      <c r="AT397" s="202"/>
      <c r="AU397" s="202"/>
      <c r="AV397" s="202"/>
      <c r="AW397" s="202"/>
      <c r="AX397" s="202"/>
      <c r="AY397" s="202"/>
      <c r="AZ397" s="184"/>
      <c r="BA397" s="184"/>
      <c r="BB397" s="184"/>
      <c r="BC397" s="202"/>
      <c r="BD397" s="202"/>
      <c r="BE397" s="202"/>
      <c r="BF397" s="202"/>
      <c r="BG397" s="202"/>
      <c r="BH397" s="202"/>
      <c r="BI397" s="202">
        <v>1790</v>
      </c>
      <c r="BJ397" s="202">
        <v>1790</v>
      </c>
      <c r="BK397" s="202">
        <v>1790</v>
      </c>
      <c r="BL397" s="202">
        <v>1870</v>
      </c>
      <c r="BM397" s="202">
        <v>1950</v>
      </c>
      <c r="BN397" s="202">
        <v>1950</v>
      </c>
      <c r="BO397" s="202">
        <v>2070</v>
      </c>
      <c r="BP397" s="202">
        <v>2020</v>
      </c>
      <c r="BQ397" s="202">
        <v>2020</v>
      </c>
      <c r="BR397" s="202"/>
      <c r="BS397" s="202"/>
      <c r="BT397" s="202"/>
      <c r="BU397" s="146" cm="1">
        <f t="array" ref="BU397">LOOKUP(2,1/(Y397:BT397&lt;&gt;""),Y397:BH397)</f>
        <v>2020</v>
      </c>
      <c r="BV397" s="145" cm="1">
        <f t="array" aca="1" ref="BV397" ca="1">_xlfn.LET(
    _xlpm.last_col_idx, LOOKUP(2, 1/(Y397:BT397&lt;&gt;""), COLUMN(Y397:BT397) - COLUMN(Y397) + 1),
    _xlpm.header_val, INDEX($Y$3:$BT$3, 1, _xlpm.last_col_idx),
    _xlpm.header_date, IF(ISNUMBER(_xlpm.header_val), _xlpm.header_val, DATEVALUE(_xlpm.header_val)),
    IF(_xlpm.header_date &gt; TODAY(), TODAY(), _xlpm.header_date)
)</f>
        <v>46212</v>
      </c>
      <c r="BW397" s="209" cm="1">
        <f t="array" ref="BW397">(LOOKUP(2,1/(BH397:BT397&lt;&gt;""),BH397:BT397))/(INDEX(BH397:BT397,MATCH(TRUE,INDEX((BH397:BT397&lt;&gt;0),0),0)))-1</f>
        <v>0.12849162011173187</v>
      </c>
      <c r="BX397" s="210">
        <f t="shared" si="78"/>
        <v>2.02</v>
      </c>
      <c r="BY397" s="210">
        <f t="shared" si="79"/>
        <v>11.918000000000001</v>
      </c>
      <c r="BZ397" s="210">
        <f ca="1">IF(L397="BR",'Impostos e Frete'!$F$6,IF(L397="EU",'Impostos e Frete'!$I$3,IF(L397="CN",'Impostos e Frete'!$I$4,IF(L397="JP",'Impostos e Frete'!$I$5,IF(L397="RU",'Impostos e Frete'!$I$7,"ERRO")))))</f>
        <v>0.1410816</v>
      </c>
      <c r="CA397" s="210">
        <f>VLOOKUP(L397,'Impostos e Frete'!$A$3:$B$7,2,0)*'Preços e Condições'!BY397</f>
        <v>1.5493400000000002</v>
      </c>
      <c r="CB397" s="147">
        <f t="shared" si="80"/>
        <v>0</v>
      </c>
      <c r="CC397" s="147">
        <f>IF(X397="BRL",'Impostos e Frete'!$B$11,'Impostos e Frete'!$B$12)</f>
        <v>9.1999999999999998E-2</v>
      </c>
      <c r="CD397" s="211">
        <f t="shared" ca="1" si="81"/>
        <v>13.700421600000002</v>
      </c>
      <c r="CE397" s="212">
        <f t="shared" ca="1" si="82"/>
        <v>0.93162866880000017</v>
      </c>
      <c r="CF397" s="213">
        <f>VLOOKUP(L397,'Impostos e Frete'!$A$3:$C$7,3,0)</f>
        <v>105</v>
      </c>
      <c r="CG397" s="213">
        <f t="shared" si="83"/>
        <v>60</v>
      </c>
      <c r="CH397" s="213">
        <f t="shared" si="84"/>
        <v>-45</v>
      </c>
      <c r="CI397" s="214">
        <f t="shared" ca="1" si="85"/>
        <v>0.30941258527482596</v>
      </c>
      <c r="CJ397" s="215">
        <f t="shared" ca="1" si="86"/>
        <v>14.009834185274828</v>
      </c>
      <c r="CK397" s="216">
        <f t="shared" ca="1" si="87"/>
        <v>0.95266872459868823</v>
      </c>
    </row>
    <row r="398" spans="1:89">
      <c r="A398" s="203">
        <v>7000454</v>
      </c>
      <c r="B398" s="186">
        <v>1430</v>
      </c>
      <c r="C398" s="196">
        <v>68</v>
      </c>
      <c r="D398" s="196"/>
      <c r="E398" s="196" t="s">
        <v>50</v>
      </c>
      <c r="F398" s="197" t="s">
        <v>466</v>
      </c>
      <c r="G398" s="180" t="s">
        <v>81</v>
      </c>
      <c r="H398" s="178" t="s">
        <v>61</v>
      </c>
      <c r="I398" s="178">
        <v>1430</v>
      </c>
      <c r="J398" s="178"/>
      <c r="K398" s="178"/>
      <c r="L398" s="178" t="s">
        <v>59</v>
      </c>
      <c r="M398" s="178">
        <v>60</v>
      </c>
      <c r="N398" s="178"/>
      <c r="O398" s="178"/>
      <c r="P398" s="178"/>
      <c r="Q398" s="178"/>
      <c r="R398" s="178" t="s">
        <v>19</v>
      </c>
      <c r="S398" s="181"/>
      <c r="T398" s="181"/>
      <c r="U398" s="182"/>
      <c r="V398" s="182" t="s">
        <v>35</v>
      </c>
      <c r="W398" s="183">
        <v>100</v>
      </c>
      <c r="X398" s="182" t="s">
        <v>51</v>
      </c>
      <c r="Y398" s="184"/>
      <c r="Z398" s="202"/>
      <c r="AA398" s="202"/>
      <c r="AB398" s="202"/>
      <c r="AC398" s="202"/>
      <c r="AD398" s="202"/>
      <c r="AE398" s="202"/>
      <c r="AF398" s="202"/>
      <c r="AG398" s="202"/>
      <c r="AH398" s="202"/>
      <c r="AI398" s="202"/>
      <c r="AJ398" s="202"/>
      <c r="AK398" s="202"/>
      <c r="AL398" s="202"/>
      <c r="AM398" s="202"/>
      <c r="AN398" s="202"/>
      <c r="AO398" s="202"/>
      <c r="AP398" s="202"/>
      <c r="AQ398" s="202"/>
      <c r="AR398" s="202"/>
      <c r="AS398" s="202"/>
      <c r="AT398" s="202"/>
      <c r="AU398" s="202"/>
      <c r="AV398" s="202"/>
      <c r="AW398" s="202"/>
      <c r="AX398" s="202"/>
      <c r="AY398" s="202"/>
      <c r="AZ398" s="202"/>
      <c r="BA398" s="202"/>
      <c r="BB398" s="202"/>
      <c r="BC398" s="202"/>
      <c r="BD398" s="202"/>
      <c r="BE398" s="202"/>
      <c r="BF398" s="202"/>
      <c r="BG398" s="202"/>
      <c r="BH398" s="202"/>
      <c r="BI398" s="184">
        <v>1790</v>
      </c>
      <c r="BJ398" s="184">
        <v>1790</v>
      </c>
      <c r="BK398" s="184">
        <v>1790</v>
      </c>
      <c r="BL398" s="184">
        <v>1870</v>
      </c>
      <c r="BM398" s="184">
        <v>1950</v>
      </c>
      <c r="BN398" s="184">
        <v>1950</v>
      </c>
      <c r="BO398" s="202">
        <v>2070</v>
      </c>
      <c r="BP398" s="202">
        <v>2020</v>
      </c>
      <c r="BQ398" s="202">
        <v>2020</v>
      </c>
      <c r="BR398" s="202"/>
      <c r="BS398" s="202"/>
      <c r="BT398" s="202"/>
      <c r="BU398" s="146" cm="1">
        <f t="array" ref="BU398">LOOKUP(2,1/(Y398:BT398&lt;&gt;""),Y398:BH398)</f>
        <v>2020</v>
      </c>
      <c r="BV398" s="145" cm="1">
        <f t="array" aca="1" ref="BV398" ca="1">_xlfn.LET(
    _xlpm.last_col_idx, LOOKUP(2, 1/(Y398:BT398&lt;&gt;""), COLUMN(Y398:BT398) - COLUMN(Y398) + 1),
    _xlpm.header_val, INDEX($Y$3:$BT$3, 1, _xlpm.last_col_idx),
    _xlpm.header_date, IF(ISNUMBER(_xlpm.header_val), _xlpm.header_val, DATEVALUE(_xlpm.header_val)),
    IF(_xlpm.header_date &gt; TODAY(), TODAY(), _xlpm.header_date)
)</f>
        <v>46212</v>
      </c>
      <c r="BW398" s="209" cm="1">
        <f t="array" ref="BW398">(LOOKUP(2,1/(BH398:BT398&lt;&gt;""),BH398:BT398))/(INDEX(BH398:BT398,MATCH(TRUE,INDEX((BH398:BT398&lt;&gt;0),0),0)))-1</f>
        <v>0.12849162011173187</v>
      </c>
      <c r="BX398" s="210">
        <f t="shared" si="78"/>
        <v>2.02</v>
      </c>
      <c r="BY398" s="210">
        <f t="shared" si="79"/>
        <v>11.918000000000001</v>
      </c>
      <c r="BZ398" s="210">
        <f ca="1">IF(L398="BR",'Impostos e Frete'!$F$6,IF(L398="EU",'Impostos e Frete'!$I$3,IF(L398="CN",'Impostos e Frete'!$I$4,IF(L398="JP",'Impostos e Frete'!$I$5,IF(L398="RU",'Impostos e Frete'!$I$7,"ERRO")))))</f>
        <v>0.1410816</v>
      </c>
      <c r="CA398" s="210">
        <f>VLOOKUP(L398,'Impostos e Frete'!$A$3:$B$7,2,0)*'Preços e Condições'!BY398</f>
        <v>1.5493400000000002</v>
      </c>
      <c r="CB398" s="147">
        <f t="shared" si="80"/>
        <v>0</v>
      </c>
      <c r="CC398" s="147">
        <f>IF(X398="BRL",'Impostos e Frete'!$B$11,'Impostos e Frete'!$B$12)</f>
        <v>9.1999999999999998E-2</v>
      </c>
      <c r="CD398" s="211">
        <f t="shared" ca="1" si="81"/>
        <v>13.700421600000002</v>
      </c>
      <c r="CE398" s="212">
        <f t="shared" ca="1" si="82"/>
        <v>0.93162866880000017</v>
      </c>
      <c r="CF398" s="213">
        <f>VLOOKUP(L398,'Impostos e Frete'!$A$3:$C$7,3,0)</f>
        <v>105</v>
      </c>
      <c r="CG398" s="213">
        <f t="shared" si="83"/>
        <v>60</v>
      </c>
      <c r="CH398" s="213">
        <f t="shared" si="84"/>
        <v>-45</v>
      </c>
      <c r="CI398" s="214">
        <f t="shared" ca="1" si="85"/>
        <v>0.30941258527482596</v>
      </c>
      <c r="CJ398" s="215">
        <f t="shared" ca="1" si="86"/>
        <v>14.009834185274828</v>
      </c>
      <c r="CK398" s="216">
        <f t="shared" ca="1" si="87"/>
        <v>0.95266872459868823</v>
      </c>
    </row>
    <row r="399" spans="1:89">
      <c r="A399" s="217">
        <v>7000456</v>
      </c>
      <c r="B399" s="177">
        <v>689</v>
      </c>
      <c r="C399" s="178">
        <v>68</v>
      </c>
      <c r="D399" s="178"/>
      <c r="E399" s="178" t="s">
        <v>50</v>
      </c>
      <c r="F399" s="197" t="s">
        <v>2</v>
      </c>
      <c r="G399" s="189" t="s">
        <v>87</v>
      </c>
      <c r="H399" s="178" t="s">
        <v>63</v>
      </c>
      <c r="I399" s="178">
        <v>32166</v>
      </c>
      <c r="J399" s="178"/>
      <c r="K399" s="178"/>
      <c r="L399" s="178" t="s">
        <v>59</v>
      </c>
      <c r="M399" s="178">
        <v>120</v>
      </c>
      <c r="N399" s="178"/>
      <c r="O399" s="178"/>
      <c r="P399" s="178"/>
      <c r="Q399" s="178"/>
      <c r="R399" s="178" t="s">
        <v>126</v>
      </c>
      <c r="S399" s="181"/>
      <c r="T399" s="181"/>
      <c r="U399" s="182"/>
      <c r="V399" s="182" t="s">
        <v>35</v>
      </c>
      <c r="W399" s="183">
        <v>100</v>
      </c>
      <c r="X399" s="182" t="s">
        <v>51</v>
      </c>
      <c r="Y399" s="184"/>
      <c r="Z399" s="184"/>
      <c r="AA399" s="184"/>
      <c r="AB399" s="184"/>
      <c r="AC399" s="184"/>
      <c r="AD399" s="184"/>
      <c r="AE399" s="184"/>
      <c r="AF399" s="184"/>
      <c r="AG399" s="184"/>
      <c r="AH399" s="184"/>
      <c r="AI399" s="184"/>
      <c r="AJ399" s="184"/>
      <c r="AK399" s="184"/>
      <c r="AL399" s="184"/>
      <c r="AM399" s="184"/>
      <c r="AN399" s="184"/>
      <c r="AO399" s="184"/>
      <c r="AP399" s="184"/>
      <c r="AQ399" s="184"/>
      <c r="AR399" s="184"/>
      <c r="AS399" s="184"/>
      <c r="AT399" s="184"/>
      <c r="AU399" s="184"/>
      <c r="AV399" s="184"/>
      <c r="AW399" s="184"/>
      <c r="AX399" s="184"/>
      <c r="AY399" s="184"/>
      <c r="AZ399" s="184"/>
      <c r="BA399" s="184"/>
      <c r="BB399" s="184"/>
      <c r="BC399" s="184"/>
      <c r="BD399" s="184"/>
      <c r="BE399" s="184"/>
      <c r="BF399" s="184"/>
      <c r="BG399" s="184"/>
      <c r="BH399" s="184"/>
      <c r="BI399" s="184">
        <v>1800</v>
      </c>
      <c r="BJ399" s="184">
        <v>1800</v>
      </c>
      <c r="BK399" s="184">
        <v>1800</v>
      </c>
      <c r="BL399" s="184">
        <v>1880</v>
      </c>
      <c r="BM399" s="184">
        <v>1880</v>
      </c>
      <c r="BN399" s="184">
        <v>1770</v>
      </c>
      <c r="BO399" s="184">
        <v>1730</v>
      </c>
      <c r="BP399" s="184">
        <v>1730</v>
      </c>
      <c r="BQ399" s="184">
        <v>1730</v>
      </c>
      <c r="BR399" s="184"/>
      <c r="BS399" s="184"/>
      <c r="BT399" s="184"/>
      <c r="BU399" s="146" cm="1">
        <f t="array" ref="BU399">LOOKUP(2,1/(Y399:BT399&lt;&gt;""),Y399:BH399)</f>
        <v>1730</v>
      </c>
      <c r="BV399" s="145" cm="1">
        <f t="array" aca="1" ref="BV399" ca="1">_xlfn.LET(
    _xlpm.last_col_idx, LOOKUP(2, 1/(Y399:BT399&lt;&gt;""), COLUMN(Y399:BT399) - COLUMN(Y399) + 1),
    _xlpm.header_val, INDEX($Y$3:$BT$3, 1, _xlpm.last_col_idx),
    _xlpm.header_date, IF(ISNUMBER(_xlpm.header_val), _xlpm.header_val, DATEVALUE(_xlpm.header_val)),
    IF(_xlpm.header_date &gt; TODAY(), TODAY(), _xlpm.header_date)
)</f>
        <v>46212</v>
      </c>
      <c r="BW399" s="209" cm="1">
        <f t="array" ref="BW399">(LOOKUP(2,1/(BH399:BT399&lt;&gt;""),BH399:BT399))/(INDEX(BH399:BT399,MATCH(TRUE,INDEX((BH399:BT399&lt;&gt;0),0),0)))-1</f>
        <v>-3.8888888888888862E-2</v>
      </c>
      <c r="BX399" s="210">
        <f t="shared" si="78"/>
        <v>1.73</v>
      </c>
      <c r="BY399" s="210">
        <f t="shared" si="79"/>
        <v>10.207000000000001</v>
      </c>
      <c r="BZ399" s="210">
        <f ca="1">IF(L399="BR",'Impostos e Frete'!$F$6,IF(L399="EU",'Impostos e Frete'!$I$3,IF(L399="CN",'Impostos e Frete'!$I$4,IF(L399="JP",'Impostos e Frete'!$I$5,IF(L399="RU",'Impostos e Frete'!$I$7,"ERRO")))))</f>
        <v>0.1410816</v>
      </c>
      <c r="CA399" s="210">
        <f>VLOOKUP(L399,'Impostos e Frete'!$A$3:$B$7,2,0)*'Preços e Condições'!BY399</f>
        <v>1.32691</v>
      </c>
      <c r="CB399" s="147">
        <f t="shared" si="80"/>
        <v>-0.17699999999999999</v>
      </c>
      <c r="CC399" s="147">
        <f>IF(X399="BRL",'Impostos e Frete'!$B$11,'Impostos e Frete'!$B$12)</f>
        <v>9.1999999999999998E-2</v>
      </c>
      <c r="CD399" s="211">
        <f t="shared" ca="1" si="81"/>
        <v>11.589991600000001</v>
      </c>
      <c r="CE399" s="212">
        <f t="shared" ca="1" si="82"/>
        <v>0.78811942880000019</v>
      </c>
      <c r="CF399" s="213">
        <f>VLOOKUP(L399,'Impostos e Frete'!$A$3:$C$7,3,0)</f>
        <v>105</v>
      </c>
      <c r="CG399" s="213">
        <f t="shared" si="83"/>
        <v>120</v>
      </c>
      <c r="CH399" s="213">
        <f t="shared" si="84"/>
        <v>15</v>
      </c>
      <c r="CI399" s="214">
        <f t="shared" ca="1" si="85"/>
        <v>-8.5959096976923277E-2</v>
      </c>
      <c r="CJ399" s="215">
        <f t="shared" ca="1" si="86"/>
        <v>11.504032503023078</v>
      </c>
      <c r="CK399" s="216">
        <f t="shared" ca="1" si="87"/>
        <v>0.7822742102055692</v>
      </c>
    </row>
    <row r="400" spans="1:89">
      <c r="A400" s="203">
        <v>7000456</v>
      </c>
      <c r="B400" s="186">
        <v>689</v>
      </c>
      <c r="C400" s="196">
        <v>68</v>
      </c>
      <c r="D400" s="196"/>
      <c r="E400" s="196" t="s">
        <v>50</v>
      </c>
      <c r="F400" s="197" t="s">
        <v>2</v>
      </c>
      <c r="G400" s="189" t="s">
        <v>87</v>
      </c>
      <c r="H400" s="178" t="s">
        <v>63</v>
      </c>
      <c r="I400" s="178">
        <v>32166</v>
      </c>
      <c r="J400" s="178"/>
      <c r="K400" s="178"/>
      <c r="L400" s="178" t="s">
        <v>59</v>
      </c>
      <c r="M400" s="178">
        <v>120</v>
      </c>
      <c r="N400" s="183"/>
      <c r="O400" s="178"/>
      <c r="P400" s="178"/>
      <c r="Q400" s="178"/>
      <c r="R400" s="178"/>
      <c r="S400" s="181"/>
      <c r="T400" s="181"/>
      <c r="U400" s="182"/>
      <c r="V400" s="182"/>
      <c r="W400" s="183">
        <v>600</v>
      </c>
      <c r="X400" s="182" t="s">
        <v>51</v>
      </c>
      <c r="Y400" s="184"/>
      <c r="Z400" s="202"/>
      <c r="AA400" s="202"/>
      <c r="AB400" s="202"/>
      <c r="AC400" s="202"/>
      <c r="AD400" s="202"/>
      <c r="AE400" s="202"/>
      <c r="AF400" s="202"/>
      <c r="AG400" s="202"/>
      <c r="AH400" s="202"/>
      <c r="AI400" s="202"/>
      <c r="AJ400" s="202"/>
      <c r="AK400" s="202"/>
      <c r="AL400" s="202"/>
      <c r="AM400" s="202"/>
      <c r="AN400" s="202"/>
      <c r="AO400" s="202"/>
      <c r="AP400" s="202"/>
      <c r="AQ400" s="202"/>
      <c r="AR400" s="202"/>
      <c r="AS400" s="202"/>
      <c r="AT400" s="202"/>
      <c r="AU400" s="202"/>
      <c r="AV400" s="202"/>
      <c r="AW400" s="202"/>
      <c r="AX400" s="202"/>
      <c r="AY400" s="202"/>
      <c r="AZ400" s="202"/>
      <c r="BA400" s="202"/>
      <c r="BB400" s="202"/>
      <c r="BC400" s="202"/>
      <c r="BD400" s="202"/>
      <c r="BE400" s="202"/>
      <c r="BF400" s="202"/>
      <c r="BG400" s="202"/>
      <c r="BH400" s="202"/>
      <c r="BI400" s="184"/>
      <c r="BJ400" s="184"/>
      <c r="BK400" s="184"/>
      <c r="BL400" s="184"/>
      <c r="BM400" s="184"/>
      <c r="BN400" s="184"/>
      <c r="BO400" s="202">
        <v>1670</v>
      </c>
      <c r="BP400" s="202">
        <v>1670</v>
      </c>
      <c r="BQ400" s="202">
        <v>1670</v>
      </c>
      <c r="BR400" s="202"/>
      <c r="BS400" s="202"/>
      <c r="BT400" s="202"/>
      <c r="BU400" s="146" cm="1">
        <f t="array" ref="BU400">LOOKUP(2,1/(Y400:BT400&lt;&gt;""),Y400:BH400)</f>
        <v>1670</v>
      </c>
      <c r="BV400" s="145" cm="1">
        <f t="array" aca="1" ref="BV400" ca="1">_xlfn.LET(
    _xlpm.last_col_idx, LOOKUP(2, 1/(Y400:BT400&lt;&gt;""), COLUMN(Y400:BT400) - COLUMN(Y400) + 1),
    _xlpm.header_val, INDEX($Y$3:$BT$3, 1, _xlpm.last_col_idx),
    _xlpm.header_date, IF(ISNUMBER(_xlpm.header_val), _xlpm.header_val, DATEVALUE(_xlpm.header_val)),
    IF(_xlpm.header_date &gt; TODAY(), TODAY(), _xlpm.header_date)
)</f>
        <v>46212</v>
      </c>
      <c r="BW400" s="209" cm="1">
        <f t="array" ref="BW400">(LOOKUP(2,1/(BH400:BT400&lt;&gt;""),BH400:BT400))/(INDEX(BH400:BT400,MATCH(TRUE,INDEX((BH400:BT400&lt;&gt;0),0),0)))-1</f>
        <v>0</v>
      </c>
      <c r="BX400" s="210">
        <f t="shared" si="78"/>
        <v>1.67</v>
      </c>
      <c r="BY400" s="210">
        <f t="shared" si="79"/>
        <v>9.8529999999999998</v>
      </c>
      <c r="BZ400" s="210">
        <f ca="1">IF(L400="BR",'Impostos e Frete'!$F$6,IF(L400="EU",'Impostos e Frete'!$I$3,IF(L400="CN",'Impostos e Frete'!$I$4,IF(L400="JP",'Impostos e Frete'!$I$5,IF(L400="RU",'Impostos e Frete'!$I$7,"ERRO")))))</f>
        <v>0.1410816</v>
      </c>
      <c r="CA400" s="210">
        <f>VLOOKUP(L400,'Impostos e Frete'!$A$3:$B$7,2,0)*'Preços e Condições'!BY400</f>
        <v>1.2808900000000001</v>
      </c>
      <c r="CB400" s="147" t="str">
        <f t="shared" si="80"/>
        <v>ERRO</v>
      </c>
      <c r="CC400" s="147">
        <f>IF(X400="BRL",'Impostos e Frete'!$B$11,'Impostos e Frete'!$B$12)</f>
        <v>9.1999999999999998E-2</v>
      </c>
      <c r="CD400" s="211">
        <f t="shared" ca="1" si="81"/>
        <v>11.366971599999999</v>
      </c>
      <c r="CE400" s="212">
        <f t="shared" ca="1" si="82"/>
        <v>0.77295406879999995</v>
      </c>
      <c r="CF400" s="213">
        <f>VLOOKUP(L400,'Impostos e Frete'!$A$3:$C$7,3,0)</f>
        <v>105</v>
      </c>
      <c r="CG400" s="213">
        <f t="shared" si="83"/>
        <v>120</v>
      </c>
      <c r="CH400" s="213">
        <f t="shared" si="84"/>
        <v>15</v>
      </c>
      <c r="CI400" s="214">
        <f t="shared" ca="1" si="85"/>
        <v>-8.4305032119120327E-2</v>
      </c>
      <c r="CJ400" s="215">
        <f t="shared" ca="1" si="86"/>
        <v>11.282666567880879</v>
      </c>
      <c r="CK400" s="216">
        <f t="shared" ca="1" si="87"/>
        <v>0.76722132661589981</v>
      </c>
    </row>
    <row r="401" spans="1:89">
      <c r="A401" s="203">
        <v>7000456</v>
      </c>
      <c r="B401" s="186">
        <v>689</v>
      </c>
      <c r="C401" s="196">
        <v>68</v>
      </c>
      <c r="D401" s="196"/>
      <c r="E401" s="196" t="s">
        <v>50</v>
      </c>
      <c r="F401" s="197" t="s">
        <v>2</v>
      </c>
      <c r="G401" s="189" t="s">
        <v>87</v>
      </c>
      <c r="H401" s="178" t="s">
        <v>63</v>
      </c>
      <c r="I401" s="178">
        <v>32166</v>
      </c>
      <c r="J401" s="178"/>
      <c r="K401" s="178"/>
      <c r="L401" s="178" t="s">
        <v>59</v>
      </c>
      <c r="M401" s="178">
        <v>120</v>
      </c>
      <c r="N401" s="183"/>
      <c r="O401" s="178"/>
      <c r="P401" s="178"/>
      <c r="Q401" s="178"/>
      <c r="R401" s="178"/>
      <c r="S401" s="181"/>
      <c r="T401" s="181"/>
      <c r="U401" s="182"/>
      <c r="V401" s="182"/>
      <c r="W401" s="183">
        <v>500</v>
      </c>
      <c r="X401" s="182" t="s">
        <v>51</v>
      </c>
      <c r="Y401" s="202"/>
      <c r="Z401" s="202"/>
      <c r="AA401" s="202"/>
      <c r="AB401" s="202"/>
      <c r="AC401" s="202"/>
      <c r="AD401" s="202"/>
      <c r="AE401" s="202"/>
      <c r="AF401" s="202"/>
      <c r="AG401" s="202"/>
      <c r="AH401" s="202"/>
      <c r="AI401" s="202"/>
      <c r="AJ401" s="202"/>
      <c r="AK401" s="202"/>
      <c r="AL401" s="202"/>
      <c r="AM401" s="202"/>
      <c r="AN401" s="202"/>
      <c r="AO401" s="202"/>
      <c r="AP401" s="202"/>
      <c r="AQ401" s="202"/>
      <c r="AR401" s="202"/>
      <c r="AS401" s="202"/>
      <c r="AT401" s="202"/>
      <c r="AU401" s="202"/>
      <c r="AV401" s="202"/>
      <c r="AW401" s="202"/>
      <c r="AX401" s="202"/>
      <c r="AY401" s="202"/>
      <c r="AZ401" s="202"/>
      <c r="BA401" s="202"/>
      <c r="BB401" s="202"/>
      <c r="BC401" s="202"/>
      <c r="BD401" s="202"/>
      <c r="BE401" s="202"/>
      <c r="BF401" s="202"/>
      <c r="BG401" s="202"/>
      <c r="BH401" s="202"/>
      <c r="BI401" s="184"/>
      <c r="BJ401" s="184"/>
      <c r="BK401" s="184"/>
      <c r="BL401" s="184"/>
      <c r="BM401" s="184"/>
      <c r="BN401" s="184"/>
      <c r="BO401" s="202">
        <v>1680</v>
      </c>
      <c r="BP401" s="202">
        <v>1680</v>
      </c>
      <c r="BQ401" s="202">
        <v>1680</v>
      </c>
      <c r="BR401" s="202"/>
      <c r="BS401" s="202"/>
      <c r="BT401" s="202"/>
      <c r="BU401" s="146" cm="1">
        <f t="array" ref="BU401">LOOKUP(2,1/(Y401:BT401&lt;&gt;""),Y401:BH401)</f>
        <v>1680</v>
      </c>
      <c r="BV401" s="145" cm="1">
        <f t="array" aca="1" ref="BV401" ca="1">_xlfn.LET(
    _xlpm.last_col_idx, LOOKUP(2, 1/(Y401:BT401&lt;&gt;""), COLUMN(Y401:BT401) - COLUMN(Y401) + 1),
    _xlpm.header_val, INDEX($Y$3:$BT$3, 1, _xlpm.last_col_idx),
    _xlpm.header_date, IF(ISNUMBER(_xlpm.header_val), _xlpm.header_val, DATEVALUE(_xlpm.header_val)),
    IF(_xlpm.header_date &gt; TODAY(), TODAY(), _xlpm.header_date)
)</f>
        <v>46212</v>
      </c>
      <c r="BW401" s="209" cm="1">
        <f t="array" ref="BW401">(LOOKUP(2,1/(BH401:BT401&lt;&gt;""),BH401:BT401))/(INDEX(BH401:BT401,MATCH(TRUE,INDEX((BH401:BT401&lt;&gt;0),0),0)))-1</f>
        <v>0</v>
      </c>
      <c r="BX401" s="210">
        <f t="shared" si="78"/>
        <v>1.68</v>
      </c>
      <c r="BY401" s="210">
        <f t="shared" si="79"/>
        <v>9.9120000000000008</v>
      </c>
      <c r="BZ401" s="210">
        <f ca="1">IF(L401="BR",'Impostos e Frete'!$F$6,IF(L401="EU",'Impostos e Frete'!$I$3,IF(L401="CN",'Impostos e Frete'!$I$4,IF(L401="JP",'Impostos e Frete'!$I$5,IF(L401="RU",'Impostos e Frete'!$I$7,"ERRO")))))</f>
        <v>0.1410816</v>
      </c>
      <c r="CA401" s="210">
        <f>VLOOKUP(L401,'Impostos e Frete'!$A$3:$B$7,2,0)*'Preços e Condições'!BY401</f>
        <v>1.2885600000000001</v>
      </c>
      <c r="CB401" s="147" t="str">
        <f t="shared" si="80"/>
        <v>ERRO</v>
      </c>
      <c r="CC401" s="147">
        <f>IF(X401="BRL",'Impostos e Frete'!$B$11,'Impostos e Frete'!$B$12)</f>
        <v>9.1999999999999998E-2</v>
      </c>
      <c r="CD401" s="211">
        <f t="shared" ca="1" si="81"/>
        <v>11.433641600000001</v>
      </c>
      <c r="CE401" s="212">
        <f t="shared" ca="1" si="82"/>
        <v>0.7774876288</v>
      </c>
      <c r="CF401" s="213">
        <f>VLOOKUP(L401,'Impostos e Frete'!$A$3:$C$7,3,0)</f>
        <v>105</v>
      </c>
      <c r="CG401" s="213">
        <f t="shared" si="83"/>
        <v>120</v>
      </c>
      <c r="CH401" s="213">
        <f t="shared" si="84"/>
        <v>15</v>
      </c>
      <c r="CI401" s="214">
        <f t="shared" ca="1" si="85"/>
        <v>-8.4799501243278286E-2</v>
      </c>
      <c r="CJ401" s="215">
        <f t="shared" ca="1" si="86"/>
        <v>11.348842098756723</v>
      </c>
      <c r="CK401" s="216">
        <f t="shared" ca="1" si="87"/>
        <v>0.77172126271545716</v>
      </c>
    </row>
    <row r="402" spans="1:89">
      <c r="A402" s="203">
        <v>7000456</v>
      </c>
      <c r="B402" s="186">
        <v>689</v>
      </c>
      <c r="C402" s="196">
        <v>68</v>
      </c>
      <c r="D402" s="196"/>
      <c r="E402" s="196" t="s">
        <v>50</v>
      </c>
      <c r="F402" s="197" t="s">
        <v>2</v>
      </c>
      <c r="G402" s="189" t="s">
        <v>87</v>
      </c>
      <c r="H402" s="178" t="s">
        <v>63</v>
      </c>
      <c r="I402" s="178">
        <v>32166</v>
      </c>
      <c r="J402" s="178"/>
      <c r="K402" s="178"/>
      <c r="L402" s="178" t="s">
        <v>59</v>
      </c>
      <c r="M402" s="178">
        <v>120</v>
      </c>
      <c r="N402" s="183"/>
      <c r="O402" s="178"/>
      <c r="P402" s="178"/>
      <c r="Q402" s="178"/>
      <c r="R402" s="178"/>
      <c r="S402" s="181"/>
      <c r="T402" s="181"/>
      <c r="U402" s="182"/>
      <c r="V402" s="182"/>
      <c r="W402" s="183">
        <v>200</v>
      </c>
      <c r="X402" s="182" t="s">
        <v>51</v>
      </c>
      <c r="Y402" s="202"/>
      <c r="Z402" s="202"/>
      <c r="AA402" s="202"/>
      <c r="AB402" s="202"/>
      <c r="AC402" s="202"/>
      <c r="AD402" s="202"/>
      <c r="AE402" s="202"/>
      <c r="AF402" s="202"/>
      <c r="AG402" s="202"/>
      <c r="AH402" s="202"/>
      <c r="AI402" s="202"/>
      <c r="AJ402" s="202"/>
      <c r="AK402" s="202"/>
      <c r="AL402" s="202"/>
      <c r="AM402" s="202"/>
      <c r="AN402" s="202"/>
      <c r="AO402" s="202"/>
      <c r="AP402" s="202"/>
      <c r="AQ402" s="202"/>
      <c r="AR402" s="202"/>
      <c r="AS402" s="202"/>
      <c r="AT402" s="202"/>
      <c r="AU402" s="202"/>
      <c r="AV402" s="202"/>
      <c r="AW402" s="202"/>
      <c r="AX402" s="202"/>
      <c r="AY402" s="202"/>
      <c r="AZ402" s="202"/>
      <c r="BA402" s="202"/>
      <c r="BB402" s="202"/>
      <c r="BC402" s="202"/>
      <c r="BD402" s="202"/>
      <c r="BE402" s="202"/>
      <c r="BF402" s="202"/>
      <c r="BG402" s="202"/>
      <c r="BH402" s="202"/>
      <c r="BI402" s="184"/>
      <c r="BJ402" s="184"/>
      <c r="BK402" s="184"/>
      <c r="BL402" s="202"/>
      <c r="BM402" s="202"/>
      <c r="BN402" s="202"/>
      <c r="BO402" s="202">
        <v>1690</v>
      </c>
      <c r="BP402" s="202">
        <v>1690</v>
      </c>
      <c r="BQ402" s="202">
        <v>1690</v>
      </c>
      <c r="BR402" s="202"/>
      <c r="BS402" s="202"/>
      <c r="BT402" s="202"/>
      <c r="BU402" s="146" cm="1">
        <f t="array" ref="BU402">LOOKUP(2,1/(Y402:BT402&lt;&gt;""),Y402:BH402)</f>
        <v>1690</v>
      </c>
      <c r="BV402" s="145" cm="1">
        <f t="array" aca="1" ref="BV402" ca="1">_xlfn.LET(
    _xlpm.last_col_idx, LOOKUP(2, 1/(Y402:BT402&lt;&gt;""), COLUMN(Y402:BT402) - COLUMN(Y402) + 1),
    _xlpm.header_val, INDEX($Y$3:$BT$3, 1, _xlpm.last_col_idx),
    _xlpm.header_date, IF(ISNUMBER(_xlpm.header_val), _xlpm.header_val, DATEVALUE(_xlpm.header_val)),
    IF(_xlpm.header_date &gt; TODAY(), TODAY(), _xlpm.header_date)
)</f>
        <v>46212</v>
      </c>
      <c r="BW402" s="209" cm="1">
        <f t="array" ref="BW402">(LOOKUP(2,1/(BH402:BT402&lt;&gt;""),BH402:BT402))/(INDEX(BH402:BT402,MATCH(TRUE,INDEX((BH402:BT402&lt;&gt;0),0),0)))-1</f>
        <v>0</v>
      </c>
      <c r="BX402" s="210">
        <f t="shared" si="78"/>
        <v>1.69</v>
      </c>
      <c r="BY402" s="210">
        <f t="shared" si="79"/>
        <v>9.9710000000000001</v>
      </c>
      <c r="BZ402" s="210">
        <f ca="1">IF(L402="BR",'Impostos e Frete'!$F$6,IF(L402="EU",'Impostos e Frete'!$I$3,IF(L402="CN",'Impostos e Frete'!$I$4,IF(L402="JP",'Impostos e Frete'!$I$5,IF(L402="RU",'Impostos e Frete'!$I$7,"ERRO")))))</f>
        <v>0.1410816</v>
      </c>
      <c r="CA402" s="210">
        <f>VLOOKUP(L402,'Impostos e Frete'!$A$3:$B$7,2,0)*'Preços e Condições'!BY402</f>
        <v>1.29623</v>
      </c>
      <c r="CB402" s="147" t="str">
        <f t="shared" si="80"/>
        <v>ERRO</v>
      </c>
      <c r="CC402" s="147">
        <f>IF(X402="BRL",'Impostos e Frete'!$B$11,'Impostos e Frete'!$B$12)</f>
        <v>9.1999999999999998E-2</v>
      </c>
      <c r="CD402" s="211">
        <f t="shared" ca="1" si="81"/>
        <v>11.5003116</v>
      </c>
      <c r="CE402" s="212">
        <f t="shared" ca="1" si="82"/>
        <v>0.78202118880000004</v>
      </c>
      <c r="CF402" s="213">
        <f>VLOOKUP(L402,'Impostos e Frete'!$A$3:$C$7,3,0)</f>
        <v>105</v>
      </c>
      <c r="CG402" s="213">
        <f t="shared" si="83"/>
        <v>120</v>
      </c>
      <c r="CH402" s="213">
        <f t="shared" si="84"/>
        <v>15</v>
      </c>
      <c r="CI402" s="214">
        <f t="shared" ca="1" si="85"/>
        <v>-8.5293970367436245E-2</v>
      </c>
      <c r="CJ402" s="215">
        <f t="shared" ca="1" si="86"/>
        <v>11.415017629632564</v>
      </c>
      <c r="CK402" s="216">
        <f t="shared" ca="1" si="87"/>
        <v>0.77622119881501439</v>
      </c>
    </row>
    <row r="403" spans="1:89">
      <c r="A403" s="203">
        <v>7000456</v>
      </c>
      <c r="B403" s="186">
        <v>689</v>
      </c>
      <c r="C403" s="196">
        <v>68</v>
      </c>
      <c r="D403" s="196"/>
      <c r="E403" s="196" t="s">
        <v>50</v>
      </c>
      <c r="F403" s="197" t="s">
        <v>2</v>
      </c>
      <c r="G403" s="189" t="s">
        <v>87</v>
      </c>
      <c r="H403" s="178" t="s">
        <v>63</v>
      </c>
      <c r="I403" s="178">
        <v>32166</v>
      </c>
      <c r="J403" s="178"/>
      <c r="K403" s="178"/>
      <c r="L403" s="178" t="s">
        <v>59</v>
      </c>
      <c r="M403" s="178">
        <v>120</v>
      </c>
      <c r="N403" s="183"/>
      <c r="O403" s="178"/>
      <c r="P403" s="178"/>
      <c r="Q403" s="178"/>
      <c r="R403" s="178"/>
      <c r="S403" s="181"/>
      <c r="T403" s="181"/>
      <c r="U403" s="182"/>
      <c r="V403" s="182"/>
      <c r="W403" s="183">
        <v>150</v>
      </c>
      <c r="X403" s="182" t="s">
        <v>51</v>
      </c>
      <c r="Y403" s="202"/>
      <c r="Z403" s="202"/>
      <c r="AA403" s="202"/>
      <c r="AB403" s="202"/>
      <c r="AC403" s="202"/>
      <c r="AD403" s="202"/>
      <c r="AE403" s="202"/>
      <c r="AF403" s="202"/>
      <c r="AG403" s="202"/>
      <c r="AH403" s="202"/>
      <c r="AI403" s="202"/>
      <c r="AJ403" s="202"/>
      <c r="AK403" s="202"/>
      <c r="AL403" s="202"/>
      <c r="AM403" s="202"/>
      <c r="AN403" s="202"/>
      <c r="AO403" s="202"/>
      <c r="AP403" s="202"/>
      <c r="AQ403" s="202"/>
      <c r="AR403" s="202"/>
      <c r="AS403" s="202"/>
      <c r="AT403" s="202"/>
      <c r="AU403" s="202"/>
      <c r="AV403" s="202"/>
      <c r="AW403" s="202"/>
      <c r="AX403" s="202"/>
      <c r="AY403" s="202"/>
      <c r="AZ403" s="202"/>
      <c r="BA403" s="202"/>
      <c r="BB403" s="202"/>
      <c r="BC403" s="202"/>
      <c r="BD403" s="202"/>
      <c r="BE403" s="202"/>
      <c r="BF403" s="202"/>
      <c r="BG403" s="202"/>
      <c r="BH403" s="202"/>
      <c r="BI403" s="184"/>
      <c r="BJ403" s="184"/>
      <c r="BK403" s="184"/>
      <c r="BL403" s="184"/>
      <c r="BM403" s="184"/>
      <c r="BN403" s="184"/>
      <c r="BO403" s="202">
        <v>1710</v>
      </c>
      <c r="BP403" s="202">
        <v>1710</v>
      </c>
      <c r="BQ403" s="202">
        <v>1710</v>
      </c>
      <c r="BR403" s="202"/>
      <c r="BS403" s="202"/>
      <c r="BT403" s="202"/>
      <c r="BU403" s="146" cm="1">
        <f t="array" ref="BU403">LOOKUP(2,1/(Y403:BT403&lt;&gt;""),Y403:BH403)</f>
        <v>1710</v>
      </c>
      <c r="BV403" s="145" cm="1">
        <f t="array" aca="1" ref="BV403" ca="1">_xlfn.LET(
    _xlpm.last_col_idx, LOOKUP(2, 1/(Y403:BT403&lt;&gt;""), COLUMN(Y403:BT403) - COLUMN(Y403) + 1),
    _xlpm.header_val, INDEX($Y$3:$BT$3, 1, _xlpm.last_col_idx),
    _xlpm.header_date, IF(ISNUMBER(_xlpm.header_val), _xlpm.header_val, DATEVALUE(_xlpm.header_val)),
    IF(_xlpm.header_date &gt; TODAY(), TODAY(), _xlpm.header_date)
)</f>
        <v>46212</v>
      </c>
      <c r="BW403" s="209" cm="1">
        <f t="array" ref="BW403">(LOOKUP(2,1/(BH403:BT403&lt;&gt;""),BH403:BT403))/(INDEX(BH403:BT403,MATCH(TRUE,INDEX((BH403:BT403&lt;&gt;0),0),0)))-1</f>
        <v>0</v>
      </c>
      <c r="BX403" s="210">
        <f t="shared" si="78"/>
        <v>1.71</v>
      </c>
      <c r="BY403" s="210">
        <f t="shared" si="79"/>
        <v>10.089</v>
      </c>
      <c r="BZ403" s="210">
        <f ca="1">IF(L403="BR",'Impostos e Frete'!$F$6,IF(L403="EU",'Impostos e Frete'!$I$3,IF(L403="CN",'Impostos e Frete'!$I$4,IF(L403="JP",'Impostos e Frete'!$I$5,IF(L403="RU",'Impostos e Frete'!$I$7,"ERRO")))))</f>
        <v>0.1410816</v>
      </c>
      <c r="CA403" s="210">
        <f>VLOOKUP(L403,'Impostos e Frete'!$A$3:$B$7,2,0)*'Preços e Condições'!BY403</f>
        <v>1.3115700000000001</v>
      </c>
      <c r="CB403" s="147" t="str">
        <f t="shared" si="80"/>
        <v>ERRO</v>
      </c>
      <c r="CC403" s="147">
        <f>IF(X403="BRL",'Impostos e Frete'!$B$11,'Impostos e Frete'!$B$12)</f>
        <v>9.1999999999999998E-2</v>
      </c>
      <c r="CD403" s="211">
        <f t="shared" ca="1" si="81"/>
        <v>11.6336516</v>
      </c>
      <c r="CE403" s="212">
        <f t="shared" ca="1" si="82"/>
        <v>0.79108830880000003</v>
      </c>
      <c r="CF403" s="213">
        <f>VLOOKUP(L403,'Impostos e Frete'!$A$3:$C$7,3,0)</f>
        <v>105</v>
      </c>
      <c r="CG403" s="213">
        <f t="shared" si="83"/>
        <v>120</v>
      </c>
      <c r="CH403" s="213">
        <f t="shared" si="84"/>
        <v>15</v>
      </c>
      <c r="CI403" s="214">
        <f t="shared" ca="1" si="85"/>
        <v>-8.6282908615753939E-2</v>
      </c>
      <c r="CJ403" s="215">
        <f t="shared" ca="1" si="86"/>
        <v>11.547368691384246</v>
      </c>
      <c r="CK403" s="216">
        <f t="shared" ca="1" si="87"/>
        <v>0.78522107101412875</v>
      </c>
    </row>
    <row r="404" spans="1:89">
      <c r="A404" s="203">
        <v>7000456</v>
      </c>
      <c r="B404" s="186">
        <v>689</v>
      </c>
      <c r="C404" s="196">
        <v>68</v>
      </c>
      <c r="D404" s="196"/>
      <c r="E404" s="196" t="s">
        <v>50</v>
      </c>
      <c r="F404" s="179" t="s">
        <v>2</v>
      </c>
      <c r="G404" s="189" t="s">
        <v>87</v>
      </c>
      <c r="H404" s="178" t="s">
        <v>63</v>
      </c>
      <c r="I404" s="178">
        <v>32166</v>
      </c>
      <c r="J404" s="178"/>
      <c r="K404" s="178"/>
      <c r="L404" s="178" t="s">
        <v>59</v>
      </c>
      <c r="M404" s="178">
        <v>120</v>
      </c>
      <c r="N404" s="183"/>
      <c r="O404" s="178"/>
      <c r="P404" s="178"/>
      <c r="Q404" s="178"/>
      <c r="R404" s="178"/>
      <c r="S404" s="181"/>
      <c r="T404" s="181"/>
      <c r="U404" s="182"/>
      <c r="V404" s="182"/>
      <c r="W404" s="183">
        <v>70</v>
      </c>
      <c r="X404" s="182" t="s">
        <v>51</v>
      </c>
      <c r="Y404" s="202"/>
      <c r="Z404" s="202"/>
      <c r="AA404" s="202"/>
      <c r="AB404" s="202"/>
      <c r="AC404" s="202"/>
      <c r="AD404" s="202"/>
      <c r="AE404" s="202"/>
      <c r="AF404" s="202"/>
      <c r="AG404" s="202"/>
      <c r="AH404" s="202"/>
      <c r="AI404" s="202"/>
      <c r="AJ404" s="202"/>
      <c r="AK404" s="202"/>
      <c r="AL404" s="202"/>
      <c r="AM404" s="202"/>
      <c r="AN404" s="202"/>
      <c r="AO404" s="202"/>
      <c r="AP404" s="202"/>
      <c r="AQ404" s="202"/>
      <c r="AR404" s="202"/>
      <c r="AS404" s="202"/>
      <c r="AT404" s="202"/>
      <c r="AU404" s="202"/>
      <c r="AV404" s="202"/>
      <c r="AW404" s="202"/>
      <c r="AX404" s="202"/>
      <c r="AY404" s="202"/>
      <c r="AZ404" s="202"/>
      <c r="BA404" s="202"/>
      <c r="BB404" s="202"/>
      <c r="BC404" s="202"/>
      <c r="BD404" s="202"/>
      <c r="BE404" s="202"/>
      <c r="BF404" s="202"/>
      <c r="BG404" s="202"/>
      <c r="BH404" s="202"/>
      <c r="BI404" s="184"/>
      <c r="BJ404" s="184"/>
      <c r="BK404" s="184"/>
      <c r="BL404" s="202"/>
      <c r="BM404" s="202"/>
      <c r="BN404" s="202"/>
      <c r="BO404" s="202">
        <v>1750</v>
      </c>
      <c r="BP404" s="202">
        <v>1750</v>
      </c>
      <c r="BQ404" s="202">
        <v>1750</v>
      </c>
      <c r="BR404" s="202"/>
      <c r="BS404" s="202"/>
      <c r="BT404" s="202"/>
      <c r="BU404" s="146" cm="1">
        <f t="array" ref="BU404">LOOKUP(2,1/(Y404:BT404&lt;&gt;""),Y404:BH404)</f>
        <v>1750</v>
      </c>
      <c r="BV404" s="145" cm="1">
        <f t="array" aca="1" ref="BV404" ca="1">_xlfn.LET(
    _xlpm.last_col_idx, LOOKUP(2, 1/(Y404:BT404&lt;&gt;""), COLUMN(Y404:BT404) - COLUMN(Y404) + 1),
    _xlpm.header_val, INDEX($Y$3:$BT$3, 1, _xlpm.last_col_idx),
    _xlpm.header_date, IF(ISNUMBER(_xlpm.header_val), _xlpm.header_val, DATEVALUE(_xlpm.header_val)),
    IF(_xlpm.header_date &gt; TODAY(), TODAY(), _xlpm.header_date)
)</f>
        <v>46212</v>
      </c>
      <c r="BW404" s="209" cm="1">
        <f t="array" ref="BW404">(LOOKUP(2,1/(BH404:BT404&lt;&gt;""),BH404:BT404))/(INDEX(BH404:BT404,MATCH(TRUE,INDEX((BH404:BT404&lt;&gt;0),0),0)))-1</f>
        <v>0</v>
      </c>
      <c r="BX404" s="210">
        <f t="shared" si="78"/>
        <v>1.75</v>
      </c>
      <c r="BY404" s="210">
        <f t="shared" si="79"/>
        <v>10.325000000000001</v>
      </c>
      <c r="BZ404" s="210">
        <f ca="1">IF(L404="BR",'Impostos e Frete'!$F$6,IF(L404="EU",'Impostos e Frete'!$I$3,IF(L404="CN",'Impostos e Frete'!$I$4,IF(L404="JP",'Impostos e Frete'!$I$5,IF(L404="RU",'Impostos e Frete'!$I$7,"ERRO")))))</f>
        <v>0.1410816</v>
      </c>
      <c r="CA404" s="210">
        <f>VLOOKUP(L404,'Impostos e Frete'!$A$3:$B$7,2,0)*'Preços e Condições'!BY404</f>
        <v>1.3422500000000002</v>
      </c>
      <c r="CB404" s="147" t="str">
        <f t="shared" si="80"/>
        <v>ERRO</v>
      </c>
      <c r="CC404" s="147">
        <f>IF(X404="BRL",'Impostos e Frete'!$B$11,'Impostos e Frete'!$B$12)</f>
        <v>9.1999999999999998E-2</v>
      </c>
      <c r="CD404" s="211">
        <f t="shared" ca="1" si="81"/>
        <v>11.900331600000001</v>
      </c>
      <c r="CE404" s="212">
        <f t="shared" ca="1" si="82"/>
        <v>0.80922254880000011</v>
      </c>
      <c r="CF404" s="213">
        <f>VLOOKUP(L404,'Impostos e Frete'!$A$3:$C$7,3,0)</f>
        <v>105</v>
      </c>
      <c r="CG404" s="213">
        <f t="shared" si="83"/>
        <v>120</v>
      </c>
      <c r="CH404" s="213">
        <f t="shared" si="84"/>
        <v>15</v>
      </c>
      <c r="CI404" s="214">
        <f t="shared" ca="1" si="85"/>
        <v>-8.8260785112385776E-2</v>
      </c>
      <c r="CJ404" s="215">
        <f t="shared" ca="1" si="86"/>
        <v>11.812070814887615</v>
      </c>
      <c r="CK404" s="216">
        <f t="shared" ca="1" si="87"/>
        <v>0.80322081541235779</v>
      </c>
    </row>
    <row r="405" spans="1:89">
      <c r="A405" s="203">
        <v>7000456</v>
      </c>
      <c r="B405" s="186">
        <v>689</v>
      </c>
      <c r="C405" s="196">
        <v>68</v>
      </c>
      <c r="D405" s="196"/>
      <c r="E405" s="196" t="s">
        <v>50</v>
      </c>
      <c r="F405" s="179" t="s">
        <v>2</v>
      </c>
      <c r="G405" s="189" t="s">
        <v>87</v>
      </c>
      <c r="H405" s="178" t="s">
        <v>63</v>
      </c>
      <c r="I405" s="178">
        <v>32166</v>
      </c>
      <c r="J405" s="178"/>
      <c r="K405" s="178"/>
      <c r="L405" s="178" t="s">
        <v>59</v>
      </c>
      <c r="M405" s="178">
        <v>120</v>
      </c>
      <c r="N405" s="183"/>
      <c r="O405" s="178"/>
      <c r="P405" s="178"/>
      <c r="Q405" s="178"/>
      <c r="R405" s="178"/>
      <c r="S405" s="181"/>
      <c r="T405" s="181"/>
      <c r="U405" s="182"/>
      <c r="V405" s="182"/>
      <c r="W405" s="183">
        <v>50</v>
      </c>
      <c r="X405" s="182" t="s">
        <v>51</v>
      </c>
      <c r="Y405" s="202"/>
      <c r="Z405" s="202"/>
      <c r="AA405" s="202"/>
      <c r="AB405" s="202"/>
      <c r="AC405" s="202"/>
      <c r="AD405" s="202"/>
      <c r="AE405" s="202"/>
      <c r="AF405" s="202"/>
      <c r="AG405" s="202"/>
      <c r="AH405" s="202"/>
      <c r="AI405" s="202"/>
      <c r="AJ405" s="202"/>
      <c r="AK405" s="202"/>
      <c r="AL405" s="202"/>
      <c r="AM405" s="202"/>
      <c r="AN405" s="202"/>
      <c r="AO405" s="202"/>
      <c r="AP405" s="202"/>
      <c r="AQ405" s="202"/>
      <c r="AR405" s="202"/>
      <c r="AS405" s="202"/>
      <c r="AT405" s="202"/>
      <c r="AU405" s="202"/>
      <c r="AV405" s="202"/>
      <c r="AW405" s="202"/>
      <c r="AX405" s="202"/>
      <c r="AY405" s="202"/>
      <c r="AZ405" s="202"/>
      <c r="BA405" s="202"/>
      <c r="BB405" s="202"/>
      <c r="BC405" s="202"/>
      <c r="BD405" s="202"/>
      <c r="BE405" s="202"/>
      <c r="BF405" s="202"/>
      <c r="BG405" s="202"/>
      <c r="BH405" s="202"/>
      <c r="BI405" s="184"/>
      <c r="BJ405" s="184"/>
      <c r="BK405" s="184"/>
      <c r="BL405" s="202"/>
      <c r="BM405" s="202"/>
      <c r="BN405" s="202"/>
      <c r="BO405" s="202">
        <v>1780</v>
      </c>
      <c r="BP405" s="202">
        <v>1780</v>
      </c>
      <c r="BQ405" s="202">
        <v>1780</v>
      </c>
      <c r="BR405" s="202"/>
      <c r="BS405" s="202"/>
      <c r="BT405" s="202"/>
      <c r="BU405" s="146" cm="1">
        <f t="array" ref="BU405">LOOKUP(2,1/(Y405:BT405&lt;&gt;""),Y405:BH405)</f>
        <v>1780</v>
      </c>
      <c r="BV405" s="145" cm="1">
        <f t="array" aca="1" ref="BV405" ca="1">_xlfn.LET(
    _xlpm.last_col_idx, LOOKUP(2, 1/(Y405:BT405&lt;&gt;""), COLUMN(Y405:BT405) - COLUMN(Y405) + 1),
    _xlpm.header_val, INDEX($Y$3:$BT$3, 1, _xlpm.last_col_idx),
    _xlpm.header_date, IF(ISNUMBER(_xlpm.header_val), _xlpm.header_val, DATEVALUE(_xlpm.header_val)),
    IF(_xlpm.header_date &gt; TODAY(), TODAY(), _xlpm.header_date)
)</f>
        <v>46212</v>
      </c>
      <c r="BW405" s="209" cm="1">
        <f t="array" ref="BW405">(LOOKUP(2,1/(BH405:BT405&lt;&gt;""),BH405:BT405))/(INDEX(BH405:BT405,MATCH(TRUE,INDEX((BH405:BT405&lt;&gt;0),0),0)))-1</f>
        <v>0</v>
      </c>
      <c r="BX405" s="210">
        <f t="shared" si="78"/>
        <v>1.78</v>
      </c>
      <c r="BY405" s="210">
        <f t="shared" si="79"/>
        <v>10.502000000000001</v>
      </c>
      <c r="BZ405" s="210">
        <f ca="1">IF(L405="BR",'Impostos e Frete'!$F$6,IF(L405="EU",'Impostos e Frete'!$I$3,IF(L405="CN",'Impostos e Frete'!$I$4,IF(L405="JP",'Impostos e Frete'!$I$5,IF(L405="RU",'Impostos e Frete'!$I$7,"ERRO")))))</f>
        <v>0.1410816</v>
      </c>
      <c r="CA405" s="210">
        <f>VLOOKUP(L405,'Impostos e Frete'!$A$3:$B$7,2,0)*'Preços e Condições'!BY405</f>
        <v>1.3652600000000001</v>
      </c>
      <c r="CB405" s="147" t="str">
        <f t="shared" si="80"/>
        <v>ERRO</v>
      </c>
      <c r="CC405" s="147">
        <f>IF(X405="BRL",'Impostos e Frete'!$B$11,'Impostos e Frete'!$B$12)</f>
        <v>9.1999999999999998E-2</v>
      </c>
      <c r="CD405" s="211">
        <f t="shared" ca="1" si="81"/>
        <v>12.100341600000002</v>
      </c>
      <c r="CE405" s="212">
        <f t="shared" ca="1" si="82"/>
        <v>0.82282322880000014</v>
      </c>
      <c r="CF405" s="213">
        <f>VLOOKUP(L405,'Impostos e Frete'!$A$3:$C$7,3,0)</f>
        <v>105</v>
      </c>
      <c r="CG405" s="213">
        <f t="shared" si="83"/>
        <v>120</v>
      </c>
      <c r="CH405" s="213">
        <f t="shared" si="84"/>
        <v>15</v>
      </c>
      <c r="CI405" s="214">
        <f t="shared" ca="1" si="85"/>
        <v>-8.9744192484859653E-2</v>
      </c>
      <c r="CJ405" s="215">
        <f t="shared" ca="1" si="86"/>
        <v>12.010597407515142</v>
      </c>
      <c r="CK405" s="216">
        <f t="shared" ca="1" si="87"/>
        <v>0.81672062371102971</v>
      </c>
    </row>
    <row r="406" spans="1:89">
      <c r="A406" s="203">
        <v>7000456</v>
      </c>
      <c r="B406" s="186">
        <v>689</v>
      </c>
      <c r="C406" s="196">
        <v>68</v>
      </c>
      <c r="D406" s="196"/>
      <c r="E406" s="196" t="s">
        <v>50</v>
      </c>
      <c r="F406" s="179" t="s">
        <v>2</v>
      </c>
      <c r="G406" s="189" t="s">
        <v>87</v>
      </c>
      <c r="H406" s="178" t="s">
        <v>63</v>
      </c>
      <c r="I406" s="178">
        <v>32166</v>
      </c>
      <c r="J406" s="178"/>
      <c r="K406" s="178"/>
      <c r="L406" s="178" t="s">
        <v>59</v>
      </c>
      <c r="M406" s="178">
        <v>120</v>
      </c>
      <c r="N406" s="183"/>
      <c r="O406" s="178"/>
      <c r="P406" s="178"/>
      <c r="Q406" s="178"/>
      <c r="R406" s="178"/>
      <c r="S406" s="181"/>
      <c r="T406" s="181"/>
      <c r="U406" s="182"/>
      <c r="V406" s="182"/>
      <c r="W406" s="183">
        <v>30</v>
      </c>
      <c r="X406" s="182" t="s">
        <v>51</v>
      </c>
      <c r="Y406" s="202"/>
      <c r="Z406" s="202"/>
      <c r="AA406" s="202"/>
      <c r="AB406" s="202"/>
      <c r="AC406" s="202"/>
      <c r="AD406" s="202"/>
      <c r="AE406" s="202"/>
      <c r="AF406" s="202"/>
      <c r="AG406" s="202"/>
      <c r="AH406" s="202"/>
      <c r="AI406" s="202"/>
      <c r="AJ406" s="202"/>
      <c r="AK406" s="202"/>
      <c r="AL406" s="202"/>
      <c r="AM406" s="202"/>
      <c r="AN406" s="202"/>
      <c r="AO406" s="202"/>
      <c r="AP406" s="202"/>
      <c r="AQ406" s="202"/>
      <c r="AR406" s="202"/>
      <c r="AS406" s="202"/>
      <c r="AT406" s="202"/>
      <c r="AU406" s="202"/>
      <c r="AV406" s="202"/>
      <c r="AW406" s="202"/>
      <c r="AX406" s="202"/>
      <c r="AY406" s="202"/>
      <c r="AZ406" s="202"/>
      <c r="BA406" s="202"/>
      <c r="BB406" s="202"/>
      <c r="BC406" s="202"/>
      <c r="BD406" s="202"/>
      <c r="BE406" s="202"/>
      <c r="BF406" s="202"/>
      <c r="BG406" s="202"/>
      <c r="BH406" s="202"/>
      <c r="BI406" s="184"/>
      <c r="BJ406" s="184"/>
      <c r="BK406" s="184"/>
      <c r="BL406" s="202"/>
      <c r="BM406" s="202"/>
      <c r="BN406" s="202"/>
      <c r="BO406" s="202">
        <v>1830</v>
      </c>
      <c r="BP406" s="202">
        <v>1830</v>
      </c>
      <c r="BQ406" s="202">
        <v>1830</v>
      </c>
      <c r="BR406" s="202"/>
      <c r="BS406" s="202"/>
      <c r="BT406" s="202"/>
      <c r="BU406" s="146" cm="1">
        <f t="array" ref="BU406">LOOKUP(2,1/(Y406:BT406&lt;&gt;""),Y406:BH406)</f>
        <v>1830</v>
      </c>
      <c r="BV406" s="145" cm="1">
        <f t="array" aca="1" ref="BV406" ca="1">_xlfn.LET(
    _xlpm.last_col_idx, LOOKUP(2, 1/(Y406:BT406&lt;&gt;""), COLUMN(Y406:BT406) - COLUMN(Y406) + 1),
    _xlpm.header_val, INDEX($Y$3:$BT$3, 1, _xlpm.last_col_idx),
    _xlpm.header_date, IF(ISNUMBER(_xlpm.header_val), _xlpm.header_val, DATEVALUE(_xlpm.header_val)),
    IF(_xlpm.header_date &gt; TODAY(), TODAY(), _xlpm.header_date)
)</f>
        <v>46212</v>
      </c>
      <c r="BW406" s="209" cm="1">
        <f t="array" ref="BW406">(LOOKUP(2,1/(BH406:BT406&lt;&gt;""),BH406:BT406))/(INDEX(BH406:BT406,MATCH(TRUE,INDEX((BH406:BT406&lt;&gt;0),0),0)))-1</f>
        <v>0</v>
      </c>
      <c r="BX406" s="210">
        <f t="shared" si="78"/>
        <v>1.83</v>
      </c>
      <c r="BY406" s="210">
        <f t="shared" si="79"/>
        <v>10.797000000000001</v>
      </c>
      <c r="BZ406" s="210">
        <f ca="1">IF(L406="BR",'Impostos e Frete'!$F$6,IF(L406="EU",'Impostos e Frete'!$I$3,IF(L406="CN",'Impostos e Frete'!$I$4,IF(L406="JP",'Impostos e Frete'!$I$5,IF(L406="RU",'Impostos e Frete'!$I$7,"ERRO")))))</f>
        <v>0.1410816</v>
      </c>
      <c r="CA406" s="210">
        <f>VLOOKUP(L406,'Impostos e Frete'!$A$3:$B$7,2,0)*'Preços e Condições'!BY406</f>
        <v>1.40361</v>
      </c>
      <c r="CB406" s="147" t="str">
        <f t="shared" si="80"/>
        <v>ERRO</v>
      </c>
      <c r="CC406" s="147">
        <f>IF(X406="BRL",'Impostos e Frete'!$B$11,'Impostos e Frete'!$B$12)</f>
        <v>9.1999999999999998E-2</v>
      </c>
      <c r="CD406" s="211">
        <f t="shared" ca="1" si="81"/>
        <v>12.433691600000001</v>
      </c>
      <c r="CE406" s="212">
        <f t="shared" ca="1" si="82"/>
        <v>0.84549102880000004</v>
      </c>
      <c r="CF406" s="213">
        <f>VLOOKUP(L406,'Impostos e Frete'!$A$3:$C$7,3,0)</f>
        <v>105</v>
      </c>
      <c r="CG406" s="213">
        <f t="shared" si="83"/>
        <v>120</v>
      </c>
      <c r="CH406" s="213">
        <f t="shared" si="84"/>
        <v>15</v>
      </c>
      <c r="CI406" s="214">
        <f t="shared" ca="1" si="85"/>
        <v>-9.2216538105649448E-2</v>
      </c>
      <c r="CJ406" s="215">
        <f t="shared" ca="1" si="86"/>
        <v>12.341475061894352</v>
      </c>
      <c r="CK406" s="216">
        <f t="shared" ca="1" si="87"/>
        <v>0.83922030420881588</v>
      </c>
    </row>
    <row r="407" spans="1:89">
      <c r="A407" s="203">
        <v>7000457</v>
      </c>
      <c r="B407" s="186">
        <v>128</v>
      </c>
      <c r="C407" s="196">
        <v>65</v>
      </c>
      <c r="D407" s="196"/>
      <c r="E407" s="196" t="s">
        <v>50</v>
      </c>
      <c r="F407" s="179" t="s">
        <v>0</v>
      </c>
      <c r="G407" s="180" t="s">
        <v>72</v>
      </c>
      <c r="H407" s="178" t="s">
        <v>43</v>
      </c>
      <c r="I407" s="178"/>
      <c r="J407" s="178"/>
      <c r="K407" s="178"/>
      <c r="L407" s="178" t="s">
        <v>60</v>
      </c>
      <c r="M407" s="178">
        <v>90</v>
      </c>
      <c r="N407" s="178">
        <v>3300</v>
      </c>
      <c r="O407" s="178"/>
      <c r="P407" s="178"/>
      <c r="Q407" s="178"/>
      <c r="R407" s="178" t="s">
        <v>19</v>
      </c>
      <c r="S407" s="181"/>
      <c r="T407" s="181"/>
      <c r="U407" s="182"/>
      <c r="V407" s="182" t="s">
        <v>35</v>
      </c>
      <c r="W407" s="183">
        <v>100</v>
      </c>
      <c r="X407" s="182" t="s">
        <v>267</v>
      </c>
      <c r="Y407" s="202"/>
      <c r="Z407" s="202"/>
      <c r="AA407" s="202"/>
      <c r="AB407" s="202"/>
      <c r="AC407" s="202"/>
      <c r="AD407" s="202"/>
      <c r="AE407" s="202"/>
      <c r="AF407" s="202"/>
      <c r="AG407" s="202"/>
      <c r="AH407" s="202"/>
      <c r="AI407" s="202"/>
      <c r="AJ407" s="202"/>
      <c r="AK407" s="202"/>
      <c r="AL407" s="202"/>
      <c r="AM407" s="202"/>
      <c r="AN407" s="202"/>
      <c r="AO407" s="202"/>
      <c r="AP407" s="202"/>
      <c r="AQ407" s="202"/>
      <c r="AR407" s="202"/>
      <c r="AS407" s="202"/>
      <c r="AT407" s="202"/>
      <c r="AU407" s="202"/>
      <c r="AV407" s="202"/>
      <c r="AW407" s="202"/>
      <c r="AX407" s="202"/>
      <c r="AY407" s="202"/>
      <c r="AZ407" s="202"/>
      <c r="BA407" s="202"/>
      <c r="BB407" s="202"/>
      <c r="BC407" s="202"/>
      <c r="BD407" s="202"/>
      <c r="BE407" s="202"/>
      <c r="BF407" s="202"/>
      <c r="BG407" s="202"/>
      <c r="BH407" s="202"/>
      <c r="BI407" s="184">
        <v>10950</v>
      </c>
      <c r="BJ407" s="184">
        <v>10950</v>
      </c>
      <c r="BK407" s="184">
        <v>10950</v>
      </c>
      <c r="BL407" s="202">
        <v>10950</v>
      </c>
      <c r="BM407" s="202">
        <v>10950</v>
      </c>
      <c r="BN407" s="202">
        <v>10950</v>
      </c>
      <c r="BO407" s="202"/>
      <c r="BP407" s="202"/>
      <c r="BQ407" s="202"/>
      <c r="BR407" s="202"/>
      <c r="BS407" s="202"/>
      <c r="BT407" s="202"/>
      <c r="BU407" s="146" cm="1">
        <f t="array" ref="BU407">LOOKUP(2,1/(Y407:BT407&lt;&gt;""),Y407:BH407)</f>
        <v>10950</v>
      </c>
      <c r="BV407" s="145" cm="1">
        <f t="array" aca="1" ref="BV407" ca="1">_xlfn.LET(
    _xlpm.last_col_idx, LOOKUP(2, 1/(Y407:BT407&lt;&gt;""), COLUMN(Y407:BT407) - COLUMN(Y407) + 1),
    _xlpm.header_val, INDEX($Y$3:$BT$3, 1, _xlpm.last_col_idx),
    _xlpm.header_date, IF(ISNUMBER(_xlpm.header_val), _xlpm.header_val, DATEVALUE(_xlpm.header_val)),
    IF(_xlpm.header_date &gt; TODAY(), TODAY(), _xlpm.header_date)
)</f>
        <v>46174</v>
      </c>
      <c r="BW407" s="209" cm="1">
        <f t="array" ref="BW407">(LOOKUP(2,1/(BH407:BT407&lt;&gt;""),BH407:BT407))/(INDEX(BH407:BT407,MATCH(TRUE,INDEX((BH407:BT407&lt;&gt;0),0),0)))-1</f>
        <v>0</v>
      </c>
      <c r="BX407" s="210">
        <f t="shared" si="78"/>
        <v>10.95</v>
      </c>
      <c r="BY407" s="210">
        <f t="shared" si="79"/>
        <v>8.2124999999999986</v>
      </c>
      <c r="BZ407" s="210">
        <f ca="1">IF(L407="BR",'Impostos e Frete'!$F$6,IF(L407="EU",'Impostos e Frete'!$I$3,IF(L407="CN",'Impostos e Frete'!$I$4,IF(L407="JP",'Impostos e Frete'!$I$5,IF(L407="RU",'Impostos e Frete'!$I$7,"ERRO")))))</f>
        <v>1.1330439999999999</v>
      </c>
      <c r="CA407" s="210">
        <f>VLOOKUP(L407,'Impostos e Frete'!$A$3:$B$7,2,0)*'Preços e Condições'!BY407</f>
        <v>1.1497499999999998</v>
      </c>
      <c r="CB407" s="147">
        <f t="shared" si="80"/>
        <v>0</v>
      </c>
      <c r="CC407" s="147">
        <f>IF(X407="BRL",'Impostos e Frete'!$B$11,'Impostos e Frete'!$B$12)</f>
        <v>9.1999999999999998E-2</v>
      </c>
      <c r="CD407" s="211">
        <f t="shared" ca="1" si="81"/>
        <v>10.587293999999998</v>
      </c>
      <c r="CE407" s="212">
        <f t="shared" ca="1" si="82"/>
        <v>0.68817410999999995</v>
      </c>
      <c r="CF407" s="213">
        <f>VLOOKUP(L407,'Impostos e Frete'!$A$3:$C$7,3,0)</f>
        <v>120</v>
      </c>
      <c r="CG407" s="213">
        <f t="shared" si="83"/>
        <v>90</v>
      </c>
      <c r="CH407" s="213">
        <f t="shared" si="84"/>
        <v>-30</v>
      </c>
      <c r="CI407" s="214">
        <f t="shared" ca="1" si="85"/>
        <v>0.15880940999999815</v>
      </c>
      <c r="CJ407" s="215">
        <f t="shared" ca="1" si="86"/>
        <v>10.746103409999996</v>
      </c>
      <c r="CK407" s="216">
        <f t="shared" ca="1" si="87"/>
        <v>0.69849672164999976</v>
      </c>
    </row>
    <row r="408" spans="1:89">
      <c r="A408" s="203">
        <v>7000458</v>
      </c>
      <c r="B408" s="186" t="s">
        <v>372</v>
      </c>
      <c r="C408" s="196">
        <v>65</v>
      </c>
      <c r="D408" s="178"/>
      <c r="E408" s="196" t="s">
        <v>50</v>
      </c>
      <c r="F408" s="197" t="s">
        <v>108</v>
      </c>
      <c r="G408" s="189" t="s">
        <v>115</v>
      </c>
      <c r="H408" s="178" t="s">
        <v>43</v>
      </c>
      <c r="I408" s="178" t="s">
        <v>119</v>
      </c>
      <c r="J408" s="178"/>
      <c r="K408" s="178"/>
      <c r="L408" s="178" t="s">
        <v>59</v>
      </c>
      <c r="M408" s="178">
        <v>30</v>
      </c>
      <c r="N408" s="178">
        <v>500</v>
      </c>
      <c r="O408" s="178"/>
      <c r="P408" s="178"/>
      <c r="Q408" s="178"/>
      <c r="R408" s="178" t="s">
        <v>19</v>
      </c>
      <c r="S408" s="181"/>
      <c r="T408" s="181"/>
      <c r="U408" s="182"/>
      <c r="V408" s="182" t="s">
        <v>35</v>
      </c>
      <c r="W408" s="183">
        <v>80</v>
      </c>
      <c r="X408" s="182" t="s">
        <v>51</v>
      </c>
      <c r="Y408" s="202"/>
      <c r="Z408" s="202"/>
      <c r="AA408" s="202"/>
      <c r="AB408" s="202"/>
      <c r="AC408" s="202"/>
      <c r="AD408" s="202"/>
      <c r="AE408" s="202"/>
      <c r="AF408" s="202"/>
      <c r="AG408" s="202"/>
      <c r="AH408" s="202"/>
      <c r="AI408" s="202"/>
      <c r="AJ408" s="202"/>
      <c r="AK408" s="202"/>
      <c r="AL408" s="202"/>
      <c r="AM408" s="202"/>
      <c r="AN408" s="202"/>
      <c r="AO408" s="202"/>
      <c r="AP408" s="202"/>
      <c r="AQ408" s="202"/>
      <c r="AR408" s="202"/>
      <c r="AS408" s="202"/>
      <c r="AT408" s="202"/>
      <c r="AU408" s="202"/>
      <c r="AV408" s="202"/>
      <c r="AW408" s="202"/>
      <c r="AX408" s="202"/>
      <c r="AY408" s="202"/>
      <c r="AZ408" s="202"/>
      <c r="BA408" s="202"/>
      <c r="BB408" s="202"/>
      <c r="BC408" s="202"/>
      <c r="BD408" s="202"/>
      <c r="BE408" s="202"/>
      <c r="BF408" s="202"/>
      <c r="BG408" s="202"/>
      <c r="BH408" s="202"/>
      <c r="BI408" s="184">
        <v>1990</v>
      </c>
      <c r="BJ408" s="184">
        <v>1990</v>
      </c>
      <c r="BK408" s="184">
        <v>1990</v>
      </c>
      <c r="BL408" s="184">
        <v>1960</v>
      </c>
      <c r="BM408" s="184">
        <v>1960</v>
      </c>
      <c r="BN408" s="184">
        <v>1960</v>
      </c>
      <c r="BO408" s="202">
        <v>2040</v>
      </c>
      <c r="BP408" s="202">
        <v>2040</v>
      </c>
      <c r="BQ408" s="202">
        <v>2040</v>
      </c>
      <c r="BR408" s="202"/>
      <c r="BS408" s="202"/>
      <c r="BT408" s="202"/>
      <c r="BU408" s="146" cm="1">
        <f t="array" ref="BU408">LOOKUP(2,1/(Y408:BT408&lt;&gt;""),Y408:BH408)</f>
        <v>2040</v>
      </c>
      <c r="BV408" s="145" cm="1">
        <f t="array" aca="1" ref="BV408" ca="1">_xlfn.LET(
    _xlpm.last_col_idx, LOOKUP(2, 1/(Y408:BT408&lt;&gt;""), COLUMN(Y408:BT408) - COLUMN(Y408) + 1),
    _xlpm.header_val, INDEX($Y$3:$BT$3, 1, _xlpm.last_col_idx),
    _xlpm.header_date, IF(ISNUMBER(_xlpm.header_val), _xlpm.header_val, DATEVALUE(_xlpm.header_val)),
    IF(_xlpm.header_date &gt; TODAY(), TODAY(), _xlpm.header_date)
)</f>
        <v>46212</v>
      </c>
      <c r="BW408" s="209" cm="1">
        <f t="array" ref="BW408">(LOOKUP(2,1/(BH408:BT408&lt;&gt;""),BH408:BT408))/(INDEX(BH408:BT408,MATCH(TRUE,INDEX((BH408:BT408&lt;&gt;0),0),0)))-1</f>
        <v>2.5125628140703515E-2</v>
      </c>
      <c r="BX408" s="210">
        <f t="shared" si="78"/>
        <v>2.04</v>
      </c>
      <c r="BY408" s="210">
        <f t="shared" si="79"/>
        <v>12.036000000000001</v>
      </c>
      <c r="BZ408" s="210">
        <f ca="1">IF(L408="BR",'Impostos e Frete'!$F$6,IF(L408="EU",'Impostos e Frete'!$I$3,IF(L408="CN",'Impostos e Frete'!$I$4,IF(L408="JP",'Impostos e Frete'!$I$5,IF(L408="RU",'Impostos e Frete'!$I$7,"ERRO")))))</f>
        <v>0.1410816</v>
      </c>
      <c r="CA408" s="210">
        <f>VLOOKUP(L408,'Impostos e Frete'!$A$3:$B$7,2,0)*'Preços e Condições'!BY408</f>
        <v>1.5646800000000003</v>
      </c>
      <c r="CB408" s="147">
        <f t="shared" si="80"/>
        <v>0</v>
      </c>
      <c r="CC408" s="147">
        <f>IF(X408="BRL",'Impostos e Frete'!$B$11,'Impostos e Frete'!$B$12)</f>
        <v>9.1999999999999998E-2</v>
      </c>
      <c r="CD408" s="211">
        <f t="shared" ca="1" si="81"/>
        <v>13.833761600000003</v>
      </c>
      <c r="CE408" s="212">
        <f t="shared" ca="1" si="82"/>
        <v>0.89919450400000023</v>
      </c>
      <c r="CF408" s="213">
        <f>VLOOKUP(L408,'Impostos e Frete'!$A$3:$C$7,3,0)</f>
        <v>105</v>
      </c>
      <c r="CG408" s="213">
        <f t="shared" si="83"/>
        <v>30</v>
      </c>
      <c r="CH408" s="213">
        <f t="shared" si="84"/>
        <v>-75</v>
      </c>
      <c r="CI408" s="214">
        <f t="shared" ca="1" si="85"/>
        <v>0.52461674123597213</v>
      </c>
      <c r="CJ408" s="215">
        <f t="shared" ca="1" si="86"/>
        <v>14.358378341235975</v>
      </c>
      <c r="CK408" s="216">
        <f t="shared" ca="1" si="87"/>
        <v>0.93329459218033839</v>
      </c>
    </row>
    <row r="409" spans="1:89">
      <c r="A409" s="195">
        <v>7000459</v>
      </c>
      <c r="B409" s="186">
        <v>104</v>
      </c>
      <c r="C409" s="196">
        <v>70</v>
      </c>
      <c r="D409" s="178"/>
      <c r="E409" s="196" t="s">
        <v>50</v>
      </c>
      <c r="F409" s="197" t="s">
        <v>0</v>
      </c>
      <c r="G409" s="180" t="s">
        <v>71</v>
      </c>
      <c r="H409" s="178" t="s">
        <v>43</v>
      </c>
      <c r="I409" s="178"/>
      <c r="J409" s="178"/>
      <c r="K409" s="178"/>
      <c r="L409" s="178" t="s">
        <v>60</v>
      </c>
      <c r="M409" s="178">
        <v>90</v>
      </c>
      <c r="N409" s="178">
        <v>3300</v>
      </c>
      <c r="O409" s="178"/>
      <c r="P409" s="178"/>
      <c r="Q409" s="178"/>
      <c r="R409" s="178" t="s">
        <v>19</v>
      </c>
      <c r="S409" s="181"/>
      <c r="T409" s="181"/>
      <c r="U409" s="182"/>
      <c r="V409" s="182" t="s">
        <v>35</v>
      </c>
      <c r="W409" s="183">
        <v>100</v>
      </c>
      <c r="X409" s="182" t="s">
        <v>267</v>
      </c>
      <c r="Y409" s="184"/>
      <c r="Z409" s="184"/>
      <c r="AA409" s="184"/>
      <c r="AB409" s="184"/>
      <c r="AC409" s="184"/>
      <c r="AD409" s="184"/>
      <c r="AE409" s="184"/>
      <c r="AF409" s="184"/>
      <c r="AG409" s="184"/>
      <c r="AH409" s="184"/>
      <c r="AI409" s="184"/>
      <c r="AJ409" s="184"/>
      <c r="AK409" s="184"/>
      <c r="AL409" s="184"/>
      <c r="AM409" s="184"/>
      <c r="AN409" s="184"/>
      <c r="AO409" s="184"/>
      <c r="AP409" s="184"/>
      <c r="AQ409" s="184"/>
      <c r="AR409" s="184"/>
      <c r="AS409" s="184"/>
      <c r="AT409" s="184"/>
      <c r="AU409" s="184"/>
      <c r="AV409" s="184"/>
      <c r="AW409" s="184"/>
      <c r="AX409" s="184"/>
      <c r="AY409" s="184"/>
      <c r="AZ409" s="184"/>
      <c r="BA409" s="184"/>
      <c r="BB409" s="184"/>
      <c r="BC409" s="184"/>
      <c r="BD409" s="184"/>
      <c r="BE409" s="184"/>
      <c r="BF409" s="184"/>
      <c r="BG409" s="184"/>
      <c r="BH409" s="184"/>
      <c r="BI409" s="184">
        <v>11650</v>
      </c>
      <c r="BJ409" s="184">
        <v>11650</v>
      </c>
      <c r="BK409" s="184">
        <v>11650</v>
      </c>
      <c r="BL409" s="184">
        <v>11650</v>
      </c>
      <c r="BM409" s="184">
        <v>11650</v>
      </c>
      <c r="BN409" s="184">
        <v>11650</v>
      </c>
      <c r="BO409" s="184"/>
      <c r="BP409" s="184"/>
      <c r="BQ409" s="184"/>
      <c r="BR409" s="184"/>
      <c r="BS409" s="184"/>
      <c r="BT409" s="184"/>
      <c r="BU409" s="146" cm="1">
        <f t="array" ref="BU409">LOOKUP(2,1/(Y409:BT409&lt;&gt;""),Y409:BH409)</f>
        <v>11650</v>
      </c>
      <c r="BV409" s="145" cm="1">
        <f t="array" aca="1" ref="BV409" ca="1">_xlfn.LET(
    _xlpm.last_col_idx, LOOKUP(2, 1/(Y409:BT409&lt;&gt;""), COLUMN(Y409:BT409) - COLUMN(Y409) + 1),
    _xlpm.header_val, INDEX($Y$3:$BT$3, 1, _xlpm.last_col_idx),
    _xlpm.header_date, IF(ISNUMBER(_xlpm.header_val), _xlpm.header_val, DATEVALUE(_xlpm.header_val)),
    IF(_xlpm.header_date &gt; TODAY(), TODAY(), _xlpm.header_date)
)</f>
        <v>46174</v>
      </c>
      <c r="BW409" s="209" cm="1">
        <f t="array" ref="BW409">(LOOKUP(2,1/(BH409:BT409&lt;&gt;""),BH409:BT409))/(INDEX(BH409:BT409,MATCH(TRUE,INDEX((BH409:BT409&lt;&gt;0),0),0)))-1</f>
        <v>0</v>
      </c>
      <c r="BX409" s="210">
        <f t="shared" si="78"/>
        <v>11.65</v>
      </c>
      <c r="BY409" s="210">
        <f t="shared" si="79"/>
        <v>8.7375000000000007</v>
      </c>
      <c r="BZ409" s="210">
        <f ca="1">IF(L409="BR",'Impostos e Frete'!$F$6,IF(L409="EU",'Impostos e Frete'!$I$3,IF(L409="CN",'Impostos e Frete'!$I$4,IF(L409="JP",'Impostos e Frete'!$I$5,IF(L409="RU",'Impostos e Frete'!$I$7,"ERRO")))))</f>
        <v>1.1330439999999999</v>
      </c>
      <c r="CA409" s="210">
        <f>VLOOKUP(L409,'Impostos e Frete'!$A$3:$B$7,2,0)*'Preços e Condições'!BY409</f>
        <v>1.2232500000000002</v>
      </c>
      <c r="CB409" s="147">
        <f t="shared" si="80"/>
        <v>0</v>
      </c>
      <c r="CC409" s="147">
        <f>IF(X409="BRL",'Impostos e Frete'!$B$11,'Impostos e Frete'!$B$12)</f>
        <v>9.1999999999999998E-2</v>
      </c>
      <c r="CD409" s="211">
        <f t="shared" ca="1" si="81"/>
        <v>11.185794000000001</v>
      </c>
      <c r="CE409" s="212">
        <f t="shared" ca="1" si="82"/>
        <v>0.78300558000000009</v>
      </c>
      <c r="CF409" s="213">
        <f>VLOOKUP(L409,'Impostos e Frete'!$A$3:$C$7,3,0)</f>
        <v>120</v>
      </c>
      <c r="CG409" s="213">
        <f t="shared" si="83"/>
        <v>90</v>
      </c>
      <c r="CH409" s="213">
        <f t="shared" si="84"/>
        <v>-30</v>
      </c>
      <c r="CI409" s="214">
        <f t="shared" ca="1" si="85"/>
        <v>0.16778690999999846</v>
      </c>
      <c r="CJ409" s="215">
        <f t="shared" ca="1" si="86"/>
        <v>11.35358091</v>
      </c>
      <c r="CK409" s="216">
        <f t="shared" ca="1" si="87"/>
        <v>0.79475066369999992</v>
      </c>
    </row>
    <row r="410" spans="1:89">
      <c r="A410" s="203">
        <v>7000461</v>
      </c>
      <c r="B410" s="186">
        <v>104</v>
      </c>
      <c r="C410" s="196">
        <v>70</v>
      </c>
      <c r="D410" s="178"/>
      <c r="E410" s="196" t="s">
        <v>50</v>
      </c>
      <c r="F410" s="197" t="s">
        <v>108</v>
      </c>
      <c r="G410" s="189" t="s">
        <v>439</v>
      </c>
      <c r="H410" s="178" t="s">
        <v>43</v>
      </c>
      <c r="I410" s="178" t="s">
        <v>118</v>
      </c>
      <c r="J410" s="178"/>
      <c r="K410" s="178"/>
      <c r="L410" s="178" t="s">
        <v>59</v>
      </c>
      <c r="M410" s="178">
        <v>30</v>
      </c>
      <c r="N410" s="178">
        <v>500</v>
      </c>
      <c r="O410" s="178"/>
      <c r="P410" s="178"/>
      <c r="Q410" s="178"/>
      <c r="R410" s="178" t="s">
        <v>19</v>
      </c>
      <c r="S410" s="181"/>
      <c r="T410" s="181"/>
      <c r="U410" s="182"/>
      <c r="V410" s="182" t="s">
        <v>35</v>
      </c>
      <c r="W410" s="183">
        <v>80</v>
      </c>
      <c r="X410" s="182" t="s">
        <v>51</v>
      </c>
      <c r="Y410" s="184"/>
      <c r="Z410" s="184"/>
      <c r="AA410" s="184"/>
      <c r="AB410" s="184"/>
      <c r="AC410" s="184"/>
      <c r="AD410" s="184"/>
      <c r="AE410" s="184"/>
      <c r="AF410" s="184"/>
      <c r="AG410" s="184"/>
      <c r="AH410" s="184"/>
      <c r="AI410" s="184"/>
      <c r="AJ410" s="184"/>
      <c r="AK410" s="184"/>
      <c r="AL410" s="184"/>
      <c r="AM410" s="184"/>
      <c r="AN410" s="184"/>
      <c r="AO410" s="184"/>
      <c r="AP410" s="184"/>
      <c r="AQ410" s="184"/>
      <c r="AR410" s="184"/>
      <c r="AS410" s="184"/>
      <c r="AT410" s="184"/>
      <c r="AU410" s="184"/>
      <c r="AV410" s="184"/>
      <c r="AW410" s="184"/>
      <c r="AX410" s="184"/>
      <c r="AY410" s="184"/>
      <c r="AZ410" s="184"/>
      <c r="BA410" s="184"/>
      <c r="BB410" s="184"/>
      <c r="BC410" s="184"/>
      <c r="BD410" s="184"/>
      <c r="BE410" s="184"/>
      <c r="BF410" s="184"/>
      <c r="BG410" s="184"/>
      <c r="BH410" s="184"/>
      <c r="BI410" s="184">
        <v>2130</v>
      </c>
      <c r="BJ410" s="184">
        <v>2130</v>
      </c>
      <c r="BK410" s="184">
        <v>2130</v>
      </c>
      <c r="BL410" s="184">
        <v>2690</v>
      </c>
      <c r="BM410" s="184">
        <v>2690</v>
      </c>
      <c r="BN410" s="184">
        <v>2690</v>
      </c>
      <c r="BO410" s="184">
        <v>2250</v>
      </c>
      <c r="BP410" s="184">
        <v>2250</v>
      </c>
      <c r="BQ410" s="184">
        <v>2250</v>
      </c>
      <c r="BR410" s="184"/>
      <c r="BS410" s="184"/>
      <c r="BT410" s="184"/>
      <c r="BU410" s="146" cm="1">
        <f t="array" ref="BU410">LOOKUP(2,1/(Y410:BT410&lt;&gt;""),Y410:BH410)</f>
        <v>2250</v>
      </c>
      <c r="BV410" s="145" cm="1">
        <f t="array" aca="1" ref="BV410" ca="1">_xlfn.LET(
    _xlpm.last_col_idx, LOOKUP(2, 1/(Y410:BT410&lt;&gt;""), COLUMN(Y410:BT410) - COLUMN(Y410) + 1),
    _xlpm.header_val, INDEX($Y$3:$BT$3, 1, _xlpm.last_col_idx),
    _xlpm.header_date, IF(ISNUMBER(_xlpm.header_val), _xlpm.header_val, DATEVALUE(_xlpm.header_val)),
    IF(_xlpm.header_date &gt; TODAY(), TODAY(), _xlpm.header_date)
)</f>
        <v>46212</v>
      </c>
      <c r="BW410" s="209" cm="1">
        <f t="array" ref="BW410">(LOOKUP(2,1/(BH410:BT410&lt;&gt;""),BH410:BT410))/(INDEX(BH410:BT410,MATCH(TRUE,INDEX((BH410:BT410&lt;&gt;0),0),0)))-1</f>
        <v>5.6338028169014009E-2</v>
      </c>
      <c r="BX410" s="210">
        <f t="shared" si="78"/>
        <v>2.25</v>
      </c>
      <c r="BY410" s="210">
        <f t="shared" si="79"/>
        <v>13.275</v>
      </c>
      <c r="BZ410" s="210">
        <f ca="1">IF(L410="BR",'Impostos e Frete'!$F$6,IF(L410="EU",'Impostos e Frete'!$I$3,IF(L410="CN",'Impostos e Frete'!$I$4,IF(L410="JP",'Impostos e Frete'!$I$5,IF(L410="RU",'Impostos e Frete'!$I$7,"ERRO")))))</f>
        <v>0.1410816</v>
      </c>
      <c r="CA410" s="210">
        <f>VLOOKUP(L410,'Impostos e Frete'!$A$3:$B$7,2,0)*'Preços e Condições'!BY410</f>
        <v>1.7257500000000001</v>
      </c>
      <c r="CB410" s="147">
        <f t="shared" si="80"/>
        <v>0</v>
      </c>
      <c r="CC410" s="147">
        <f>IF(X410="BRL",'Impostos e Frete'!$B$11,'Impostos e Frete'!$B$12)</f>
        <v>9.1999999999999998E-2</v>
      </c>
      <c r="CD410" s="211">
        <f t="shared" ca="1" si="81"/>
        <v>15.2338316</v>
      </c>
      <c r="CE410" s="212">
        <f t="shared" ca="1" si="82"/>
        <v>1.066368212</v>
      </c>
      <c r="CF410" s="213">
        <f>VLOOKUP(L410,'Impostos e Frete'!$A$3:$C$7,3,0)</f>
        <v>105</v>
      </c>
      <c r="CG410" s="213">
        <f t="shared" si="83"/>
        <v>30</v>
      </c>
      <c r="CH410" s="213">
        <f t="shared" si="84"/>
        <v>-75</v>
      </c>
      <c r="CI410" s="214">
        <f t="shared" ca="1" si="85"/>
        <v>0.57771149464723948</v>
      </c>
      <c r="CJ410" s="215">
        <f t="shared" ca="1" si="86"/>
        <v>15.81154309464724</v>
      </c>
      <c r="CK410" s="216">
        <f t="shared" ca="1" si="87"/>
        <v>1.1068080166253067</v>
      </c>
    </row>
    <row r="411" spans="1:89">
      <c r="A411" s="203">
        <v>7000462</v>
      </c>
      <c r="B411" s="186">
        <v>2795</v>
      </c>
      <c r="C411" s="196">
        <v>65</v>
      </c>
      <c r="D411" s="178"/>
      <c r="E411" s="196" t="s">
        <v>50</v>
      </c>
      <c r="F411" s="197" t="s">
        <v>47</v>
      </c>
      <c r="G411" s="185" t="s">
        <v>155</v>
      </c>
      <c r="H411" s="178" t="s">
        <v>61</v>
      </c>
      <c r="I411" s="178">
        <v>6287</v>
      </c>
      <c r="J411" s="178"/>
      <c r="K411" s="178"/>
      <c r="L411" s="178" t="s">
        <v>59</v>
      </c>
      <c r="M411" s="178">
        <v>120</v>
      </c>
      <c r="N411" s="178">
        <v>300</v>
      </c>
      <c r="O411" s="178"/>
      <c r="P411" s="178"/>
      <c r="Q411" s="178"/>
      <c r="R411" s="178" t="s">
        <v>19</v>
      </c>
      <c r="S411" s="181"/>
      <c r="T411" s="181"/>
      <c r="U411" s="182"/>
      <c r="V411" s="182" t="s">
        <v>35</v>
      </c>
      <c r="W411" s="183">
        <v>50</v>
      </c>
      <c r="X411" s="182" t="s">
        <v>51</v>
      </c>
      <c r="Y411" s="184"/>
      <c r="Z411" s="184"/>
      <c r="AA411" s="184"/>
      <c r="AB411" s="184"/>
      <c r="AC411" s="184"/>
      <c r="AD411" s="184"/>
      <c r="AE411" s="184"/>
      <c r="AF411" s="184"/>
      <c r="AG411" s="184"/>
      <c r="AH411" s="184"/>
      <c r="AI411" s="184"/>
      <c r="AJ411" s="184"/>
      <c r="AK411" s="184"/>
      <c r="AL411" s="184"/>
      <c r="AM411" s="184"/>
      <c r="AN411" s="184"/>
      <c r="AO411" s="184"/>
      <c r="AP411" s="184"/>
      <c r="AQ411" s="184"/>
      <c r="AR411" s="184"/>
      <c r="AS411" s="184"/>
      <c r="AT411" s="184"/>
      <c r="AU411" s="184"/>
      <c r="AV411" s="184"/>
      <c r="AW411" s="184"/>
      <c r="AX411" s="184"/>
      <c r="AY411" s="184"/>
      <c r="AZ411" s="184"/>
      <c r="BA411" s="184"/>
      <c r="BB411" s="184"/>
      <c r="BC411" s="184"/>
      <c r="BD411" s="184"/>
      <c r="BE411" s="184"/>
      <c r="BF411" s="184"/>
      <c r="BG411" s="184"/>
      <c r="BH411" s="184"/>
      <c r="BI411" s="184">
        <v>2480</v>
      </c>
      <c r="BJ411" s="184">
        <v>2480</v>
      </c>
      <c r="BK411" s="184">
        <v>2480</v>
      </c>
      <c r="BL411" s="184">
        <v>2580</v>
      </c>
      <c r="BM411" s="184">
        <v>2580</v>
      </c>
      <c r="BN411" s="184">
        <v>2580</v>
      </c>
      <c r="BO411" s="184">
        <v>2660</v>
      </c>
      <c r="BP411" s="184">
        <v>2660</v>
      </c>
      <c r="BQ411" s="184">
        <v>2660</v>
      </c>
      <c r="BR411" s="184"/>
      <c r="BS411" s="184"/>
      <c r="BT411" s="184"/>
      <c r="BU411" s="146" cm="1">
        <f t="array" ref="BU411">LOOKUP(2,1/(Y411:BT411&lt;&gt;""),Y411:BH411)</f>
        <v>2660</v>
      </c>
      <c r="BV411" s="145" cm="1">
        <f t="array" aca="1" ref="BV411" ca="1">_xlfn.LET(
    _xlpm.last_col_idx, LOOKUP(2, 1/(Y411:BT411&lt;&gt;""), COLUMN(Y411:BT411) - COLUMN(Y411) + 1),
    _xlpm.header_val, INDEX($Y$3:$BT$3, 1, _xlpm.last_col_idx),
    _xlpm.header_date, IF(ISNUMBER(_xlpm.header_val), _xlpm.header_val, DATEVALUE(_xlpm.header_val)),
    IF(_xlpm.header_date &gt; TODAY(), TODAY(), _xlpm.header_date)
)</f>
        <v>46212</v>
      </c>
      <c r="BW411" s="209" cm="1">
        <f t="array" ref="BW411">(LOOKUP(2,1/(BH411:BT411&lt;&gt;""),BH411:BT411))/(INDEX(BH411:BT411,MATCH(TRUE,INDEX((BH411:BT411&lt;&gt;0),0),0)))-1</f>
        <v>7.2580645161290258E-2</v>
      </c>
      <c r="BX411" s="210">
        <f t="shared" si="78"/>
        <v>2.66</v>
      </c>
      <c r="BY411" s="210">
        <f t="shared" si="79"/>
        <v>15.694000000000003</v>
      </c>
      <c r="BZ411" s="210">
        <f ca="1">IF(L411="BR",'Impostos e Frete'!$F$6,IF(L411="EU",'Impostos e Frete'!$I$3,IF(L411="CN",'Impostos e Frete'!$I$4,IF(L411="JP",'Impostos e Frete'!$I$5,IF(L411="RU",'Impostos e Frete'!$I$7,"ERRO")))))</f>
        <v>0.1410816</v>
      </c>
      <c r="CA411" s="210">
        <f>VLOOKUP(L411,'Impostos e Frete'!$A$3:$B$7,2,0)*'Preços e Condições'!BY411</f>
        <v>2.0402200000000006</v>
      </c>
      <c r="CB411" s="147">
        <f t="shared" si="80"/>
        <v>0</v>
      </c>
      <c r="CC411" s="147">
        <f>IF(X411="BRL",'Impostos e Frete'!$B$11,'Impostos e Frete'!$B$12)</f>
        <v>9.1999999999999998E-2</v>
      </c>
      <c r="CD411" s="211">
        <f t="shared" ca="1" si="81"/>
        <v>17.967301600000003</v>
      </c>
      <c r="CE411" s="212">
        <f t="shared" ca="1" si="82"/>
        <v>1.1678746040000001</v>
      </c>
      <c r="CF411" s="213">
        <f>VLOOKUP(L411,'Impostos e Frete'!$A$3:$C$7,3,0)</f>
        <v>105</v>
      </c>
      <c r="CG411" s="213">
        <f t="shared" si="83"/>
        <v>120</v>
      </c>
      <c r="CH411" s="213">
        <f t="shared" si="84"/>
        <v>15</v>
      </c>
      <c r="CI411" s="214">
        <f t="shared" ca="1" si="85"/>
        <v>-0.13325747541077249</v>
      </c>
      <c r="CJ411" s="215">
        <f t="shared" ca="1" si="86"/>
        <v>17.83404412458923</v>
      </c>
      <c r="CK411" s="216">
        <f t="shared" ca="1" si="87"/>
        <v>1.1592128680983</v>
      </c>
    </row>
    <row r="412" spans="1:89">
      <c r="A412" s="203">
        <v>7000462</v>
      </c>
      <c r="B412" s="186">
        <v>2795</v>
      </c>
      <c r="C412" s="196">
        <v>65</v>
      </c>
      <c r="D412" s="178"/>
      <c r="E412" s="196" t="s">
        <v>50</v>
      </c>
      <c r="F412" s="197" t="s">
        <v>47</v>
      </c>
      <c r="G412" s="185" t="s">
        <v>155</v>
      </c>
      <c r="H412" s="178" t="s">
        <v>61</v>
      </c>
      <c r="I412" s="178">
        <v>6287</v>
      </c>
      <c r="J412" s="178"/>
      <c r="K412" s="178"/>
      <c r="L412" s="178" t="s">
        <v>59</v>
      </c>
      <c r="M412" s="178">
        <v>120</v>
      </c>
      <c r="N412" s="178">
        <v>300</v>
      </c>
      <c r="O412" s="178"/>
      <c r="P412" s="178"/>
      <c r="Q412" s="178"/>
      <c r="R412" s="178" t="s">
        <v>19</v>
      </c>
      <c r="S412" s="181"/>
      <c r="T412" s="181"/>
      <c r="U412" s="182"/>
      <c r="V412" s="182" t="s">
        <v>35</v>
      </c>
      <c r="W412" s="183">
        <v>30</v>
      </c>
      <c r="X412" s="182" t="s">
        <v>51</v>
      </c>
      <c r="Y412" s="184"/>
      <c r="Z412" s="184"/>
      <c r="AA412" s="184"/>
      <c r="AB412" s="184"/>
      <c r="AC412" s="184"/>
      <c r="AD412" s="184"/>
      <c r="AE412" s="184"/>
      <c r="AF412" s="184"/>
      <c r="AG412" s="184"/>
      <c r="AH412" s="184"/>
      <c r="AI412" s="184"/>
      <c r="AJ412" s="184"/>
      <c r="AK412" s="184"/>
      <c r="AL412" s="184"/>
      <c r="AM412" s="184"/>
      <c r="AN412" s="184"/>
      <c r="AO412" s="184"/>
      <c r="AP412" s="184"/>
      <c r="AQ412" s="184"/>
      <c r="AR412" s="184"/>
      <c r="AS412" s="184"/>
      <c r="AT412" s="184"/>
      <c r="AU412" s="184"/>
      <c r="AV412" s="184"/>
      <c r="AW412" s="184"/>
      <c r="AX412" s="184"/>
      <c r="AY412" s="184"/>
      <c r="AZ412" s="184"/>
      <c r="BA412" s="184"/>
      <c r="BB412" s="184"/>
      <c r="BC412" s="184"/>
      <c r="BD412" s="184"/>
      <c r="BE412" s="184"/>
      <c r="BF412" s="184"/>
      <c r="BG412" s="184"/>
      <c r="BH412" s="184"/>
      <c r="BI412" s="184">
        <v>2530</v>
      </c>
      <c r="BJ412" s="184">
        <v>2530</v>
      </c>
      <c r="BK412" s="184">
        <v>2530</v>
      </c>
      <c r="BL412" s="184">
        <v>2630</v>
      </c>
      <c r="BM412" s="184">
        <v>2630</v>
      </c>
      <c r="BN412" s="184">
        <v>2630</v>
      </c>
      <c r="BO412" s="184">
        <v>2710</v>
      </c>
      <c r="BP412" s="184">
        <v>2710</v>
      </c>
      <c r="BQ412" s="184">
        <v>2710</v>
      </c>
      <c r="BR412" s="184"/>
      <c r="BS412" s="184"/>
      <c r="BT412" s="184"/>
      <c r="BU412" s="146" cm="1">
        <f t="array" ref="BU412">LOOKUP(2,1/(Y412:BT412&lt;&gt;""),Y412:BH412)</f>
        <v>2710</v>
      </c>
      <c r="BV412" s="145" cm="1">
        <f t="array" aca="1" ref="BV412" ca="1">_xlfn.LET(
    _xlpm.last_col_idx, LOOKUP(2, 1/(Y412:BT412&lt;&gt;""), COLUMN(Y412:BT412) - COLUMN(Y412) + 1),
    _xlpm.header_val, INDEX($Y$3:$BT$3, 1, _xlpm.last_col_idx),
    _xlpm.header_date, IF(ISNUMBER(_xlpm.header_val), _xlpm.header_val, DATEVALUE(_xlpm.header_val)),
    IF(_xlpm.header_date &gt; TODAY(), TODAY(), _xlpm.header_date)
)</f>
        <v>46212</v>
      </c>
      <c r="BW412" s="209" cm="1">
        <f t="array" ref="BW412">(LOOKUP(2,1/(BH412:BT412&lt;&gt;""),BH412:BT412))/(INDEX(BH412:BT412,MATCH(TRUE,INDEX((BH412:BT412&lt;&gt;0),0),0)))-1</f>
        <v>7.1146245059288571E-2</v>
      </c>
      <c r="BX412" s="210">
        <f t="shared" si="78"/>
        <v>2.71</v>
      </c>
      <c r="BY412" s="210">
        <f t="shared" si="79"/>
        <v>15.989000000000001</v>
      </c>
      <c r="BZ412" s="210">
        <f ca="1">IF(L412="BR",'Impostos e Frete'!$F$6,IF(L412="EU",'Impostos e Frete'!$I$3,IF(L412="CN",'Impostos e Frete'!$I$4,IF(L412="JP",'Impostos e Frete'!$I$5,IF(L412="RU",'Impostos e Frete'!$I$7,"ERRO")))))</f>
        <v>0.1410816</v>
      </c>
      <c r="CA412" s="210">
        <f>VLOOKUP(L412,'Impostos e Frete'!$A$3:$B$7,2,0)*'Preços e Condições'!BY412</f>
        <v>2.07857</v>
      </c>
      <c r="CB412" s="147">
        <f t="shared" si="80"/>
        <v>0</v>
      </c>
      <c r="CC412" s="147">
        <f>IF(X412="BRL",'Impostos e Frete'!$B$11,'Impostos e Frete'!$B$12)</f>
        <v>9.1999999999999998E-2</v>
      </c>
      <c r="CD412" s="211">
        <f t="shared" ca="1" si="81"/>
        <v>18.300651599999998</v>
      </c>
      <c r="CE412" s="212">
        <f t="shared" ca="1" si="82"/>
        <v>1.1895423539999999</v>
      </c>
      <c r="CF412" s="213">
        <f>VLOOKUP(L412,'Impostos e Frete'!$A$3:$C$7,3,0)</f>
        <v>105</v>
      </c>
      <c r="CG412" s="213">
        <f t="shared" si="83"/>
        <v>120</v>
      </c>
      <c r="CH412" s="213">
        <f t="shared" si="84"/>
        <v>15</v>
      </c>
      <c r="CI412" s="214">
        <f t="shared" ca="1" si="85"/>
        <v>-0.1357298210315605</v>
      </c>
      <c r="CJ412" s="215">
        <f t="shared" ca="1" si="86"/>
        <v>18.164921778968438</v>
      </c>
      <c r="CK412" s="216">
        <f t="shared" ca="1" si="87"/>
        <v>1.1807199156329484</v>
      </c>
    </row>
    <row r="413" spans="1:89">
      <c r="A413" s="203">
        <v>7000462</v>
      </c>
      <c r="B413" s="186">
        <v>2795</v>
      </c>
      <c r="C413" s="196">
        <v>65</v>
      </c>
      <c r="D413" s="178"/>
      <c r="E413" s="196" t="s">
        <v>50</v>
      </c>
      <c r="F413" s="197" t="s">
        <v>47</v>
      </c>
      <c r="G413" s="185" t="s">
        <v>155</v>
      </c>
      <c r="H413" s="178" t="s">
        <v>61</v>
      </c>
      <c r="I413" s="178">
        <v>6287</v>
      </c>
      <c r="J413" s="178"/>
      <c r="K413" s="178"/>
      <c r="L413" s="178" t="s">
        <v>59</v>
      </c>
      <c r="M413" s="178">
        <v>120</v>
      </c>
      <c r="N413" s="178">
        <v>300</v>
      </c>
      <c r="O413" s="178"/>
      <c r="P413" s="178"/>
      <c r="Q413" s="178"/>
      <c r="R413" s="178" t="s">
        <v>19</v>
      </c>
      <c r="S413" s="181"/>
      <c r="T413" s="181"/>
      <c r="U413" s="182"/>
      <c r="V413" s="182" t="s">
        <v>35</v>
      </c>
      <c r="W413" s="183">
        <v>20</v>
      </c>
      <c r="X413" s="182" t="s">
        <v>51</v>
      </c>
      <c r="Y413" s="184"/>
      <c r="Z413" s="184"/>
      <c r="AA413" s="184"/>
      <c r="AB413" s="184"/>
      <c r="AC413" s="184"/>
      <c r="AD413" s="184"/>
      <c r="AE413" s="184"/>
      <c r="AF413" s="184"/>
      <c r="AG413" s="184"/>
      <c r="AH413" s="184"/>
      <c r="AI413" s="184"/>
      <c r="AJ413" s="184"/>
      <c r="AK413" s="184"/>
      <c r="AL413" s="184"/>
      <c r="AM413" s="184"/>
      <c r="AN413" s="184"/>
      <c r="AO413" s="184"/>
      <c r="AP413" s="184"/>
      <c r="AQ413" s="184"/>
      <c r="AR413" s="184"/>
      <c r="AS413" s="184"/>
      <c r="AT413" s="184"/>
      <c r="AU413" s="184"/>
      <c r="AV413" s="184"/>
      <c r="AW413" s="184"/>
      <c r="AX413" s="184"/>
      <c r="AY413" s="184"/>
      <c r="AZ413" s="184"/>
      <c r="BA413" s="184"/>
      <c r="BB413" s="184"/>
      <c r="BC413" s="184"/>
      <c r="BD413" s="184"/>
      <c r="BE413" s="184"/>
      <c r="BF413" s="184"/>
      <c r="BG413" s="184"/>
      <c r="BH413" s="184"/>
      <c r="BI413" s="184">
        <v>2580</v>
      </c>
      <c r="BJ413" s="184">
        <v>2580</v>
      </c>
      <c r="BK413" s="184">
        <v>2580</v>
      </c>
      <c r="BL413" s="184">
        <v>2680</v>
      </c>
      <c r="BM413" s="184">
        <v>2680</v>
      </c>
      <c r="BN413" s="184">
        <v>2680</v>
      </c>
      <c r="BO413" s="184">
        <v>2760</v>
      </c>
      <c r="BP413" s="184">
        <v>2760</v>
      </c>
      <c r="BQ413" s="184">
        <v>2760</v>
      </c>
      <c r="BR413" s="184"/>
      <c r="BS413" s="184"/>
      <c r="BT413" s="184"/>
      <c r="BU413" s="146" cm="1">
        <f t="array" ref="BU413">LOOKUP(2,1/(Y413:BT413&lt;&gt;""),Y413:BH413)</f>
        <v>2760</v>
      </c>
      <c r="BV413" s="145" cm="1">
        <f t="array" aca="1" ref="BV413" ca="1">_xlfn.LET(
    _xlpm.last_col_idx, LOOKUP(2, 1/(Y413:BT413&lt;&gt;""), COLUMN(Y413:BT413) - COLUMN(Y413) + 1),
    _xlpm.header_val, INDEX($Y$3:$BT$3, 1, _xlpm.last_col_idx),
    _xlpm.header_date, IF(ISNUMBER(_xlpm.header_val), _xlpm.header_val, DATEVALUE(_xlpm.header_val)),
    IF(_xlpm.header_date &gt; TODAY(), TODAY(), _xlpm.header_date)
)</f>
        <v>46212</v>
      </c>
      <c r="BW413" s="209" cm="1">
        <f t="array" ref="BW413">(LOOKUP(2,1/(BH413:BT413&lt;&gt;""),BH413:BT413))/(INDEX(BH413:BT413,MATCH(TRUE,INDEX((BH413:BT413&lt;&gt;0),0),0)))-1</f>
        <v>6.9767441860465018E-2</v>
      </c>
      <c r="BX413" s="210">
        <f t="shared" si="78"/>
        <v>2.76</v>
      </c>
      <c r="BY413" s="210">
        <f t="shared" si="79"/>
        <v>16.283999999999999</v>
      </c>
      <c r="BZ413" s="210">
        <f ca="1">IF(L413="BR",'Impostos e Frete'!$F$6,IF(L413="EU",'Impostos e Frete'!$I$3,IF(L413="CN",'Impostos e Frete'!$I$4,IF(L413="JP",'Impostos e Frete'!$I$5,IF(L413="RU",'Impostos e Frete'!$I$7,"ERRO")))))</f>
        <v>0.1410816</v>
      </c>
      <c r="CA413" s="210">
        <f>VLOOKUP(L413,'Impostos e Frete'!$A$3:$B$7,2,0)*'Preços e Condições'!BY413</f>
        <v>2.1169199999999999</v>
      </c>
      <c r="CB413" s="147">
        <f t="shared" si="80"/>
        <v>0</v>
      </c>
      <c r="CC413" s="147">
        <f>IF(X413="BRL",'Impostos e Frete'!$B$11,'Impostos e Frete'!$B$12)</f>
        <v>9.1999999999999998E-2</v>
      </c>
      <c r="CD413" s="211">
        <f t="shared" ca="1" si="81"/>
        <v>18.634001599999998</v>
      </c>
      <c r="CE413" s="212">
        <f t="shared" ca="1" si="82"/>
        <v>1.2112101039999998</v>
      </c>
      <c r="CF413" s="213">
        <f>VLOOKUP(L413,'Impostos e Frete'!$A$3:$C$7,3,0)</f>
        <v>105</v>
      </c>
      <c r="CG413" s="213">
        <f t="shared" si="83"/>
        <v>120</v>
      </c>
      <c r="CH413" s="213">
        <f t="shared" si="84"/>
        <v>15</v>
      </c>
      <c r="CI413" s="214">
        <f t="shared" ca="1" si="85"/>
        <v>-0.13820216665235208</v>
      </c>
      <c r="CJ413" s="215">
        <f t="shared" ca="1" si="86"/>
        <v>18.495799433347646</v>
      </c>
      <c r="CK413" s="216">
        <f t="shared" ca="1" si="87"/>
        <v>1.202226963167597</v>
      </c>
    </row>
    <row r="414" spans="1:89">
      <c r="A414" s="203">
        <v>7000462</v>
      </c>
      <c r="B414" s="186">
        <v>2795</v>
      </c>
      <c r="C414" s="196">
        <v>65</v>
      </c>
      <c r="D414" s="178"/>
      <c r="E414" s="196" t="s">
        <v>50</v>
      </c>
      <c r="F414" s="197" t="s">
        <v>47</v>
      </c>
      <c r="G414" s="185" t="s">
        <v>155</v>
      </c>
      <c r="H414" s="178" t="s">
        <v>61</v>
      </c>
      <c r="I414" s="178">
        <v>6287</v>
      </c>
      <c r="J414" s="178"/>
      <c r="K414" s="178"/>
      <c r="L414" s="178" t="s">
        <v>59</v>
      </c>
      <c r="M414" s="178">
        <v>120</v>
      </c>
      <c r="N414" s="178">
        <v>300</v>
      </c>
      <c r="O414" s="178"/>
      <c r="P414" s="178"/>
      <c r="Q414" s="178"/>
      <c r="R414" s="178" t="s">
        <v>19</v>
      </c>
      <c r="S414" s="181"/>
      <c r="T414" s="181"/>
      <c r="U414" s="182"/>
      <c r="V414" s="182" t="s">
        <v>35</v>
      </c>
      <c r="W414" s="183">
        <v>10</v>
      </c>
      <c r="X414" s="182" t="s">
        <v>51</v>
      </c>
      <c r="Y414" s="184"/>
      <c r="Z414" s="184"/>
      <c r="AA414" s="184"/>
      <c r="AB414" s="184"/>
      <c r="AC414" s="184"/>
      <c r="AD414" s="184"/>
      <c r="AE414" s="184"/>
      <c r="AF414" s="184"/>
      <c r="AG414" s="184"/>
      <c r="AH414" s="184"/>
      <c r="AI414" s="184"/>
      <c r="AJ414" s="184"/>
      <c r="AK414" s="184"/>
      <c r="AL414" s="184"/>
      <c r="AM414" s="184"/>
      <c r="AN414" s="184"/>
      <c r="AO414" s="184"/>
      <c r="AP414" s="184"/>
      <c r="AQ414" s="184"/>
      <c r="AR414" s="184"/>
      <c r="AS414" s="184"/>
      <c r="AT414" s="184"/>
      <c r="AU414" s="184"/>
      <c r="AV414" s="184"/>
      <c r="AW414" s="184"/>
      <c r="AX414" s="184"/>
      <c r="AY414" s="184"/>
      <c r="AZ414" s="184"/>
      <c r="BA414" s="184"/>
      <c r="BB414" s="184"/>
      <c r="BC414" s="184"/>
      <c r="BD414" s="184"/>
      <c r="BE414" s="184"/>
      <c r="BF414" s="184"/>
      <c r="BG414" s="184"/>
      <c r="BH414" s="184"/>
      <c r="BI414" s="184">
        <v>2660</v>
      </c>
      <c r="BJ414" s="184">
        <v>2660</v>
      </c>
      <c r="BK414" s="184">
        <v>2660</v>
      </c>
      <c r="BL414" s="184">
        <v>2760</v>
      </c>
      <c r="BM414" s="184">
        <v>2760</v>
      </c>
      <c r="BN414" s="184">
        <v>2760</v>
      </c>
      <c r="BO414" s="184">
        <v>2840</v>
      </c>
      <c r="BP414" s="184">
        <v>2840</v>
      </c>
      <c r="BQ414" s="184">
        <v>2840</v>
      </c>
      <c r="BR414" s="184"/>
      <c r="BS414" s="184"/>
      <c r="BT414" s="184"/>
      <c r="BU414" s="146" cm="1">
        <f t="array" ref="BU414">LOOKUP(2,1/(Y414:BT414&lt;&gt;""),Y414:BH414)</f>
        <v>2840</v>
      </c>
      <c r="BV414" s="145" cm="1">
        <f t="array" aca="1" ref="BV414" ca="1">_xlfn.LET(
    _xlpm.last_col_idx, LOOKUP(2, 1/(Y414:BT414&lt;&gt;""), COLUMN(Y414:BT414) - COLUMN(Y414) + 1),
    _xlpm.header_val, INDEX($Y$3:$BT$3, 1, _xlpm.last_col_idx),
    _xlpm.header_date, IF(ISNUMBER(_xlpm.header_val), _xlpm.header_val, DATEVALUE(_xlpm.header_val)),
    IF(_xlpm.header_date &gt; TODAY(), TODAY(), _xlpm.header_date)
)</f>
        <v>46212</v>
      </c>
      <c r="BW414" s="209" cm="1">
        <f t="array" ref="BW414">(LOOKUP(2,1/(BH414:BT414&lt;&gt;""),BH414:BT414))/(INDEX(BH414:BT414,MATCH(TRUE,INDEX((BH414:BT414&lt;&gt;0),0),0)))-1</f>
        <v>6.7669172932330879E-2</v>
      </c>
      <c r="BX414" s="210">
        <f t="shared" si="78"/>
        <v>2.84</v>
      </c>
      <c r="BY414" s="210">
        <f t="shared" si="79"/>
        <v>16.756</v>
      </c>
      <c r="BZ414" s="210">
        <f ca="1">IF(L414="BR",'Impostos e Frete'!$F$6,IF(L414="EU",'Impostos e Frete'!$I$3,IF(L414="CN",'Impostos e Frete'!$I$4,IF(L414="JP",'Impostos e Frete'!$I$5,IF(L414="RU",'Impostos e Frete'!$I$7,"ERRO")))))</f>
        <v>0.1410816</v>
      </c>
      <c r="CA414" s="210">
        <f>VLOOKUP(L414,'Impostos e Frete'!$A$3:$B$7,2,0)*'Preços e Condições'!BY414</f>
        <v>2.17828</v>
      </c>
      <c r="CB414" s="147">
        <f t="shared" si="80"/>
        <v>0</v>
      </c>
      <c r="CC414" s="147">
        <f>IF(X414="BRL",'Impostos e Frete'!$B$11,'Impostos e Frete'!$B$12)</f>
        <v>9.1999999999999998E-2</v>
      </c>
      <c r="CD414" s="211">
        <f t="shared" ca="1" si="81"/>
        <v>19.1673616</v>
      </c>
      <c r="CE414" s="212">
        <f t="shared" ca="1" si="82"/>
        <v>1.245878504</v>
      </c>
      <c r="CF414" s="213">
        <f>VLOOKUP(L414,'Impostos e Frete'!$A$3:$C$7,3,0)</f>
        <v>105</v>
      </c>
      <c r="CG414" s="213">
        <f t="shared" si="83"/>
        <v>120</v>
      </c>
      <c r="CH414" s="213">
        <f t="shared" si="84"/>
        <v>15</v>
      </c>
      <c r="CI414" s="214">
        <f t="shared" ca="1" si="85"/>
        <v>-0.14215791964561575</v>
      </c>
      <c r="CJ414" s="215">
        <f t="shared" ca="1" si="86"/>
        <v>19.025203680354384</v>
      </c>
      <c r="CK414" s="216">
        <f t="shared" ca="1" si="87"/>
        <v>1.2366382392230351</v>
      </c>
    </row>
    <row r="415" spans="1:89">
      <c r="A415" s="203">
        <v>7000466</v>
      </c>
      <c r="B415" s="186">
        <v>9370</v>
      </c>
      <c r="C415" s="196">
        <v>70</v>
      </c>
      <c r="D415" s="178">
        <v>1880</v>
      </c>
      <c r="E415" s="196" t="s">
        <v>209</v>
      </c>
      <c r="F415" s="197" t="s">
        <v>468</v>
      </c>
      <c r="G415" s="180" t="s">
        <v>82</v>
      </c>
      <c r="H415" s="178" t="s">
        <v>43</v>
      </c>
      <c r="I415" s="178" t="s">
        <v>213</v>
      </c>
      <c r="J415" s="178"/>
      <c r="K415" s="178"/>
      <c r="L415" s="178" t="s">
        <v>59</v>
      </c>
      <c r="M415" s="178">
        <v>60</v>
      </c>
      <c r="N415" s="178"/>
      <c r="O415" s="178"/>
      <c r="P415" s="178"/>
      <c r="Q415" s="178"/>
      <c r="R415" s="178" t="s">
        <v>19</v>
      </c>
      <c r="S415" s="181"/>
      <c r="T415" s="181"/>
      <c r="U415" s="182"/>
      <c r="V415" s="182" t="s">
        <v>35</v>
      </c>
      <c r="W415" s="183">
        <v>400</v>
      </c>
      <c r="X415" s="182" t="s">
        <v>51</v>
      </c>
      <c r="Y415" s="184"/>
      <c r="Z415" s="184"/>
      <c r="AA415" s="184"/>
      <c r="AB415" s="184"/>
      <c r="AC415" s="184"/>
      <c r="AD415" s="184"/>
      <c r="AE415" s="184"/>
      <c r="AF415" s="184"/>
      <c r="AG415" s="184"/>
      <c r="AH415" s="184"/>
      <c r="AI415" s="184"/>
      <c r="AJ415" s="184"/>
      <c r="AK415" s="184"/>
      <c r="AL415" s="184"/>
      <c r="AM415" s="184"/>
      <c r="AN415" s="184"/>
      <c r="AO415" s="184"/>
      <c r="AP415" s="184"/>
      <c r="AQ415" s="184"/>
      <c r="AR415" s="184"/>
      <c r="AS415" s="184"/>
      <c r="AT415" s="184"/>
      <c r="AU415" s="184"/>
      <c r="AV415" s="184"/>
      <c r="AW415" s="184"/>
      <c r="AX415" s="184"/>
      <c r="AY415" s="184"/>
      <c r="AZ415" s="184"/>
      <c r="BA415" s="184"/>
      <c r="BB415" s="184"/>
      <c r="BC415" s="184"/>
      <c r="BD415" s="184"/>
      <c r="BE415" s="184"/>
      <c r="BF415" s="184"/>
      <c r="BG415" s="184"/>
      <c r="BH415" s="184"/>
      <c r="BI415" s="184">
        <v>2660</v>
      </c>
      <c r="BJ415" s="184"/>
      <c r="BK415" s="184"/>
      <c r="BL415" s="184">
        <v>2680</v>
      </c>
      <c r="BM415" s="184">
        <v>2780</v>
      </c>
      <c r="BN415" s="184">
        <v>2780</v>
      </c>
      <c r="BO415" s="184">
        <v>2800</v>
      </c>
      <c r="BP415" s="184">
        <v>2690</v>
      </c>
      <c r="BQ415" s="184">
        <v>2690</v>
      </c>
      <c r="BR415" s="184"/>
      <c r="BS415" s="184"/>
      <c r="BT415" s="184"/>
      <c r="BU415" s="146" cm="1">
        <f t="array" ref="BU415">LOOKUP(2,1/(Y415:BT415&lt;&gt;""),Y415:BH415)</f>
        <v>2690</v>
      </c>
      <c r="BV415" s="145" cm="1">
        <f t="array" aca="1" ref="BV415" ca="1">_xlfn.LET(
    _xlpm.last_col_idx, LOOKUP(2, 1/(Y415:BT415&lt;&gt;""), COLUMN(Y415:BT415) - COLUMN(Y415) + 1),
    _xlpm.header_val, INDEX($Y$3:$BT$3, 1, _xlpm.last_col_idx),
    _xlpm.header_date, IF(ISNUMBER(_xlpm.header_val), _xlpm.header_val, DATEVALUE(_xlpm.header_val)),
    IF(_xlpm.header_date &gt; TODAY(), TODAY(), _xlpm.header_date)
)</f>
        <v>46212</v>
      </c>
      <c r="BW415" s="209" cm="1">
        <f t="array" ref="BW415">(LOOKUP(2,1/(BH415:BT415&lt;&gt;""),BH415:BT415))/(INDEX(BH415:BT415,MATCH(TRUE,INDEX((BH415:BT415&lt;&gt;0),0),0)))-1</f>
        <v>1.1278195488721776E-2</v>
      </c>
      <c r="BX415" s="210">
        <f t="shared" si="78"/>
        <v>2.69</v>
      </c>
      <c r="BY415" s="210">
        <f t="shared" si="79"/>
        <v>15.871</v>
      </c>
      <c r="BZ415" s="210">
        <f ca="1">IF(L415="BR",'Impostos e Frete'!$F$6,IF(L415="EU",'Impostos e Frete'!$I$3,IF(L415="CN",'Impostos e Frete'!$I$4,IF(L415="JP",'Impostos e Frete'!$I$5,IF(L415="RU",'Impostos e Frete'!$I$7,"ERRO")))))</f>
        <v>0.1410816</v>
      </c>
      <c r="CA415" s="210">
        <f>VLOOKUP(L415,'Impostos e Frete'!$A$3:$B$7,2,0)*'Preços e Condições'!BY415</f>
        <v>2.0632300000000003</v>
      </c>
      <c r="CB415" s="147">
        <f t="shared" si="80"/>
        <v>0</v>
      </c>
      <c r="CC415" s="147">
        <f>IF(X415="BRL",'Impostos e Frete'!$B$11,'Impostos e Frete'!$B$12)</f>
        <v>9.1999999999999998E-2</v>
      </c>
      <c r="CD415" s="211">
        <f t="shared" ca="1" si="81"/>
        <v>18.167311600000001</v>
      </c>
      <c r="CE415" s="212">
        <f t="shared" ca="1" si="82"/>
        <v>1.2717118120000002</v>
      </c>
      <c r="CF415" s="213">
        <f>VLOOKUP(L415,'Impostos e Frete'!$A$3:$C$7,3,0)</f>
        <v>105</v>
      </c>
      <c r="CG415" s="213">
        <f t="shared" si="83"/>
        <v>60</v>
      </c>
      <c r="CH415" s="213">
        <f t="shared" si="84"/>
        <v>-45</v>
      </c>
      <c r="CI415" s="214">
        <f t="shared" ca="1" si="85"/>
        <v>0.4102935671446275</v>
      </c>
      <c r="CJ415" s="215">
        <f t="shared" ca="1" si="86"/>
        <v>18.577605167144629</v>
      </c>
      <c r="CK415" s="216">
        <f t="shared" ca="1" si="87"/>
        <v>1.3004323617001239</v>
      </c>
    </row>
    <row r="416" spans="1:89">
      <c r="A416" s="203">
        <v>7000466</v>
      </c>
      <c r="B416" s="186">
        <v>9370</v>
      </c>
      <c r="C416" s="196">
        <v>70</v>
      </c>
      <c r="D416" s="196">
        <v>1880</v>
      </c>
      <c r="E416" s="196" t="s">
        <v>209</v>
      </c>
      <c r="F416" s="197" t="s">
        <v>468</v>
      </c>
      <c r="G416" s="180" t="s">
        <v>82</v>
      </c>
      <c r="H416" s="178" t="s">
        <v>43</v>
      </c>
      <c r="I416" s="178" t="s">
        <v>213</v>
      </c>
      <c r="J416" s="178"/>
      <c r="K416" s="178"/>
      <c r="L416" s="178" t="s">
        <v>59</v>
      </c>
      <c r="M416" s="178">
        <v>60</v>
      </c>
      <c r="N416" s="178"/>
      <c r="O416" s="178"/>
      <c r="P416" s="178"/>
      <c r="Q416" s="178"/>
      <c r="R416" s="178" t="s">
        <v>19</v>
      </c>
      <c r="S416" s="181"/>
      <c r="T416" s="181"/>
      <c r="U416" s="182"/>
      <c r="V416" s="182" t="s">
        <v>35</v>
      </c>
      <c r="W416" s="183">
        <v>800</v>
      </c>
      <c r="X416" s="182" t="s">
        <v>51</v>
      </c>
      <c r="Y416" s="202"/>
      <c r="Z416" s="202"/>
      <c r="AA416" s="202"/>
      <c r="AB416" s="202"/>
      <c r="AC416" s="202"/>
      <c r="AD416" s="202"/>
      <c r="AE416" s="202"/>
      <c r="AF416" s="202"/>
      <c r="AG416" s="202"/>
      <c r="AH416" s="202"/>
      <c r="AI416" s="202"/>
      <c r="AJ416" s="202"/>
      <c r="AK416" s="202"/>
      <c r="AL416" s="202"/>
      <c r="AM416" s="202"/>
      <c r="AN416" s="202"/>
      <c r="AO416" s="202"/>
      <c r="AP416" s="202"/>
      <c r="AQ416" s="202"/>
      <c r="AR416" s="202"/>
      <c r="AS416" s="202"/>
      <c r="AT416" s="202"/>
      <c r="AU416" s="202"/>
      <c r="AV416" s="202"/>
      <c r="AW416" s="202"/>
      <c r="AX416" s="202"/>
      <c r="AY416" s="202"/>
      <c r="AZ416" s="202"/>
      <c r="BA416" s="202"/>
      <c r="BB416" s="202"/>
      <c r="BC416" s="202"/>
      <c r="BD416" s="202"/>
      <c r="BE416" s="202"/>
      <c r="BF416" s="202"/>
      <c r="BG416" s="202"/>
      <c r="BH416" s="202"/>
      <c r="BI416" s="202"/>
      <c r="BJ416" s="202"/>
      <c r="BK416" s="202"/>
      <c r="BL416" s="202">
        <v>2630</v>
      </c>
      <c r="BM416" s="202">
        <v>2730</v>
      </c>
      <c r="BN416" s="202">
        <v>2730</v>
      </c>
      <c r="BO416" s="202">
        <v>2750</v>
      </c>
      <c r="BP416" s="202">
        <v>2640</v>
      </c>
      <c r="BQ416" s="202">
        <v>2640</v>
      </c>
      <c r="BR416" s="202"/>
      <c r="BS416" s="202"/>
      <c r="BT416" s="202"/>
      <c r="BU416" s="146" cm="1">
        <f t="array" ref="BU416">LOOKUP(2,1/(Y416:BT416&lt;&gt;""),Y416:BH416)</f>
        <v>2640</v>
      </c>
      <c r="BV416" s="145" cm="1">
        <f t="array" aca="1" ref="BV416" ca="1">_xlfn.LET(
    _xlpm.last_col_idx, LOOKUP(2, 1/(Y416:BT416&lt;&gt;""), COLUMN(Y416:BT416) - COLUMN(Y416) + 1),
    _xlpm.header_val, INDEX($Y$3:$BT$3, 1, _xlpm.last_col_idx),
    _xlpm.header_date, IF(ISNUMBER(_xlpm.header_val), _xlpm.header_val, DATEVALUE(_xlpm.header_val)),
    IF(_xlpm.header_date &gt; TODAY(), TODAY(), _xlpm.header_date)
)</f>
        <v>46212</v>
      </c>
      <c r="BW416" s="209" cm="1">
        <f t="array" ref="BW416">(LOOKUP(2,1/(BH416:BT416&lt;&gt;""),BH416:BT416))/(INDEX(BH416:BT416,MATCH(TRUE,INDEX((BH416:BT416&lt;&gt;0),0),0)))-1</f>
        <v>3.8022813688212143E-3</v>
      </c>
      <c r="BX416" s="210">
        <f t="shared" si="78"/>
        <v>2.64</v>
      </c>
      <c r="BY416" s="210">
        <f t="shared" si="79"/>
        <v>15.576000000000002</v>
      </c>
      <c r="BZ416" s="210">
        <f ca="1">IF(L416="BR",'Impostos e Frete'!$F$6,IF(L416="EU",'Impostos e Frete'!$I$3,IF(L416="CN",'Impostos e Frete'!$I$4,IF(L416="JP",'Impostos e Frete'!$I$5,IF(L416="RU",'Impostos e Frete'!$I$7,"ERRO")))))</f>
        <v>0.1410816</v>
      </c>
      <c r="CA416" s="210">
        <f>VLOOKUP(L416,'Impostos e Frete'!$A$3:$B$7,2,0)*'Preços e Condições'!BY416</f>
        <v>2.0248800000000005</v>
      </c>
      <c r="CB416" s="147">
        <f t="shared" si="80"/>
        <v>0</v>
      </c>
      <c r="CC416" s="147">
        <f>IF(X416="BRL",'Impostos e Frete'!$B$11,'Impostos e Frete'!$B$12)</f>
        <v>9.1999999999999998E-2</v>
      </c>
      <c r="CD416" s="211">
        <f t="shared" ca="1" si="81"/>
        <v>17.833961600000002</v>
      </c>
      <c r="CE416" s="212">
        <f t="shared" ca="1" si="82"/>
        <v>1.2483773120000001</v>
      </c>
      <c r="CF416" s="213">
        <f>VLOOKUP(L416,'Impostos e Frete'!$A$3:$C$7,3,0)</f>
        <v>105</v>
      </c>
      <c r="CG416" s="213">
        <f t="shared" si="83"/>
        <v>60</v>
      </c>
      <c r="CH416" s="213">
        <f t="shared" si="84"/>
        <v>-45</v>
      </c>
      <c r="CI416" s="214">
        <f t="shared" ca="1" si="85"/>
        <v>0.40276513566180938</v>
      </c>
      <c r="CJ416" s="215">
        <f t="shared" ca="1" si="86"/>
        <v>18.236726735661811</v>
      </c>
      <c r="CK416" s="216">
        <f t="shared" ca="1" si="87"/>
        <v>1.2765708714963269</v>
      </c>
    </row>
    <row r="417" spans="1:89">
      <c r="A417" s="203">
        <v>7000469</v>
      </c>
      <c r="B417" s="186">
        <v>9370</v>
      </c>
      <c r="C417" s="196">
        <v>70</v>
      </c>
      <c r="D417" s="196">
        <v>1880</v>
      </c>
      <c r="E417" s="196" t="s">
        <v>209</v>
      </c>
      <c r="F417" s="197" t="s">
        <v>468</v>
      </c>
      <c r="G417" s="180" t="s">
        <v>308</v>
      </c>
      <c r="H417" s="178" t="s">
        <v>43</v>
      </c>
      <c r="I417" s="196" t="s">
        <v>213</v>
      </c>
      <c r="J417" s="196"/>
      <c r="K417" s="196"/>
      <c r="L417" s="178" t="s">
        <v>59</v>
      </c>
      <c r="M417" s="178">
        <v>60</v>
      </c>
      <c r="N417" s="178"/>
      <c r="O417" s="178"/>
      <c r="P417" s="178"/>
      <c r="Q417" s="178"/>
      <c r="R417" s="178" t="s">
        <v>19</v>
      </c>
      <c r="S417" s="181"/>
      <c r="T417" s="181"/>
      <c r="U417" s="182"/>
      <c r="V417" s="182" t="s">
        <v>35</v>
      </c>
      <c r="W417" s="183">
        <v>400</v>
      </c>
      <c r="X417" s="182" t="s">
        <v>51</v>
      </c>
      <c r="Y417" s="202"/>
      <c r="Z417" s="202"/>
      <c r="AA417" s="202"/>
      <c r="AB417" s="202"/>
      <c r="AC417" s="202"/>
      <c r="AD417" s="202"/>
      <c r="AE417" s="202"/>
      <c r="AF417" s="202"/>
      <c r="AG417" s="202"/>
      <c r="AH417" s="202"/>
      <c r="AI417" s="202"/>
      <c r="AJ417" s="202"/>
      <c r="AK417" s="202"/>
      <c r="AL417" s="202"/>
      <c r="AM417" s="202"/>
      <c r="AN417" s="202"/>
      <c r="AO417" s="202"/>
      <c r="AP417" s="202"/>
      <c r="AQ417" s="202"/>
      <c r="AR417" s="202"/>
      <c r="AS417" s="202"/>
      <c r="AT417" s="202"/>
      <c r="AU417" s="202"/>
      <c r="AV417" s="202"/>
      <c r="AW417" s="202"/>
      <c r="AX417" s="202"/>
      <c r="AY417" s="202"/>
      <c r="AZ417" s="202"/>
      <c r="BA417" s="202"/>
      <c r="BB417" s="202"/>
      <c r="BC417" s="202"/>
      <c r="BD417" s="202"/>
      <c r="BE417" s="202"/>
      <c r="BF417" s="202"/>
      <c r="BG417" s="202"/>
      <c r="BH417" s="202"/>
      <c r="BI417" s="202">
        <v>2660</v>
      </c>
      <c r="BJ417" s="202"/>
      <c r="BK417" s="202"/>
      <c r="BL417" s="184">
        <v>2680</v>
      </c>
      <c r="BM417" s="184">
        <v>2780</v>
      </c>
      <c r="BN417" s="184">
        <v>2780</v>
      </c>
      <c r="BO417" s="202">
        <v>2800</v>
      </c>
      <c r="BP417" s="202">
        <v>2690</v>
      </c>
      <c r="BQ417" s="202">
        <v>2690</v>
      </c>
      <c r="BR417" s="202"/>
      <c r="BS417" s="202"/>
      <c r="BT417" s="202"/>
      <c r="BU417" s="146" cm="1">
        <f t="array" ref="BU417">LOOKUP(2,1/(Y417:BT417&lt;&gt;""),Y417:BH417)</f>
        <v>2690</v>
      </c>
      <c r="BV417" s="145" cm="1">
        <f t="array" aca="1" ref="BV417" ca="1">_xlfn.LET(
    _xlpm.last_col_idx, LOOKUP(2, 1/(Y417:BT417&lt;&gt;""), COLUMN(Y417:BT417) - COLUMN(Y417) + 1),
    _xlpm.header_val, INDEX($Y$3:$BT$3, 1, _xlpm.last_col_idx),
    _xlpm.header_date, IF(ISNUMBER(_xlpm.header_val), _xlpm.header_val, DATEVALUE(_xlpm.header_val)),
    IF(_xlpm.header_date &gt; TODAY(), TODAY(), _xlpm.header_date)
)</f>
        <v>46212</v>
      </c>
      <c r="BW417" s="209" cm="1">
        <f t="array" ref="BW417">(LOOKUP(2,1/(BH417:BT417&lt;&gt;""),BH417:BT417))/(INDEX(BH417:BT417,MATCH(TRUE,INDEX((BH417:BT417&lt;&gt;0),0),0)))-1</f>
        <v>1.1278195488721776E-2</v>
      </c>
      <c r="BX417" s="210">
        <f t="shared" si="78"/>
        <v>2.69</v>
      </c>
      <c r="BY417" s="210">
        <f t="shared" si="79"/>
        <v>15.871</v>
      </c>
      <c r="BZ417" s="210">
        <f ca="1">IF(L417="BR",'Impostos e Frete'!$F$6,IF(L417="EU",'Impostos e Frete'!$I$3,IF(L417="CN",'Impostos e Frete'!$I$4,IF(L417="JP",'Impostos e Frete'!$I$5,IF(L417="RU",'Impostos e Frete'!$I$7,"ERRO")))))</f>
        <v>0.1410816</v>
      </c>
      <c r="CA417" s="210">
        <f>VLOOKUP(L417,'Impostos e Frete'!$A$3:$B$7,2,0)*'Preços e Condições'!BY417</f>
        <v>2.0632300000000003</v>
      </c>
      <c r="CB417" s="147">
        <f t="shared" si="80"/>
        <v>0</v>
      </c>
      <c r="CC417" s="147">
        <f>IF(X417="BRL",'Impostos e Frete'!$B$11,'Impostos e Frete'!$B$12)</f>
        <v>9.1999999999999998E-2</v>
      </c>
      <c r="CD417" s="211">
        <f t="shared" ca="1" si="81"/>
        <v>18.167311600000001</v>
      </c>
      <c r="CE417" s="212">
        <f t="shared" ca="1" si="82"/>
        <v>1.2717118120000002</v>
      </c>
      <c r="CF417" s="213">
        <f>VLOOKUP(L417,'Impostos e Frete'!$A$3:$C$7,3,0)</f>
        <v>105</v>
      </c>
      <c r="CG417" s="213">
        <f t="shared" si="83"/>
        <v>60</v>
      </c>
      <c r="CH417" s="213">
        <f t="shared" si="84"/>
        <v>-45</v>
      </c>
      <c r="CI417" s="214">
        <f t="shared" ca="1" si="85"/>
        <v>0.4102935671446275</v>
      </c>
      <c r="CJ417" s="215">
        <f t="shared" ca="1" si="86"/>
        <v>18.577605167144629</v>
      </c>
      <c r="CK417" s="216">
        <f t="shared" ca="1" si="87"/>
        <v>1.3004323617001239</v>
      </c>
    </row>
    <row r="418" spans="1:89">
      <c r="A418" s="203">
        <v>7000470</v>
      </c>
      <c r="B418" s="186">
        <v>9371</v>
      </c>
      <c r="C418" s="196">
        <v>40</v>
      </c>
      <c r="D418" s="178"/>
      <c r="E418" s="196" t="s">
        <v>209</v>
      </c>
      <c r="F418" s="197" t="s">
        <v>440</v>
      </c>
      <c r="G418" s="185" t="s">
        <v>122</v>
      </c>
      <c r="H418" s="178" t="s">
        <v>43</v>
      </c>
      <c r="I418" s="178"/>
      <c r="J418" s="178"/>
      <c r="K418" s="178"/>
      <c r="L418" s="183" t="s">
        <v>58</v>
      </c>
      <c r="M418" s="183">
        <v>0</v>
      </c>
      <c r="N418" s="183"/>
      <c r="O418" s="178"/>
      <c r="P418" s="178">
        <v>0</v>
      </c>
      <c r="Q418" s="178"/>
      <c r="R418" s="178" t="s">
        <v>19</v>
      </c>
      <c r="S418" s="181">
        <v>0.12</v>
      </c>
      <c r="T418" s="181" t="s">
        <v>23</v>
      </c>
      <c r="U418" s="182">
        <v>9.2499999999999999E-2</v>
      </c>
      <c r="V418" s="182" t="s">
        <v>35</v>
      </c>
      <c r="W418" s="183"/>
      <c r="X418" s="182" t="s">
        <v>46</v>
      </c>
      <c r="Y418" s="202"/>
      <c r="Z418" s="202"/>
      <c r="AA418" s="202"/>
      <c r="AB418" s="202"/>
      <c r="AC418" s="202"/>
      <c r="AD418" s="202"/>
      <c r="AE418" s="202"/>
      <c r="AF418" s="202"/>
      <c r="AG418" s="202"/>
      <c r="AH418" s="202"/>
      <c r="AI418" s="202"/>
      <c r="AJ418" s="202"/>
      <c r="AK418" s="202"/>
      <c r="AL418" s="202"/>
      <c r="AM418" s="202"/>
      <c r="AN418" s="202"/>
      <c r="AO418" s="202"/>
      <c r="AP418" s="202"/>
      <c r="AQ418" s="202"/>
      <c r="AR418" s="202"/>
      <c r="AS418" s="202"/>
      <c r="AT418" s="202"/>
      <c r="AU418" s="202"/>
      <c r="AV418" s="202"/>
      <c r="AW418" s="202"/>
      <c r="AX418" s="202"/>
      <c r="AY418" s="202"/>
      <c r="AZ418" s="202"/>
      <c r="BA418" s="202"/>
      <c r="BB418" s="202"/>
      <c r="BC418" s="202"/>
      <c r="BD418" s="202"/>
      <c r="BE418" s="202"/>
      <c r="BF418" s="202"/>
      <c r="BG418" s="202"/>
      <c r="BH418" s="202"/>
      <c r="BI418" s="202">
        <v>17981.11</v>
      </c>
      <c r="BJ418" s="202">
        <v>18610.439999999999</v>
      </c>
      <c r="BK418" s="202">
        <v>19239.78</v>
      </c>
      <c r="BL418" s="202">
        <v>19239.78</v>
      </c>
      <c r="BM418" s="202">
        <v>19239.78</v>
      </c>
      <c r="BN418" s="202">
        <v>19239.78</v>
      </c>
      <c r="BO418" s="202"/>
      <c r="BP418" s="202"/>
      <c r="BQ418" s="202"/>
      <c r="BR418" s="202"/>
      <c r="BS418" s="202"/>
      <c r="BT418" s="202"/>
      <c r="BU418" s="146" cm="1">
        <f t="array" ref="BU418">LOOKUP(2,1/(Y418:BT418&lt;&gt;""),Y418:BH418)</f>
        <v>19239.78</v>
      </c>
      <c r="BV418" s="145" cm="1">
        <f t="array" aca="1" ref="BV418" ca="1">_xlfn.LET(
    _xlpm.last_col_idx, LOOKUP(2, 1/(Y418:BT418&lt;&gt;""), COLUMN(Y418:BT418) - COLUMN(Y418) + 1),
    _xlpm.header_val, INDEX($Y$3:$BT$3, 1, _xlpm.last_col_idx),
    _xlpm.header_date, IF(ISNUMBER(_xlpm.header_val), _xlpm.header_val, DATEVALUE(_xlpm.header_val)),
    IF(_xlpm.header_date &gt; TODAY(), TODAY(), _xlpm.header_date)
)</f>
        <v>46174</v>
      </c>
      <c r="BW418" s="209" cm="1">
        <f t="array" ref="BW418">(LOOKUP(2,1/(BH418:BT418&lt;&gt;""),BH418:BT418))/(INDEX(BH418:BT418,MATCH(TRUE,INDEX((BH418:BT418&lt;&gt;0),0),0)))-1</f>
        <v>6.9999571772821456E-2</v>
      </c>
      <c r="BX418" s="210">
        <f t="shared" si="78"/>
        <v>19.23978</v>
      </c>
      <c r="BY418" s="210">
        <f t="shared" si="79"/>
        <v>19.23978</v>
      </c>
      <c r="BZ418" s="210">
        <f>IF(L418="BR",'Impostos e Frete'!$F$6,IF(L418="EU",'Impostos e Frete'!$I$3,IF(L418="CN",'Impostos e Frete'!$I$4,IF(L418="JP",'Impostos e Frete'!$I$5,IF(L418="RU",'Impostos e Frete'!$I$7,"ERRO")))))</f>
        <v>0</v>
      </c>
      <c r="CA418" s="210">
        <f>VLOOKUP(L418,'Impostos e Frete'!$A$3:$B$7,2,0)*'Preços e Condições'!BY418</f>
        <v>0</v>
      </c>
      <c r="CB418" s="147">
        <f t="shared" si="80"/>
        <v>0</v>
      </c>
      <c r="CC418" s="147">
        <f>IF(X418="BRL",'Impostos e Frete'!$B$11,'Impostos e Frete'!$B$12)</f>
        <v>0.2</v>
      </c>
      <c r="CD418" s="211">
        <f t="shared" si="81"/>
        <v>19.439779999999999</v>
      </c>
      <c r="CE418" s="212">
        <f t="shared" si="82"/>
        <v>0.77759120000000004</v>
      </c>
      <c r="CF418" s="213">
        <f>VLOOKUP(L418,'Impostos e Frete'!$A$3:$C$7,3,0)</f>
        <v>45</v>
      </c>
      <c r="CG418" s="213">
        <f t="shared" si="83"/>
        <v>0</v>
      </c>
      <c r="CH418" s="213">
        <f t="shared" si="84"/>
        <v>-45</v>
      </c>
      <c r="CI418" s="214">
        <f t="shared" si="85"/>
        <v>0.43903120375316362</v>
      </c>
      <c r="CJ418" s="215">
        <f t="shared" si="86"/>
        <v>19.878811203753163</v>
      </c>
      <c r="CK418" s="216">
        <f t="shared" si="87"/>
        <v>0.79515244815012653</v>
      </c>
    </row>
    <row r="419" spans="1:89">
      <c r="A419" s="203">
        <v>7000471</v>
      </c>
      <c r="B419" s="186">
        <v>9372</v>
      </c>
      <c r="C419" s="196">
        <v>40</v>
      </c>
      <c r="D419" s="178"/>
      <c r="E419" s="196" t="s">
        <v>209</v>
      </c>
      <c r="F419" s="197" t="s">
        <v>440</v>
      </c>
      <c r="G419" s="185" t="s">
        <v>75</v>
      </c>
      <c r="H419" s="178" t="s">
        <v>43</v>
      </c>
      <c r="I419" s="178"/>
      <c r="J419" s="178"/>
      <c r="K419" s="178"/>
      <c r="L419" s="183" t="s">
        <v>58</v>
      </c>
      <c r="M419" s="183">
        <v>0</v>
      </c>
      <c r="N419" s="183"/>
      <c r="O419" s="178"/>
      <c r="P419" s="178">
        <v>0</v>
      </c>
      <c r="Q419" s="178"/>
      <c r="R419" s="178" t="s">
        <v>19</v>
      </c>
      <c r="S419" s="181">
        <v>0.12</v>
      </c>
      <c r="T419" s="181" t="s">
        <v>23</v>
      </c>
      <c r="U419" s="182">
        <v>9.2499999999999999E-2</v>
      </c>
      <c r="V419" s="182" t="s">
        <v>35</v>
      </c>
      <c r="W419" s="183"/>
      <c r="X419" s="182" t="s">
        <v>46</v>
      </c>
      <c r="Y419" s="202"/>
      <c r="Z419" s="202"/>
      <c r="AA419" s="202"/>
      <c r="AB419" s="202"/>
      <c r="AC419" s="202"/>
      <c r="AD419" s="202"/>
      <c r="AE419" s="202"/>
      <c r="AF419" s="202"/>
      <c r="AG419" s="202"/>
      <c r="AH419" s="202"/>
      <c r="AI419" s="202"/>
      <c r="AJ419" s="202"/>
      <c r="AK419" s="202"/>
      <c r="AL419" s="202"/>
      <c r="AM419" s="202"/>
      <c r="AN419" s="202"/>
      <c r="AO419" s="202"/>
      <c r="AP419" s="202"/>
      <c r="AQ419" s="202"/>
      <c r="AR419" s="202"/>
      <c r="AS419" s="202"/>
      <c r="AT419" s="202"/>
      <c r="AU419" s="202"/>
      <c r="AV419" s="202"/>
      <c r="AW419" s="202"/>
      <c r="AX419" s="202"/>
      <c r="AY419" s="202"/>
      <c r="AZ419" s="202"/>
      <c r="BA419" s="202"/>
      <c r="BB419" s="202"/>
      <c r="BC419" s="202"/>
      <c r="BD419" s="202"/>
      <c r="BE419" s="202"/>
      <c r="BF419" s="202"/>
      <c r="BG419" s="202"/>
      <c r="BH419" s="202"/>
      <c r="BI419" s="184">
        <v>13274.03</v>
      </c>
      <c r="BJ419" s="184">
        <v>13738.61</v>
      </c>
      <c r="BK419" s="184">
        <v>14203.2</v>
      </c>
      <c r="BL419" s="202">
        <v>14203.2</v>
      </c>
      <c r="BM419" s="202">
        <v>14203.2</v>
      </c>
      <c r="BN419" s="202">
        <v>14203.2</v>
      </c>
      <c r="BO419" s="202"/>
      <c r="BP419" s="202"/>
      <c r="BQ419" s="202"/>
      <c r="BR419" s="202"/>
      <c r="BS419" s="202"/>
      <c r="BT419" s="202"/>
      <c r="BU419" s="146" cm="1">
        <f t="array" ref="BU419">LOOKUP(2,1/(Y419:BT419&lt;&gt;""),Y419:BH419)</f>
        <v>14203.2</v>
      </c>
      <c r="BV419" s="145" cm="1">
        <f t="array" aca="1" ref="BV419" ca="1">_xlfn.LET(
    _xlpm.last_col_idx, LOOKUP(2, 1/(Y419:BT419&lt;&gt;""), COLUMN(Y419:BT419) - COLUMN(Y419) + 1),
    _xlpm.header_val, INDEX($Y$3:$BT$3, 1, _xlpm.last_col_idx),
    _xlpm.header_date, IF(ISNUMBER(_xlpm.header_val), _xlpm.header_val, DATEVALUE(_xlpm.header_val)),
    IF(_xlpm.header_date &gt; TODAY(), TODAY(), _xlpm.header_date)
)</f>
        <v>46174</v>
      </c>
      <c r="BW419" s="209" cm="1">
        <f t="array" ref="BW419">(LOOKUP(2,1/(BH419:BT419&lt;&gt;""),BH419:BT419))/(INDEX(BH419:BT419,MATCH(TRUE,INDEX((BH419:BT419&lt;&gt;0),0),0)))-1</f>
        <v>6.9999088445634072E-2</v>
      </c>
      <c r="BX419" s="210">
        <f t="shared" si="78"/>
        <v>14.203200000000001</v>
      </c>
      <c r="BY419" s="210">
        <f t="shared" si="79"/>
        <v>14.203200000000001</v>
      </c>
      <c r="BZ419" s="210">
        <f>IF(L419="BR",'Impostos e Frete'!$F$6,IF(L419="EU",'Impostos e Frete'!$I$3,IF(L419="CN",'Impostos e Frete'!$I$4,IF(L419="JP",'Impostos e Frete'!$I$5,IF(L419="RU",'Impostos e Frete'!$I$7,"ERRO")))))</f>
        <v>0</v>
      </c>
      <c r="CA419" s="210">
        <f>VLOOKUP(L419,'Impostos e Frete'!$A$3:$B$7,2,0)*'Preços e Condições'!BY419</f>
        <v>0</v>
      </c>
      <c r="CB419" s="147">
        <f t="shared" si="80"/>
        <v>0</v>
      </c>
      <c r="CC419" s="147">
        <f>IF(X419="BRL",'Impostos e Frete'!$B$11,'Impostos e Frete'!$B$12)</f>
        <v>0.2</v>
      </c>
      <c r="CD419" s="211">
        <f t="shared" si="81"/>
        <v>14.4032</v>
      </c>
      <c r="CE419" s="212">
        <f t="shared" si="82"/>
        <v>0.57612799999999997</v>
      </c>
      <c r="CF419" s="213">
        <f>VLOOKUP(L419,'Impostos e Frete'!$A$3:$C$7,3,0)</f>
        <v>45</v>
      </c>
      <c r="CG419" s="213">
        <f t="shared" si="83"/>
        <v>0</v>
      </c>
      <c r="CH419" s="213">
        <f t="shared" si="84"/>
        <v>-45</v>
      </c>
      <c r="CI419" s="214">
        <f t="shared" si="85"/>
        <v>0.32528424878766948</v>
      </c>
      <c r="CJ419" s="215">
        <f t="shared" si="86"/>
        <v>14.728484248787669</v>
      </c>
      <c r="CK419" s="216">
        <f t="shared" si="87"/>
        <v>0.58913936995150673</v>
      </c>
    </row>
    <row r="420" spans="1:89">
      <c r="A420" s="203">
        <v>7000473</v>
      </c>
      <c r="B420" s="186">
        <v>9374</v>
      </c>
      <c r="C420" s="196">
        <v>40</v>
      </c>
      <c r="D420" s="178"/>
      <c r="E420" s="196" t="s">
        <v>209</v>
      </c>
      <c r="F420" s="197" t="s">
        <v>440</v>
      </c>
      <c r="G420" s="185" t="s">
        <v>76</v>
      </c>
      <c r="H420" s="178" t="s">
        <v>62</v>
      </c>
      <c r="I420" s="178"/>
      <c r="J420" s="178"/>
      <c r="K420" s="178"/>
      <c r="L420" s="183" t="s">
        <v>58</v>
      </c>
      <c r="M420" s="183">
        <v>0</v>
      </c>
      <c r="N420" s="183"/>
      <c r="O420" s="178"/>
      <c r="P420" s="178">
        <v>0</v>
      </c>
      <c r="Q420" s="178"/>
      <c r="R420" s="178" t="s">
        <v>19</v>
      </c>
      <c r="S420" s="181">
        <v>0.12</v>
      </c>
      <c r="T420" s="181" t="s">
        <v>23</v>
      </c>
      <c r="U420" s="182">
        <v>9.2499999999999999E-2</v>
      </c>
      <c r="V420" s="182" t="s">
        <v>35</v>
      </c>
      <c r="W420" s="183"/>
      <c r="X420" s="182" t="s">
        <v>46</v>
      </c>
      <c r="Y420" s="184"/>
      <c r="Z420" s="184"/>
      <c r="AA420" s="184"/>
      <c r="AB420" s="184"/>
      <c r="AC420" s="184"/>
      <c r="AD420" s="184"/>
      <c r="AE420" s="184"/>
      <c r="AF420" s="184"/>
      <c r="AG420" s="184"/>
      <c r="AH420" s="184"/>
      <c r="AI420" s="184"/>
      <c r="AJ420" s="184"/>
      <c r="AK420" s="184"/>
      <c r="AL420" s="184"/>
      <c r="AM420" s="184"/>
      <c r="AN420" s="184"/>
      <c r="AO420" s="184"/>
      <c r="AP420" s="184"/>
      <c r="AQ420" s="184"/>
      <c r="AR420" s="184"/>
      <c r="AS420" s="184"/>
      <c r="AT420" s="184"/>
      <c r="AU420" s="184"/>
      <c r="AV420" s="184"/>
      <c r="AW420" s="184"/>
      <c r="AX420" s="184"/>
      <c r="AY420" s="184"/>
      <c r="AZ420" s="184"/>
      <c r="BA420" s="184"/>
      <c r="BB420" s="184"/>
      <c r="BC420" s="184"/>
      <c r="BD420" s="184"/>
      <c r="BE420" s="184"/>
      <c r="BF420" s="184"/>
      <c r="BG420" s="184"/>
      <c r="BH420" s="184"/>
      <c r="BI420" s="184">
        <v>11575.55</v>
      </c>
      <c r="BJ420" s="184">
        <v>11980.69</v>
      </c>
      <c r="BK420" s="184">
        <v>12385.83</v>
      </c>
      <c r="BL420" s="184">
        <v>12385.83</v>
      </c>
      <c r="BM420" s="184">
        <v>12385.83</v>
      </c>
      <c r="BN420" s="184">
        <v>12385.83</v>
      </c>
      <c r="BO420" s="184"/>
      <c r="BP420" s="184"/>
      <c r="BQ420" s="184"/>
      <c r="BR420" s="184"/>
      <c r="BS420" s="184"/>
      <c r="BT420" s="184"/>
      <c r="BU420" s="146" cm="1">
        <f t="array" ref="BU420">LOOKUP(2,1/(Y420:BT420&lt;&gt;""),Y420:BH420)</f>
        <v>12385.83</v>
      </c>
      <c r="BV420" s="145" cm="1">
        <f t="array" aca="1" ref="BV420" ca="1">_xlfn.LET(
    _xlpm.last_col_idx, LOOKUP(2, 1/(Y420:BT420&lt;&gt;""), COLUMN(Y420:BT420) - COLUMN(Y420) + 1),
    _xlpm.header_val, INDEX($Y$3:$BT$3, 1, _xlpm.last_col_idx),
    _xlpm.header_date, IF(ISNUMBER(_xlpm.header_val), _xlpm.header_val, DATEVALUE(_xlpm.header_val)),
    IF(_xlpm.header_date &gt; TODAY(), TODAY(), _xlpm.header_date)
)</f>
        <v>46174</v>
      </c>
      <c r="BW420" s="209" cm="1">
        <f t="array" ref="BW420">(LOOKUP(2,1/(BH420:BT420&lt;&gt;""),BH420:BT420))/(INDEX(BH420:BT420,MATCH(TRUE,INDEX((BH420:BT420&lt;&gt;0),0),0)))-1</f>
        <v>6.999926569363879E-2</v>
      </c>
      <c r="BX420" s="210">
        <f t="shared" si="78"/>
        <v>12.38583</v>
      </c>
      <c r="BY420" s="210">
        <f t="shared" si="79"/>
        <v>12.38583</v>
      </c>
      <c r="BZ420" s="210">
        <f>IF(L420="BR",'Impostos e Frete'!$F$6,IF(L420="EU",'Impostos e Frete'!$I$3,IF(L420="CN",'Impostos e Frete'!$I$4,IF(L420="JP",'Impostos e Frete'!$I$5,IF(L420="RU",'Impostos e Frete'!$I$7,"ERRO")))))</f>
        <v>0</v>
      </c>
      <c r="CA420" s="210">
        <f>VLOOKUP(L420,'Impostos e Frete'!$A$3:$B$7,2,0)*'Preços e Condições'!BY420</f>
        <v>0</v>
      </c>
      <c r="CB420" s="147">
        <f t="shared" si="80"/>
        <v>0</v>
      </c>
      <c r="CC420" s="147">
        <f>IF(X420="BRL",'Impostos e Frete'!$B$11,'Impostos e Frete'!$B$12)</f>
        <v>0.2</v>
      </c>
      <c r="CD420" s="211">
        <f t="shared" si="81"/>
        <v>12.58583</v>
      </c>
      <c r="CE420" s="212">
        <f t="shared" si="82"/>
        <v>0.50343319999999991</v>
      </c>
      <c r="CF420" s="213">
        <f>VLOOKUP(L420,'Impostos e Frete'!$A$3:$C$7,3,0)</f>
        <v>45</v>
      </c>
      <c r="CG420" s="213">
        <f t="shared" si="83"/>
        <v>0</v>
      </c>
      <c r="CH420" s="213">
        <f t="shared" si="84"/>
        <v>-45</v>
      </c>
      <c r="CI420" s="214">
        <f t="shared" si="85"/>
        <v>0.28424046440508555</v>
      </c>
      <c r="CJ420" s="215">
        <f t="shared" si="86"/>
        <v>12.870070464405085</v>
      </c>
      <c r="CK420" s="216">
        <f t="shared" si="87"/>
        <v>0.51480281857620336</v>
      </c>
    </row>
    <row r="421" spans="1:89">
      <c r="A421" s="203">
        <v>7000476</v>
      </c>
      <c r="B421" s="186">
        <v>9377</v>
      </c>
      <c r="C421" s="196">
        <v>40</v>
      </c>
      <c r="D421" s="178"/>
      <c r="E421" s="196" t="s">
        <v>209</v>
      </c>
      <c r="F421" s="197" t="s">
        <v>440</v>
      </c>
      <c r="G421" s="185" t="s">
        <v>78</v>
      </c>
      <c r="H421" s="178" t="s">
        <v>66</v>
      </c>
      <c r="I421" s="178"/>
      <c r="J421" s="178"/>
      <c r="K421" s="178"/>
      <c r="L421" s="183" t="s">
        <v>58</v>
      </c>
      <c r="M421" s="183">
        <v>0</v>
      </c>
      <c r="N421" s="183"/>
      <c r="O421" s="178"/>
      <c r="P421" s="178">
        <v>0</v>
      </c>
      <c r="Q421" s="178"/>
      <c r="R421" s="178" t="s">
        <v>19</v>
      </c>
      <c r="S421" s="181">
        <v>0.12</v>
      </c>
      <c r="T421" s="181" t="s">
        <v>23</v>
      </c>
      <c r="U421" s="182">
        <v>9.2499999999999999E-2</v>
      </c>
      <c r="V421" s="182" t="s">
        <v>35</v>
      </c>
      <c r="W421" s="183"/>
      <c r="X421" s="182" t="s">
        <v>46</v>
      </c>
      <c r="Y421" s="184"/>
      <c r="Z421" s="184"/>
      <c r="AA421" s="184"/>
      <c r="AB421" s="184"/>
      <c r="AC421" s="184"/>
      <c r="AD421" s="184"/>
      <c r="AE421" s="184"/>
      <c r="AF421" s="184"/>
      <c r="AG421" s="184"/>
      <c r="AH421" s="184"/>
      <c r="AI421" s="184"/>
      <c r="AJ421" s="184"/>
      <c r="AK421" s="184"/>
      <c r="AL421" s="184"/>
      <c r="AM421" s="184"/>
      <c r="AN421" s="184"/>
      <c r="AO421" s="184"/>
      <c r="AP421" s="184"/>
      <c r="AQ421" s="184"/>
      <c r="AR421" s="184"/>
      <c r="AS421" s="184"/>
      <c r="AT421" s="184"/>
      <c r="AU421" s="184"/>
      <c r="AV421" s="184"/>
      <c r="AW421" s="184"/>
      <c r="AX421" s="184"/>
      <c r="AY421" s="184"/>
      <c r="AZ421" s="184"/>
      <c r="BA421" s="184"/>
      <c r="BB421" s="184"/>
      <c r="BC421" s="184"/>
      <c r="BD421" s="184"/>
      <c r="BE421" s="184"/>
      <c r="BF421" s="184"/>
      <c r="BG421" s="184"/>
      <c r="BH421" s="184"/>
      <c r="BI421" s="184">
        <v>15722.81</v>
      </c>
      <c r="BJ421" s="184">
        <v>16273.1</v>
      </c>
      <c r="BK421" s="184">
        <v>16823.400000000001</v>
      </c>
      <c r="BL421" s="184">
        <v>16823.400000000001</v>
      </c>
      <c r="BM421" s="184">
        <v>16823.400000000001</v>
      </c>
      <c r="BN421" s="184">
        <v>16823.400000000001</v>
      </c>
      <c r="BO421" s="184"/>
      <c r="BP421" s="184"/>
      <c r="BQ421" s="184"/>
      <c r="BR421" s="184"/>
      <c r="BS421" s="184"/>
      <c r="BT421" s="184"/>
      <c r="BU421" s="146" cm="1">
        <f t="array" ref="BU421">LOOKUP(2,1/(Y421:BT421&lt;&gt;""),Y421:BH421)</f>
        <v>16823.400000000001</v>
      </c>
      <c r="BV421" s="145" cm="1">
        <f t="array" aca="1" ref="BV421" ca="1">_xlfn.LET(
    _xlpm.last_col_idx, LOOKUP(2, 1/(Y421:BT421&lt;&gt;""), COLUMN(Y421:BT421) - COLUMN(Y421) + 1),
    _xlpm.header_val, INDEX($Y$3:$BT$3, 1, _xlpm.last_col_idx),
    _xlpm.header_date, IF(ISNUMBER(_xlpm.header_val), _xlpm.header_val, DATEVALUE(_xlpm.header_val)),
    IF(_xlpm.header_date &gt; TODAY(), TODAY(), _xlpm.header_date)
)</f>
        <v>46174</v>
      </c>
      <c r="BW421" s="209" cm="1">
        <f t="array" ref="BW421">(LOOKUP(2,1/(BH421:BT421&lt;&gt;""),BH421:BT421))/(INDEX(BH421:BT421,MATCH(TRUE,INDEX((BH421:BT421&lt;&gt;0),0),0)))-1</f>
        <v>6.9999573867521203E-2</v>
      </c>
      <c r="BX421" s="210">
        <f t="shared" si="78"/>
        <v>16.823400000000003</v>
      </c>
      <c r="BY421" s="210">
        <f t="shared" si="79"/>
        <v>16.823400000000003</v>
      </c>
      <c r="BZ421" s="210">
        <f>IF(L421="BR",'Impostos e Frete'!$F$6,IF(L421="EU",'Impostos e Frete'!$I$3,IF(L421="CN",'Impostos e Frete'!$I$4,IF(L421="JP",'Impostos e Frete'!$I$5,IF(L421="RU",'Impostos e Frete'!$I$7,"ERRO")))))</f>
        <v>0</v>
      </c>
      <c r="CA421" s="210">
        <f>VLOOKUP(L421,'Impostos e Frete'!$A$3:$B$7,2,0)*'Preços e Condições'!BY421</f>
        <v>0</v>
      </c>
      <c r="CB421" s="147">
        <f t="shared" si="80"/>
        <v>0</v>
      </c>
      <c r="CC421" s="147">
        <f>IF(X421="BRL",'Impostos e Frete'!$B$11,'Impostos e Frete'!$B$12)</f>
        <v>0.2</v>
      </c>
      <c r="CD421" s="211">
        <f t="shared" si="81"/>
        <v>17.023400000000002</v>
      </c>
      <c r="CE421" s="212">
        <f t="shared" si="82"/>
        <v>0.68093599999999999</v>
      </c>
      <c r="CF421" s="213">
        <f>VLOOKUP(L421,'Impostos e Frete'!$A$3:$C$7,3,0)</f>
        <v>45</v>
      </c>
      <c r="CG421" s="213">
        <f t="shared" si="83"/>
        <v>0</v>
      </c>
      <c r="CH421" s="213">
        <f t="shared" si="84"/>
        <v>-45</v>
      </c>
      <c r="CI421" s="214">
        <f t="shared" si="85"/>
        <v>0.38445927855004669</v>
      </c>
      <c r="CJ421" s="215">
        <f t="shared" si="86"/>
        <v>17.407859278550049</v>
      </c>
      <c r="CK421" s="216">
        <f t="shared" si="87"/>
        <v>0.6963143711420019</v>
      </c>
    </row>
    <row r="422" spans="1:89">
      <c r="A422" s="195">
        <v>7000477</v>
      </c>
      <c r="B422" s="186">
        <v>80</v>
      </c>
      <c r="C422" s="196">
        <v>80</v>
      </c>
      <c r="D422" s="178">
        <v>1830</v>
      </c>
      <c r="E422" s="196" t="s">
        <v>49</v>
      </c>
      <c r="F422" s="197" t="s">
        <v>47</v>
      </c>
      <c r="G422" s="185" t="s">
        <v>143</v>
      </c>
      <c r="H422" s="178" t="s">
        <v>66</v>
      </c>
      <c r="I422" s="178">
        <v>3222</v>
      </c>
      <c r="J422" s="178"/>
      <c r="K422" s="178"/>
      <c r="L422" s="178" t="s">
        <v>59</v>
      </c>
      <c r="M422" s="178">
        <v>120</v>
      </c>
      <c r="N422" s="178">
        <v>300</v>
      </c>
      <c r="O422" s="178"/>
      <c r="P422" s="178"/>
      <c r="Q422" s="178"/>
      <c r="R422" s="178" t="s">
        <v>19</v>
      </c>
      <c r="S422" s="181"/>
      <c r="T422" s="181"/>
      <c r="U422" s="182"/>
      <c r="V422" s="182" t="s">
        <v>35</v>
      </c>
      <c r="W422" s="183"/>
      <c r="X422" s="182" t="s">
        <v>51</v>
      </c>
      <c r="Y422" s="184"/>
      <c r="Z422" s="184"/>
      <c r="AA422" s="184"/>
      <c r="AB422" s="184"/>
      <c r="AC422" s="184"/>
      <c r="AD422" s="184"/>
      <c r="AE422" s="184"/>
      <c r="AF422" s="184"/>
      <c r="AG422" s="184"/>
      <c r="AH422" s="184"/>
      <c r="AI422" s="184"/>
      <c r="AJ422" s="184"/>
      <c r="AK422" s="184"/>
      <c r="AL422" s="184"/>
      <c r="AM422" s="184"/>
      <c r="AN422" s="184"/>
      <c r="AO422" s="184"/>
      <c r="AP422" s="184"/>
      <c r="AQ422" s="184"/>
      <c r="AR422" s="184"/>
      <c r="AS422" s="184"/>
      <c r="AT422" s="184"/>
      <c r="AU422" s="184"/>
      <c r="AV422" s="184"/>
      <c r="AW422" s="184"/>
      <c r="AX422" s="184"/>
      <c r="AY422" s="184"/>
      <c r="AZ422" s="184"/>
      <c r="BA422" s="184"/>
      <c r="BB422" s="184"/>
      <c r="BC422" s="184"/>
      <c r="BD422" s="184"/>
      <c r="BE422" s="184"/>
      <c r="BF422" s="184"/>
      <c r="BG422" s="184"/>
      <c r="BH422" s="184"/>
      <c r="BI422" s="184"/>
      <c r="BJ422" s="184"/>
      <c r="BK422" s="184"/>
      <c r="BL422" s="184"/>
      <c r="BM422" s="184"/>
      <c r="BN422" s="184"/>
      <c r="BO422" s="184"/>
      <c r="BP422" s="184"/>
      <c r="BQ422" s="184"/>
      <c r="BR422" s="184"/>
      <c r="BS422" s="184"/>
      <c r="BT422" s="184"/>
      <c r="BU422" s="146" t="e" cm="1">
        <f t="array" ref="BU422">LOOKUP(2,1/(Y422:BT422&lt;&gt;""),Y422:BH422)</f>
        <v>#N/A</v>
      </c>
      <c r="BV422" s="145" t="e" cm="1">
        <f t="array" aca="1" ref="BV422" ca="1">_xlfn.LET(
    _xlpm.last_col_idx, LOOKUP(2, 1/(Y422:BT422&lt;&gt;""), COLUMN(Y422:BT422) - COLUMN(Y422) + 1),
    _xlpm.header_val, INDEX($Y$3:$BT$3, 1, _xlpm.last_col_idx),
    _xlpm.header_date, IF(ISNUMBER(_xlpm.header_val), _xlpm.header_val, DATEVALUE(_xlpm.header_val)),
    IF(_xlpm.header_date &gt; TODAY(), TODAY(), _xlpm.header_date)
)</f>
        <v>#N/A</v>
      </c>
      <c r="BW422" s="209" t="e" cm="1">
        <f t="array" ref="BW422">(LOOKUP(2,1/(BH422:BT422&lt;&gt;""),BH422:BT422))/(INDEX(BH422:BT422,MATCH(TRUE,INDEX((BH422:BT422&lt;&gt;0),0),0)))-1</f>
        <v>#N/A</v>
      </c>
      <c r="BX422" s="210" t="e">
        <f t="shared" si="78"/>
        <v>#N/A</v>
      </c>
      <c r="BY422" s="210" t="e">
        <f t="shared" si="79"/>
        <v>#N/A</v>
      </c>
      <c r="BZ422" s="210">
        <f ca="1">IF(L422="BR",'Impostos e Frete'!$F$6,IF(L422="EU",'Impostos e Frete'!$I$3,IF(L422="CN",'Impostos e Frete'!$I$4,IF(L422="JP",'Impostos e Frete'!$I$5,IF(L422="RU",'Impostos e Frete'!$I$7,"ERRO")))))</f>
        <v>0.1410816</v>
      </c>
      <c r="CA422" s="210" t="e">
        <f>VLOOKUP(L422,'Impostos e Frete'!$A$3:$B$7,2,0)*'Preços e Condições'!BY422</f>
        <v>#N/A</v>
      </c>
      <c r="CB422" s="147">
        <f t="shared" si="80"/>
        <v>0</v>
      </c>
      <c r="CC422" s="147">
        <f>IF(X422="BRL",'Impostos e Frete'!$B$11,'Impostos e Frete'!$B$12)</f>
        <v>9.1999999999999998E-2</v>
      </c>
      <c r="CD422" s="211" t="e">
        <f t="shared" si="81"/>
        <v>#N/A</v>
      </c>
      <c r="CE422" s="212" t="e">
        <f t="shared" si="82"/>
        <v>#N/A</v>
      </c>
      <c r="CF422" s="213">
        <f>VLOOKUP(L422,'Impostos e Frete'!$A$3:$C$7,3,0)</f>
        <v>105</v>
      </c>
      <c r="CG422" s="213">
        <f t="shared" si="83"/>
        <v>120</v>
      </c>
      <c r="CH422" s="213">
        <f t="shared" si="84"/>
        <v>15</v>
      </c>
      <c r="CI422" s="214" t="e">
        <f t="shared" si="85"/>
        <v>#N/A</v>
      </c>
      <c r="CJ422" s="215" t="e">
        <f t="shared" si="86"/>
        <v>#N/A</v>
      </c>
      <c r="CK422" s="216" t="e">
        <f t="shared" si="87"/>
        <v>#N/A</v>
      </c>
    </row>
    <row r="423" spans="1:89">
      <c r="A423" s="195">
        <v>7000479</v>
      </c>
      <c r="B423" s="186">
        <v>104</v>
      </c>
      <c r="C423" s="196">
        <v>80</v>
      </c>
      <c r="D423" s="178"/>
      <c r="E423" s="196" t="s">
        <v>49</v>
      </c>
      <c r="F423" s="197" t="s">
        <v>1</v>
      </c>
      <c r="G423" s="192" t="s">
        <v>4</v>
      </c>
      <c r="H423" s="183" t="s">
        <v>43</v>
      </c>
      <c r="I423" s="178">
        <v>963</v>
      </c>
      <c r="J423" s="183"/>
      <c r="K423" s="183" t="s">
        <v>28</v>
      </c>
      <c r="L423" s="183" t="s">
        <v>58</v>
      </c>
      <c r="M423" s="183">
        <v>0</v>
      </c>
      <c r="N423" s="183"/>
      <c r="O423" s="183"/>
      <c r="P423" s="183">
        <v>3</v>
      </c>
      <c r="Q423" s="183" t="s">
        <v>27</v>
      </c>
      <c r="R423" s="183" t="s">
        <v>19</v>
      </c>
      <c r="S423" s="181">
        <v>0.12</v>
      </c>
      <c r="T423" s="181" t="s">
        <v>210</v>
      </c>
      <c r="U423" s="182">
        <v>9.2499999999999999E-2</v>
      </c>
      <c r="V423" s="182" t="s">
        <v>35</v>
      </c>
      <c r="W423" s="183">
        <v>40</v>
      </c>
      <c r="X423" s="182" t="s">
        <v>46</v>
      </c>
      <c r="Y423" s="184"/>
      <c r="Z423" s="184"/>
      <c r="AA423" s="184"/>
      <c r="AB423" s="184"/>
      <c r="AC423" s="184"/>
      <c r="AD423" s="184"/>
      <c r="AE423" s="184"/>
      <c r="AF423" s="184"/>
      <c r="AG423" s="184"/>
      <c r="AH423" s="184"/>
      <c r="AI423" s="184"/>
      <c r="AJ423" s="184"/>
      <c r="AK423" s="184"/>
      <c r="AL423" s="184"/>
      <c r="AM423" s="184"/>
      <c r="AN423" s="184"/>
      <c r="AO423" s="184"/>
      <c r="AP423" s="184"/>
      <c r="AQ423" s="184"/>
      <c r="AR423" s="184"/>
      <c r="AS423" s="184"/>
      <c r="AT423" s="184"/>
      <c r="AU423" s="184"/>
      <c r="AV423" s="184"/>
      <c r="AW423" s="184"/>
      <c r="AX423" s="184"/>
      <c r="AY423" s="184"/>
      <c r="AZ423" s="184"/>
      <c r="BA423" s="184"/>
      <c r="BB423" s="184"/>
      <c r="BC423" s="184"/>
      <c r="BD423" s="184"/>
      <c r="BE423" s="184"/>
      <c r="BF423" s="184"/>
      <c r="BG423" s="184"/>
      <c r="BH423" s="184"/>
      <c r="BI423" s="184">
        <v>13634</v>
      </c>
      <c r="BJ423" s="184">
        <v>13634</v>
      </c>
      <c r="BK423" s="184">
        <v>13634</v>
      </c>
      <c r="BL423" s="184">
        <v>14425</v>
      </c>
      <c r="BM423" s="184">
        <v>14425</v>
      </c>
      <c r="BN423" s="184">
        <v>14425</v>
      </c>
      <c r="BO423" s="184">
        <v>15045</v>
      </c>
      <c r="BP423" s="184">
        <v>15045</v>
      </c>
      <c r="BQ423" s="184">
        <v>15045</v>
      </c>
      <c r="BR423" s="184"/>
      <c r="BS423" s="184"/>
      <c r="BT423" s="184"/>
      <c r="BU423" s="146" cm="1">
        <f t="array" ref="BU423">LOOKUP(2,1/(Y423:BT423&lt;&gt;""),Y423:BH423)</f>
        <v>15045</v>
      </c>
      <c r="BV423" s="145" cm="1">
        <f t="array" aca="1" ref="BV423" ca="1">_xlfn.LET(
    _xlpm.last_col_idx, LOOKUP(2, 1/(Y423:BT423&lt;&gt;""), COLUMN(Y423:BT423) - COLUMN(Y423) + 1),
    _xlpm.header_val, INDEX($Y$3:$BT$3, 1, _xlpm.last_col_idx),
    _xlpm.header_date, IF(ISNUMBER(_xlpm.header_val), _xlpm.header_val, DATEVALUE(_xlpm.header_val)),
    IF(_xlpm.header_date &gt; TODAY(), TODAY(), _xlpm.header_date)
)</f>
        <v>46212</v>
      </c>
      <c r="BW423" s="209" cm="1">
        <f t="array" ref="BW423">(LOOKUP(2,1/(BH423:BT423&lt;&gt;""),BH423:BT423))/(INDEX(BH423:BT423,MATCH(TRUE,INDEX((BH423:BT423&lt;&gt;0),0),0)))-1</f>
        <v>0.10349127182044882</v>
      </c>
      <c r="BX423" s="210">
        <f t="shared" si="78"/>
        <v>15.045</v>
      </c>
      <c r="BY423" s="210">
        <f t="shared" si="79"/>
        <v>15.045</v>
      </c>
      <c r="BZ423" s="210">
        <f>IF(L423="BR",'Impostos e Frete'!$F$6,IF(L423="EU",'Impostos e Frete'!$I$3,IF(L423="CN",'Impostos e Frete'!$I$4,IF(L423="JP",'Impostos e Frete'!$I$5,IF(L423="RU",'Impostos e Frete'!$I$7,"ERRO")))))</f>
        <v>0</v>
      </c>
      <c r="CA423" s="210">
        <f>VLOOKUP(L423,'Impostos e Frete'!$A$3:$B$7,2,0)*'Preços e Condições'!BY423</f>
        <v>0</v>
      </c>
      <c r="CB423" s="147">
        <f t="shared" si="80"/>
        <v>0</v>
      </c>
      <c r="CC423" s="147">
        <f>IF(X423="BRL",'Impostos e Frete'!$B$11,'Impostos e Frete'!$B$12)</f>
        <v>0.2</v>
      </c>
      <c r="CD423" s="211">
        <f t="shared" si="81"/>
        <v>15.244999999999999</v>
      </c>
      <c r="CE423" s="212">
        <f t="shared" si="82"/>
        <v>1.2196</v>
      </c>
      <c r="CF423" s="213">
        <f>VLOOKUP(L423,'Impostos e Frete'!$A$3:$C$7,3,0)</f>
        <v>45</v>
      </c>
      <c r="CG423" s="213">
        <f t="shared" si="83"/>
        <v>0</v>
      </c>
      <c r="CH423" s="213">
        <f t="shared" si="84"/>
        <v>-45</v>
      </c>
      <c r="CI423" s="214">
        <f t="shared" si="85"/>
        <v>0.34429559908687146</v>
      </c>
      <c r="CJ423" s="215">
        <f t="shared" si="86"/>
        <v>15.589295599086871</v>
      </c>
      <c r="CK423" s="216">
        <f t="shared" si="87"/>
        <v>1.2471436479269495</v>
      </c>
    </row>
    <row r="424" spans="1:89">
      <c r="A424" s="203">
        <v>7000480</v>
      </c>
      <c r="B424" s="186">
        <v>104</v>
      </c>
      <c r="C424" s="196">
        <v>78</v>
      </c>
      <c r="D424" s="196"/>
      <c r="E424" s="196" t="s">
        <v>49</v>
      </c>
      <c r="F424" s="179" t="s">
        <v>108</v>
      </c>
      <c r="G424" s="185" t="s">
        <v>114</v>
      </c>
      <c r="H424" s="178" t="s">
        <v>43</v>
      </c>
      <c r="I424" s="178">
        <v>104</v>
      </c>
      <c r="J424" s="178"/>
      <c r="K424" s="178"/>
      <c r="L424" s="183" t="s">
        <v>59</v>
      </c>
      <c r="M424" s="183">
        <v>30</v>
      </c>
      <c r="N424" s="183">
        <v>500</v>
      </c>
      <c r="O424" s="178"/>
      <c r="P424" s="178"/>
      <c r="Q424" s="178"/>
      <c r="R424" s="178" t="s">
        <v>19</v>
      </c>
      <c r="S424" s="181"/>
      <c r="T424" s="181"/>
      <c r="U424" s="182"/>
      <c r="V424" s="182" t="s">
        <v>35</v>
      </c>
      <c r="W424" s="183">
        <v>250</v>
      </c>
      <c r="X424" s="182" t="s">
        <v>51</v>
      </c>
      <c r="Y424" s="202"/>
      <c r="Z424" s="202"/>
      <c r="AA424" s="202"/>
      <c r="AB424" s="202"/>
      <c r="AC424" s="202"/>
      <c r="AD424" s="202"/>
      <c r="AE424" s="202"/>
      <c r="AF424" s="202"/>
      <c r="AG424" s="202"/>
      <c r="AH424" s="202"/>
      <c r="AI424" s="202"/>
      <c r="AJ424" s="202"/>
      <c r="AK424" s="202"/>
      <c r="AL424" s="202"/>
      <c r="AM424" s="202"/>
      <c r="AN424" s="202"/>
      <c r="AO424" s="202"/>
      <c r="AP424" s="202"/>
      <c r="AQ424" s="202"/>
      <c r="AR424" s="202"/>
      <c r="AS424" s="202"/>
      <c r="AT424" s="202"/>
      <c r="AU424" s="202"/>
      <c r="AV424" s="202"/>
      <c r="AW424" s="202"/>
      <c r="AX424" s="202"/>
      <c r="AY424" s="202"/>
      <c r="AZ424" s="202"/>
      <c r="BA424" s="202"/>
      <c r="BB424" s="202"/>
      <c r="BC424" s="202"/>
      <c r="BD424" s="202"/>
      <c r="BE424" s="202"/>
      <c r="BF424" s="202"/>
      <c r="BG424" s="202"/>
      <c r="BH424" s="202"/>
      <c r="BI424" s="184"/>
      <c r="BJ424" s="184"/>
      <c r="BK424" s="184"/>
      <c r="BL424" s="184"/>
      <c r="BM424" s="184"/>
      <c r="BN424" s="184"/>
      <c r="BO424" s="202">
        <v>1600</v>
      </c>
      <c r="BP424" s="202">
        <v>1600</v>
      </c>
      <c r="BQ424" s="202">
        <v>1600</v>
      </c>
      <c r="BR424" s="202"/>
      <c r="BS424" s="202"/>
      <c r="BT424" s="202"/>
      <c r="BU424" s="146" cm="1">
        <f t="array" ref="BU424">LOOKUP(2,1/(Y424:BT424&lt;&gt;""),Y424:BH424)</f>
        <v>1600</v>
      </c>
      <c r="BV424" s="145" cm="1">
        <f t="array" aca="1" ref="BV424" ca="1">_xlfn.LET(
    _xlpm.last_col_idx, LOOKUP(2, 1/(Y424:BT424&lt;&gt;""), COLUMN(Y424:BT424) - COLUMN(Y424) + 1),
    _xlpm.header_val, INDEX($Y$3:$BT$3, 1, _xlpm.last_col_idx),
    _xlpm.header_date, IF(ISNUMBER(_xlpm.header_val), _xlpm.header_val, DATEVALUE(_xlpm.header_val)),
    IF(_xlpm.header_date &gt; TODAY(), TODAY(), _xlpm.header_date)
)</f>
        <v>46212</v>
      </c>
      <c r="BW424" s="209" cm="1">
        <f t="array" ref="BW424">(LOOKUP(2,1/(BH424:BT424&lt;&gt;""),BH424:BT424))/(INDEX(BH424:BT424,MATCH(TRUE,INDEX((BH424:BT424&lt;&gt;0),0),0)))-1</f>
        <v>0</v>
      </c>
      <c r="BX424" s="210">
        <f t="shared" si="78"/>
        <v>1.6</v>
      </c>
      <c r="BY424" s="210">
        <f t="shared" si="79"/>
        <v>9.4400000000000013</v>
      </c>
      <c r="BZ424" s="210">
        <f ca="1">IF(L424="BR",'Impostos e Frete'!$F$6,IF(L424="EU",'Impostos e Frete'!$I$3,IF(L424="CN",'Impostos e Frete'!$I$4,IF(L424="JP",'Impostos e Frete'!$I$5,IF(L424="RU",'Impostos e Frete'!$I$7,"ERRO")))))</f>
        <v>0.1410816</v>
      </c>
      <c r="CA424" s="210">
        <f>VLOOKUP(L424,'Impostos e Frete'!$A$3:$B$7,2,0)*'Preços e Condições'!BY424</f>
        <v>1.2272000000000003</v>
      </c>
      <c r="CB424" s="147">
        <f t="shared" si="80"/>
        <v>0</v>
      </c>
      <c r="CC424" s="147">
        <f>IF(X424="BRL",'Impostos e Frete'!$B$11,'Impostos e Frete'!$B$12)</f>
        <v>9.1999999999999998E-2</v>
      </c>
      <c r="CD424" s="211">
        <f t="shared" ca="1" si="81"/>
        <v>10.900281600000001</v>
      </c>
      <c r="CE424" s="212">
        <f t="shared" ca="1" si="82"/>
        <v>0.85022196480000001</v>
      </c>
      <c r="CF424" s="213">
        <f>VLOOKUP(L424,'Impostos e Frete'!$A$3:$C$7,3,0)</f>
        <v>105</v>
      </c>
      <c r="CG424" s="213">
        <f t="shared" si="83"/>
        <v>30</v>
      </c>
      <c r="CH424" s="213">
        <f t="shared" si="84"/>
        <v>-75</v>
      </c>
      <c r="CI424" s="214">
        <f t="shared" ca="1" si="85"/>
        <v>0.41337059123141451</v>
      </c>
      <c r="CJ424" s="215">
        <f t="shared" ca="1" si="86"/>
        <v>11.313652191231416</v>
      </c>
      <c r="CK424" s="216">
        <f t="shared" ca="1" si="87"/>
        <v>0.88246487091605053</v>
      </c>
    </row>
    <row r="425" spans="1:89">
      <c r="A425" s="203">
        <v>7000480</v>
      </c>
      <c r="B425" s="186">
        <v>104</v>
      </c>
      <c r="C425" s="196">
        <v>78</v>
      </c>
      <c r="D425" s="196"/>
      <c r="E425" s="196" t="s">
        <v>49</v>
      </c>
      <c r="F425" s="179" t="s">
        <v>108</v>
      </c>
      <c r="G425" s="185" t="s">
        <v>114</v>
      </c>
      <c r="H425" s="178" t="s">
        <v>43</v>
      </c>
      <c r="I425" s="178">
        <v>104</v>
      </c>
      <c r="J425" s="178"/>
      <c r="K425" s="178"/>
      <c r="L425" s="183" t="s">
        <v>59</v>
      </c>
      <c r="M425" s="183">
        <v>30</v>
      </c>
      <c r="N425" s="183">
        <v>500</v>
      </c>
      <c r="O425" s="178"/>
      <c r="P425" s="178"/>
      <c r="Q425" s="178"/>
      <c r="R425" s="178" t="s">
        <v>19</v>
      </c>
      <c r="S425" s="181"/>
      <c r="T425" s="181"/>
      <c r="U425" s="182"/>
      <c r="V425" s="182" t="s">
        <v>35</v>
      </c>
      <c r="W425" s="183">
        <v>80</v>
      </c>
      <c r="X425" s="182" t="s">
        <v>51</v>
      </c>
      <c r="Y425" s="202"/>
      <c r="Z425" s="202"/>
      <c r="AA425" s="202"/>
      <c r="AB425" s="202"/>
      <c r="AC425" s="202"/>
      <c r="AD425" s="202"/>
      <c r="AE425" s="202"/>
      <c r="AF425" s="202"/>
      <c r="AG425" s="202"/>
      <c r="AH425" s="202"/>
      <c r="AI425" s="202"/>
      <c r="AJ425" s="202"/>
      <c r="AK425" s="202"/>
      <c r="AL425" s="202"/>
      <c r="AM425" s="202"/>
      <c r="AN425" s="202"/>
      <c r="AO425" s="202"/>
      <c r="AP425" s="202"/>
      <c r="AQ425" s="202"/>
      <c r="AR425" s="202"/>
      <c r="AS425" s="202"/>
      <c r="AT425" s="202"/>
      <c r="AU425" s="202"/>
      <c r="AV425" s="202"/>
      <c r="AW425" s="202"/>
      <c r="AX425" s="202"/>
      <c r="AY425" s="202"/>
      <c r="AZ425" s="202"/>
      <c r="BA425" s="202"/>
      <c r="BB425" s="202"/>
      <c r="BC425" s="202"/>
      <c r="BD425" s="202"/>
      <c r="BE425" s="202"/>
      <c r="BF425" s="202"/>
      <c r="BG425" s="202"/>
      <c r="BH425" s="202"/>
      <c r="BI425" s="184">
        <v>1650</v>
      </c>
      <c r="BJ425" s="184">
        <v>1650</v>
      </c>
      <c r="BK425" s="184">
        <v>1650</v>
      </c>
      <c r="BL425" s="184">
        <v>1650</v>
      </c>
      <c r="BM425" s="184">
        <v>1650</v>
      </c>
      <c r="BN425" s="184">
        <v>1650</v>
      </c>
      <c r="BO425" s="202">
        <v>1650</v>
      </c>
      <c r="BP425" s="202">
        <v>1650</v>
      </c>
      <c r="BQ425" s="202">
        <v>1650</v>
      </c>
      <c r="BR425" s="202"/>
      <c r="BS425" s="202"/>
      <c r="BT425" s="202"/>
      <c r="BU425" s="146" cm="1">
        <f t="array" ref="BU425">LOOKUP(2,1/(Y425:BT425&lt;&gt;""),Y425:BH425)</f>
        <v>1650</v>
      </c>
      <c r="BV425" s="145" cm="1">
        <f t="array" aca="1" ref="BV425" ca="1">_xlfn.LET(
    _xlpm.last_col_idx, LOOKUP(2, 1/(Y425:BT425&lt;&gt;""), COLUMN(Y425:BT425) - COLUMN(Y425) + 1),
    _xlpm.header_val, INDEX($Y$3:$BT$3, 1, _xlpm.last_col_idx),
    _xlpm.header_date, IF(ISNUMBER(_xlpm.header_val), _xlpm.header_val, DATEVALUE(_xlpm.header_val)),
    IF(_xlpm.header_date &gt; TODAY(), TODAY(), _xlpm.header_date)
)</f>
        <v>46212</v>
      </c>
      <c r="BW425" s="209" cm="1">
        <f t="array" ref="BW425">(LOOKUP(2,1/(BH425:BT425&lt;&gt;""),BH425:BT425))/(INDEX(BH425:BT425,MATCH(TRUE,INDEX((BH425:BT425&lt;&gt;0),0),0)))-1</f>
        <v>0</v>
      </c>
      <c r="BX425" s="210">
        <f t="shared" si="78"/>
        <v>1.65</v>
      </c>
      <c r="BY425" s="210">
        <f t="shared" si="79"/>
        <v>9.7349999999999994</v>
      </c>
      <c r="BZ425" s="210">
        <f ca="1">IF(L425="BR",'Impostos e Frete'!$F$6,IF(L425="EU",'Impostos e Frete'!$I$3,IF(L425="CN",'Impostos e Frete'!$I$4,IF(L425="JP",'Impostos e Frete'!$I$5,IF(L425="RU",'Impostos e Frete'!$I$7,"ERRO")))))</f>
        <v>0.1410816</v>
      </c>
      <c r="CA425" s="210">
        <f>VLOOKUP(L425,'Impostos e Frete'!$A$3:$B$7,2,0)*'Preços e Condições'!BY425</f>
        <v>1.26555</v>
      </c>
      <c r="CB425" s="147">
        <f t="shared" si="80"/>
        <v>0</v>
      </c>
      <c r="CC425" s="147">
        <f>IF(X425="BRL",'Impostos e Frete'!$B$11,'Impostos e Frete'!$B$12)</f>
        <v>9.1999999999999998E-2</v>
      </c>
      <c r="CD425" s="211">
        <f t="shared" ca="1" si="81"/>
        <v>11.233631599999999</v>
      </c>
      <c r="CE425" s="212">
        <f t="shared" ca="1" si="82"/>
        <v>0.8762232647999999</v>
      </c>
      <c r="CF425" s="213">
        <f>VLOOKUP(L425,'Impostos e Frete'!$A$3:$C$7,3,0)</f>
        <v>105</v>
      </c>
      <c r="CG425" s="213">
        <f t="shared" si="83"/>
        <v>30</v>
      </c>
      <c r="CH425" s="213">
        <f t="shared" si="84"/>
        <v>-75</v>
      </c>
      <c r="CI425" s="214">
        <f t="shared" ca="1" si="85"/>
        <v>0.42601219918647715</v>
      </c>
      <c r="CJ425" s="215">
        <f t="shared" ca="1" si="86"/>
        <v>11.659643799186476</v>
      </c>
      <c r="CK425" s="216">
        <f t="shared" ca="1" si="87"/>
        <v>0.90945221633654516</v>
      </c>
    </row>
    <row r="426" spans="1:89">
      <c r="A426" s="195">
        <v>7000481</v>
      </c>
      <c r="B426" s="186">
        <v>104</v>
      </c>
      <c r="C426" s="196">
        <v>80</v>
      </c>
      <c r="D426" s="196"/>
      <c r="E426" s="196" t="s">
        <v>49</v>
      </c>
      <c r="F426" s="179" t="s">
        <v>0</v>
      </c>
      <c r="G426" s="180" t="s">
        <v>71</v>
      </c>
      <c r="H426" s="178" t="s">
        <v>43</v>
      </c>
      <c r="I426" s="178"/>
      <c r="J426" s="178"/>
      <c r="K426" s="178"/>
      <c r="L426" s="178" t="s">
        <v>60</v>
      </c>
      <c r="M426" s="178">
        <v>90</v>
      </c>
      <c r="N426" s="178">
        <v>3300</v>
      </c>
      <c r="O426" s="178"/>
      <c r="P426" s="178"/>
      <c r="Q426" s="178"/>
      <c r="R426" s="178" t="s">
        <v>19</v>
      </c>
      <c r="S426" s="181"/>
      <c r="T426" s="181"/>
      <c r="U426" s="182"/>
      <c r="V426" s="182" t="s">
        <v>35</v>
      </c>
      <c r="W426" s="183">
        <v>100</v>
      </c>
      <c r="X426" s="182" t="s">
        <v>267</v>
      </c>
      <c r="Y426" s="202"/>
      <c r="Z426" s="202"/>
      <c r="AA426" s="202"/>
      <c r="AB426" s="202"/>
      <c r="AC426" s="202"/>
      <c r="AD426" s="202"/>
      <c r="AE426" s="202"/>
      <c r="AF426" s="202"/>
      <c r="AG426" s="202"/>
      <c r="AH426" s="202"/>
      <c r="AI426" s="202"/>
      <c r="AJ426" s="202"/>
      <c r="AK426" s="202"/>
      <c r="AL426" s="202"/>
      <c r="AM426" s="202"/>
      <c r="AN426" s="202"/>
      <c r="AO426" s="202"/>
      <c r="AP426" s="202"/>
      <c r="AQ426" s="202"/>
      <c r="AR426" s="202"/>
      <c r="AS426" s="202"/>
      <c r="AT426" s="202"/>
      <c r="AU426" s="202"/>
      <c r="AV426" s="202"/>
      <c r="AW426" s="202"/>
      <c r="AX426" s="202"/>
      <c r="AY426" s="202"/>
      <c r="AZ426" s="202"/>
      <c r="BA426" s="202"/>
      <c r="BB426" s="202"/>
      <c r="BC426" s="202"/>
      <c r="BD426" s="202"/>
      <c r="BE426" s="202"/>
      <c r="BF426" s="202"/>
      <c r="BG426" s="202"/>
      <c r="BH426" s="202"/>
      <c r="BI426" s="184">
        <v>11650</v>
      </c>
      <c r="BJ426" s="184">
        <v>11650</v>
      </c>
      <c r="BK426" s="184">
        <v>11650</v>
      </c>
      <c r="BL426" s="184">
        <v>11650</v>
      </c>
      <c r="BM426" s="184">
        <v>11650</v>
      </c>
      <c r="BN426" s="184">
        <v>11650</v>
      </c>
      <c r="BO426" s="202"/>
      <c r="BP426" s="202"/>
      <c r="BQ426" s="202"/>
      <c r="BR426" s="202"/>
      <c r="BS426" s="202"/>
      <c r="BT426" s="202"/>
      <c r="BU426" s="146" cm="1">
        <f t="array" ref="BU426">LOOKUP(2,1/(Y426:BT426&lt;&gt;""),Y426:BH426)</f>
        <v>11650</v>
      </c>
      <c r="BV426" s="145" cm="1">
        <f t="array" aca="1" ref="BV426" ca="1">_xlfn.LET(
    _xlpm.last_col_idx, LOOKUP(2, 1/(Y426:BT426&lt;&gt;""), COLUMN(Y426:BT426) - COLUMN(Y426) + 1),
    _xlpm.header_val, INDEX($Y$3:$BT$3, 1, _xlpm.last_col_idx),
    _xlpm.header_date, IF(ISNUMBER(_xlpm.header_val), _xlpm.header_val, DATEVALUE(_xlpm.header_val)),
    IF(_xlpm.header_date &gt; TODAY(), TODAY(), _xlpm.header_date)
)</f>
        <v>46174</v>
      </c>
      <c r="BW426" s="209" cm="1">
        <f t="array" ref="BW426">(LOOKUP(2,1/(BH426:BT426&lt;&gt;""),BH426:BT426))/(INDEX(BH426:BT426,MATCH(TRUE,INDEX((BH426:BT426&lt;&gt;0),0),0)))-1</f>
        <v>0</v>
      </c>
      <c r="BX426" s="210">
        <f t="shared" si="78"/>
        <v>11.65</v>
      </c>
      <c r="BY426" s="210">
        <f t="shared" si="79"/>
        <v>8.7375000000000007</v>
      </c>
      <c r="BZ426" s="210">
        <f ca="1">IF(L426="BR",'Impostos e Frete'!$F$6,IF(L426="EU",'Impostos e Frete'!$I$3,IF(L426="CN",'Impostos e Frete'!$I$4,IF(L426="JP",'Impostos e Frete'!$I$5,IF(L426="RU",'Impostos e Frete'!$I$7,"ERRO")))))</f>
        <v>1.1330439999999999</v>
      </c>
      <c r="CA426" s="210">
        <f>VLOOKUP(L426,'Impostos e Frete'!$A$3:$B$7,2,0)*'Preços e Condições'!BY426</f>
        <v>1.2232500000000002</v>
      </c>
      <c r="CB426" s="147">
        <f t="shared" si="80"/>
        <v>0</v>
      </c>
      <c r="CC426" s="147">
        <f>IF(X426="BRL",'Impostos e Frete'!$B$11,'Impostos e Frete'!$B$12)</f>
        <v>9.1999999999999998E-2</v>
      </c>
      <c r="CD426" s="211">
        <f t="shared" ca="1" si="81"/>
        <v>11.185794000000001</v>
      </c>
      <c r="CE426" s="212">
        <f t="shared" ca="1" si="82"/>
        <v>0.89486352000000002</v>
      </c>
      <c r="CF426" s="213">
        <f>VLOOKUP(L426,'Impostos e Frete'!$A$3:$C$7,3,0)</f>
        <v>120</v>
      </c>
      <c r="CG426" s="213">
        <f t="shared" si="83"/>
        <v>90</v>
      </c>
      <c r="CH426" s="213">
        <f t="shared" si="84"/>
        <v>-30</v>
      </c>
      <c r="CI426" s="214">
        <f t="shared" ca="1" si="85"/>
        <v>0.16778690999999846</v>
      </c>
      <c r="CJ426" s="215">
        <f t="shared" ca="1" si="86"/>
        <v>11.35358091</v>
      </c>
      <c r="CK426" s="216">
        <f t="shared" ca="1" si="87"/>
        <v>0.90828647279999997</v>
      </c>
    </row>
    <row r="427" spans="1:89">
      <c r="A427" s="195">
        <v>7000483</v>
      </c>
      <c r="B427" s="186">
        <v>86</v>
      </c>
      <c r="C427" s="196">
        <v>70</v>
      </c>
      <c r="D427" s="196">
        <v>1860</v>
      </c>
      <c r="E427" s="196" t="s">
        <v>49</v>
      </c>
      <c r="F427" s="179" t="s">
        <v>0</v>
      </c>
      <c r="G427" s="180" t="s">
        <v>340</v>
      </c>
      <c r="H427" s="178" t="s">
        <v>43</v>
      </c>
      <c r="I427" s="178" t="s">
        <v>100</v>
      </c>
      <c r="J427" s="178"/>
      <c r="K427" s="178"/>
      <c r="L427" s="178" t="s">
        <v>60</v>
      </c>
      <c r="M427" s="178">
        <v>90</v>
      </c>
      <c r="N427" s="178">
        <v>3300</v>
      </c>
      <c r="O427" s="178"/>
      <c r="P427" s="178"/>
      <c r="Q427" s="178"/>
      <c r="R427" s="178" t="s">
        <v>19</v>
      </c>
      <c r="S427" s="181"/>
      <c r="T427" s="181"/>
      <c r="U427" s="182"/>
      <c r="V427" s="182" t="s">
        <v>35</v>
      </c>
      <c r="W427" s="183">
        <v>100</v>
      </c>
      <c r="X427" s="182" t="s">
        <v>267</v>
      </c>
      <c r="Y427" s="202"/>
      <c r="Z427" s="202"/>
      <c r="AA427" s="202"/>
      <c r="AB427" s="202"/>
      <c r="AC427" s="202"/>
      <c r="AD427" s="202"/>
      <c r="AE427" s="202"/>
      <c r="AF427" s="202"/>
      <c r="AG427" s="202"/>
      <c r="AH427" s="202"/>
      <c r="AI427" s="202"/>
      <c r="AJ427" s="202"/>
      <c r="AK427" s="202"/>
      <c r="AL427" s="202"/>
      <c r="AM427" s="202"/>
      <c r="AN427" s="202"/>
      <c r="AO427" s="202"/>
      <c r="AP427" s="202"/>
      <c r="AQ427" s="202"/>
      <c r="AR427" s="202"/>
      <c r="AS427" s="202"/>
      <c r="AT427" s="202"/>
      <c r="AU427" s="202"/>
      <c r="AV427" s="202"/>
      <c r="AW427" s="202"/>
      <c r="AX427" s="202"/>
      <c r="AY427" s="202"/>
      <c r="AZ427" s="202"/>
      <c r="BA427" s="202"/>
      <c r="BB427" s="202"/>
      <c r="BC427" s="202"/>
      <c r="BD427" s="202"/>
      <c r="BE427" s="202"/>
      <c r="BF427" s="202"/>
      <c r="BG427" s="202"/>
      <c r="BH427" s="202"/>
      <c r="BI427" s="184">
        <v>11600</v>
      </c>
      <c r="BJ427" s="184">
        <v>11600</v>
      </c>
      <c r="BK427" s="184">
        <v>11600</v>
      </c>
      <c r="BL427" s="184">
        <v>11600</v>
      </c>
      <c r="BM427" s="184">
        <v>11600</v>
      </c>
      <c r="BN427" s="184">
        <v>11600</v>
      </c>
      <c r="BO427" s="202"/>
      <c r="BP427" s="202"/>
      <c r="BQ427" s="202"/>
      <c r="BR427" s="202"/>
      <c r="BS427" s="202"/>
      <c r="BT427" s="202"/>
      <c r="BU427" s="146" cm="1">
        <f t="array" ref="BU427">LOOKUP(2,1/(Y427:BT427&lt;&gt;""),Y427:BH427)</f>
        <v>11600</v>
      </c>
      <c r="BV427" s="145" cm="1">
        <f t="array" aca="1" ref="BV427" ca="1">_xlfn.LET(
    _xlpm.last_col_idx, LOOKUP(2, 1/(Y427:BT427&lt;&gt;""), COLUMN(Y427:BT427) - COLUMN(Y427) + 1),
    _xlpm.header_val, INDEX($Y$3:$BT$3, 1, _xlpm.last_col_idx),
    _xlpm.header_date, IF(ISNUMBER(_xlpm.header_val), _xlpm.header_val, DATEVALUE(_xlpm.header_val)),
    IF(_xlpm.header_date &gt; TODAY(), TODAY(), _xlpm.header_date)
)</f>
        <v>46174</v>
      </c>
      <c r="BW427" s="209" cm="1">
        <f t="array" ref="BW427">(LOOKUP(2,1/(BH427:BT427&lt;&gt;""),BH427:BT427))/(INDEX(BH427:BT427,MATCH(TRUE,INDEX((BH427:BT427&lt;&gt;0),0),0)))-1</f>
        <v>0</v>
      </c>
      <c r="BX427" s="210">
        <f t="shared" si="78"/>
        <v>11.6</v>
      </c>
      <c r="BY427" s="210">
        <f t="shared" si="79"/>
        <v>8.6999999999999993</v>
      </c>
      <c r="BZ427" s="210">
        <f ca="1">IF(L427="BR",'Impostos e Frete'!$F$6,IF(L427="EU",'Impostos e Frete'!$I$3,IF(L427="CN",'Impostos e Frete'!$I$4,IF(L427="JP",'Impostos e Frete'!$I$5,IF(L427="RU",'Impostos e Frete'!$I$7,"ERRO")))))</f>
        <v>1.1330439999999999</v>
      </c>
      <c r="CA427" s="210">
        <f>VLOOKUP(L427,'Impostos e Frete'!$A$3:$B$7,2,0)*'Preços e Condições'!BY427</f>
        <v>1.218</v>
      </c>
      <c r="CB427" s="147">
        <f t="shared" si="80"/>
        <v>0</v>
      </c>
      <c r="CC427" s="147">
        <f>IF(X427="BRL",'Impostos e Frete'!$B$11,'Impostos e Frete'!$B$12)</f>
        <v>9.1999999999999998E-2</v>
      </c>
      <c r="CD427" s="211">
        <f t="shared" ca="1" si="81"/>
        <v>11.143044</v>
      </c>
      <c r="CE427" s="212">
        <f t="shared" ca="1" si="82"/>
        <v>0.78001307999999991</v>
      </c>
      <c r="CF427" s="213">
        <f>VLOOKUP(L427,'Impostos e Frete'!$A$3:$C$7,3,0)</f>
        <v>120</v>
      </c>
      <c r="CG427" s="213">
        <f t="shared" si="83"/>
        <v>90</v>
      </c>
      <c r="CH427" s="213">
        <f t="shared" si="84"/>
        <v>-30</v>
      </c>
      <c r="CI427" s="214">
        <f t="shared" ca="1" si="85"/>
        <v>0.1671456599999992</v>
      </c>
      <c r="CJ427" s="215">
        <f t="shared" ca="1" si="86"/>
        <v>11.310189659999999</v>
      </c>
      <c r="CK427" s="216">
        <f t="shared" ca="1" si="87"/>
        <v>0.79171327619999998</v>
      </c>
    </row>
    <row r="428" spans="1:89">
      <c r="A428" s="195">
        <v>7000484</v>
      </c>
      <c r="B428" s="186">
        <v>2</v>
      </c>
      <c r="C428" s="196">
        <v>80</v>
      </c>
      <c r="D428" s="196"/>
      <c r="E428" s="178" t="s">
        <v>49</v>
      </c>
      <c r="F428" s="179" t="s">
        <v>0</v>
      </c>
      <c r="G428" s="180" t="s">
        <v>96</v>
      </c>
      <c r="H428" s="178" t="s">
        <v>43</v>
      </c>
      <c r="I428" s="178" t="s">
        <v>99</v>
      </c>
      <c r="J428" s="178"/>
      <c r="K428" s="178"/>
      <c r="L428" s="178" t="s">
        <v>60</v>
      </c>
      <c r="M428" s="178">
        <v>90</v>
      </c>
      <c r="N428" s="178">
        <v>3300</v>
      </c>
      <c r="O428" s="178"/>
      <c r="P428" s="178"/>
      <c r="Q428" s="178"/>
      <c r="R428" s="178" t="s">
        <v>19</v>
      </c>
      <c r="S428" s="181"/>
      <c r="T428" s="181"/>
      <c r="U428" s="182"/>
      <c r="V428" s="182" t="s">
        <v>35</v>
      </c>
      <c r="W428" s="183">
        <v>100</v>
      </c>
      <c r="X428" s="182" t="s">
        <v>267</v>
      </c>
      <c r="Y428" s="202"/>
      <c r="Z428" s="202"/>
      <c r="AA428" s="202"/>
      <c r="AB428" s="202"/>
      <c r="AC428" s="202"/>
      <c r="AD428" s="202"/>
      <c r="AE428" s="202"/>
      <c r="AF428" s="202"/>
      <c r="AG428" s="202"/>
      <c r="AH428" s="202"/>
      <c r="AI428" s="202"/>
      <c r="AJ428" s="202"/>
      <c r="AK428" s="202"/>
      <c r="AL428" s="202"/>
      <c r="AM428" s="202"/>
      <c r="AN428" s="202"/>
      <c r="AO428" s="202"/>
      <c r="AP428" s="202"/>
      <c r="AQ428" s="202"/>
      <c r="AR428" s="202"/>
      <c r="AS428" s="202"/>
      <c r="AT428" s="202"/>
      <c r="AU428" s="202"/>
      <c r="AV428" s="202"/>
      <c r="AW428" s="202"/>
      <c r="AX428" s="202"/>
      <c r="AY428" s="202"/>
      <c r="AZ428" s="202"/>
      <c r="BA428" s="202"/>
      <c r="BB428" s="202"/>
      <c r="BC428" s="202"/>
      <c r="BD428" s="202"/>
      <c r="BE428" s="202"/>
      <c r="BF428" s="202"/>
      <c r="BG428" s="202"/>
      <c r="BH428" s="202"/>
      <c r="BI428" s="184">
        <v>14500</v>
      </c>
      <c r="BJ428" s="184">
        <v>14500</v>
      </c>
      <c r="BK428" s="184">
        <v>14500</v>
      </c>
      <c r="BL428" s="202">
        <v>14500</v>
      </c>
      <c r="BM428" s="202">
        <v>14500</v>
      </c>
      <c r="BN428" s="202">
        <v>14500</v>
      </c>
      <c r="BO428" s="202"/>
      <c r="BP428" s="202"/>
      <c r="BQ428" s="202"/>
      <c r="BR428" s="202"/>
      <c r="BS428" s="202"/>
      <c r="BT428" s="202"/>
      <c r="BU428" s="146" cm="1">
        <f t="array" ref="BU428">LOOKUP(2,1/(Y428:BT428&lt;&gt;""),Y428:BH428)</f>
        <v>14500</v>
      </c>
      <c r="BV428" s="145" cm="1">
        <f t="array" aca="1" ref="BV428" ca="1">_xlfn.LET(
    _xlpm.last_col_idx, LOOKUP(2, 1/(Y428:BT428&lt;&gt;""), COLUMN(Y428:BT428) - COLUMN(Y428) + 1),
    _xlpm.header_val, INDEX($Y$3:$BT$3, 1, _xlpm.last_col_idx),
    _xlpm.header_date, IF(ISNUMBER(_xlpm.header_val), _xlpm.header_val, DATEVALUE(_xlpm.header_val)),
    IF(_xlpm.header_date &gt; TODAY(), TODAY(), _xlpm.header_date)
)</f>
        <v>46174</v>
      </c>
      <c r="BW428" s="209" cm="1">
        <f t="array" ref="BW428">(LOOKUP(2,1/(BH428:BT428&lt;&gt;""),BH428:BT428))/(INDEX(BH428:BT428,MATCH(TRUE,INDEX((BH428:BT428&lt;&gt;0),0),0)))-1</f>
        <v>0</v>
      </c>
      <c r="BX428" s="210">
        <f t="shared" si="78"/>
        <v>14.5</v>
      </c>
      <c r="BY428" s="210">
        <f t="shared" si="79"/>
        <v>10.875</v>
      </c>
      <c r="BZ428" s="210">
        <f ca="1">IF(L428="BR",'Impostos e Frete'!$F$6,IF(L428="EU",'Impostos e Frete'!$I$3,IF(L428="CN",'Impostos e Frete'!$I$4,IF(L428="JP",'Impostos e Frete'!$I$5,IF(L428="RU",'Impostos e Frete'!$I$7,"ERRO")))))</f>
        <v>1.1330439999999999</v>
      </c>
      <c r="CA428" s="210">
        <f>VLOOKUP(L428,'Impostos e Frete'!$A$3:$B$7,2,0)*'Preços e Condições'!BY428</f>
        <v>1.5225000000000002</v>
      </c>
      <c r="CB428" s="147">
        <f t="shared" si="80"/>
        <v>0</v>
      </c>
      <c r="CC428" s="147">
        <f>IF(X428="BRL",'Impostos e Frete'!$B$11,'Impostos e Frete'!$B$12)</f>
        <v>9.1999999999999998E-2</v>
      </c>
      <c r="CD428" s="211">
        <f t="shared" ca="1" si="81"/>
        <v>13.622544000000001</v>
      </c>
      <c r="CE428" s="212">
        <f t="shared" ca="1" si="82"/>
        <v>1.0898035200000002</v>
      </c>
      <c r="CF428" s="213">
        <f>VLOOKUP(L428,'Impostos e Frete'!$A$3:$C$7,3,0)</f>
        <v>120</v>
      </c>
      <c r="CG428" s="213">
        <f t="shared" si="83"/>
        <v>90</v>
      </c>
      <c r="CH428" s="213">
        <f t="shared" si="84"/>
        <v>-30</v>
      </c>
      <c r="CI428" s="214">
        <f t="shared" ca="1" si="85"/>
        <v>0.20433815999999894</v>
      </c>
      <c r="CJ428" s="215">
        <f t="shared" ca="1" si="86"/>
        <v>13.82688216</v>
      </c>
      <c r="CK428" s="216">
        <f t="shared" ca="1" si="87"/>
        <v>1.1061505728000001</v>
      </c>
    </row>
    <row r="429" spans="1:89">
      <c r="A429" s="195">
        <v>7000485</v>
      </c>
      <c r="B429" s="186">
        <v>9080</v>
      </c>
      <c r="C429" s="196">
        <v>80</v>
      </c>
      <c r="D429" s="196"/>
      <c r="E429" s="178" t="s">
        <v>49</v>
      </c>
      <c r="F429" s="179" t="s">
        <v>1</v>
      </c>
      <c r="G429" s="192" t="s">
        <v>8</v>
      </c>
      <c r="H429" s="183" t="s">
        <v>42</v>
      </c>
      <c r="I429" s="178">
        <v>9080</v>
      </c>
      <c r="J429" s="183"/>
      <c r="K429" s="183" t="s">
        <v>28</v>
      </c>
      <c r="L429" s="183" t="s">
        <v>58</v>
      </c>
      <c r="M429" s="183">
        <v>0</v>
      </c>
      <c r="N429" s="183"/>
      <c r="O429" s="183"/>
      <c r="P429" s="183">
        <v>3</v>
      </c>
      <c r="Q429" s="183" t="s">
        <v>27</v>
      </c>
      <c r="R429" s="183" t="s">
        <v>19</v>
      </c>
      <c r="S429" s="181">
        <v>0.12</v>
      </c>
      <c r="T429" s="181" t="s">
        <v>210</v>
      </c>
      <c r="U429" s="182">
        <v>9.2499999999999999E-2</v>
      </c>
      <c r="V429" s="182" t="s">
        <v>35</v>
      </c>
      <c r="W429" s="183">
        <v>40</v>
      </c>
      <c r="X429" s="182" t="s">
        <v>46</v>
      </c>
      <c r="Y429" s="202"/>
      <c r="Z429" s="202"/>
      <c r="AA429" s="202"/>
      <c r="AB429" s="202"/>
      <c r="AC429" s="202"/>
      <c r="AD429" s="202"/>
      <c r="AE429" s="202"/>
      <c r="AF429" s="202"/>
      <c r="AG429" s="202"/>
      <c r="AH429" s="202"/>
      <c r="AI429" s="202"/>
      <c r="AJ429" s="202"/>
      <c r="AK429" s="202"/>
      <c r="AL429" s="202"/>
      <c r="AM429" s="202"/>
      <c r="AN429" s="202"/>
      <c r="AO429" s="202"/>
      <c r="AP429" s="202"/>
      <c r="AQ429" s="202"/>
      <c r="AR429" s="202"/>
      <c r="AS429" s="202"/>
      <c r="AT429" s="202"/>
      <c r="AU429" s="202"/>
      <c r="AV429" s="202"/>
      <c r="AW429" s="202"/>
      <c r="AX429" s="202"/>
      <c r="AY429" s="202"/>
      <c r="AZ429" s="202"/>
      <c r="BA429" s="202"/>
      <c r="BB429" s="202"/>
      <c r="BC429" s="202"/>
      <c r="BD429" s="202"/>
      <c r="BE429" s="202"/>
      <c r="BF429" s="202"/>
      <c r="BG429" s="202"/>
      <c r="BH429" s="202"/>
      <c r="BI429" s="184">
        <v>17941</v>
      </c>
      <c r="BJ429" s="184">
        <v>17941</v>
      </c>
      <c r="BK429" s="184">
        <v>17941</v>
      </c>
      <c r="BL429" s="202">
        <v>18981</v>
      </c>
      <c r="BM429" s="202">
        <v>18981</v>
      </c>
      <c r="BN429" s="202">
        <v>18981</v>
      </c>
      <c r="BO429" s="202">
        <v>19787</v>
      </c>
      <c r="BP429" s="202">
        <v>19787</v>
      </c>
      <c r="BQ429" s="202">
        <v>19787</v>
      </c>
      <c r="BR429" s="202"/>
      <c r="BS429" s="202"/>
      <c r="BT429" s="202"/>
      <c r="BU429" s="146" cm="1">
        <f t="array" ref="BU429">LOOKUP(2,1/(Y429:BT429&lt;&gt;""),Y429:BH429)</f>
        <v>19787</v>
      </c>
      <c r="BV429" s="145" cm="1">
        <f t="array" aca="1" ref="BV429" ca="1">_xlfn.LET(
    _xlpm.last_col_idx, LOOKUP(2, 1/(Y429:BT429&lt;&gt;""), COLUMN(Y429:BT429) - COLUMN(Y429) + 1),
    _xlpm.header_val, INDEX($Y$3:$BT$3, 1, _xlpm.last_col_idx),
    _xlpm.header_date, IF(ISNUMBER(_xlpm.header_val), _xlpm.header_val, DATEVALUE(_xlpm.header_val)),
    IF(_xlpm.header_date &gt; TODAY(), TODAY(), _xlpm.header_date)
)</f>
        <v>46212</v>
      </c>
      <c r="BW429" s="209" cm="1">
        <f t="array" ref="BW429">(LOOKUP(2,1/(BH429:BT429&lt;&gt;""),BH429:BT429))/(INDEX(BH429:BT429,MATCH(TRUE,INDEX((BH429:BT429&lt;&gt;0),0),0)))-1</f>
        <v>0.10289281533916728</v>
      </c>
      <c r="BX429" s="210">
        <f t="shared" si="78"/>
        <v>19.786999999999999</v>
      </c>
      <c r="BY429" s="210">
        <f t="shared" si="79"/>
        <v>19.786999999999999</v>
      </c>
      <c r="BZ429" s="210">
        <f>IF(L429="BR",'Impostos e Frete'!$F$6,IF(L429="EU",'Impostos e Frete'!$I$3,IF(L429="CN",'Impostos e Frete'!$I$4,IF(L429="JP",'Impostos e Frete'!$I$5,IF(L429="RU",'Impostos e Frete'!$I$7,"ERRO")))))</f>
        <v>0</v>
      </c>
      <c r="CA429" s="210">
        <f>VLOOKUP(L429,'Impostos e Frete'!$A$3:$B$7,2,0)*'Preços e Condições'!BY429</f>
        <v>0</v>
      </c>
      <c r="CB429" s="147">
        <f t="shared" si="80"/>
        <v>0</v>
      </c>
      <c r="CC429" s="147">
        <f>IF(X429="BRL",'Impostos e Frete'!$B$11,'Impostos e Frete'!$B$12)</f>
        <v>0.2</v>
      </c>
      <c r="CD429" s="211">
        <f t="shared" si="81"/>
        <v>19.986999999999998</v>
      </c>
      <c r="CE429" s="212">
        <f t="shared" si="82"/>
        <v>1.5989599999999999</v>
      </c>
      <c r="CF429" s="213">
        <f>VLOOKUP(L429,'Impostos e Frete'!$A$3:$C$7,3,0)</f>
        <v>45</v>
      </c>
      <c r="CG429" s="213">
        <f t="shared" si="83"/>
        <v>0</v>
      </c>
      <c r="CH429" s="213">
        <f t="shared" si="84"/>
        <v>-45</v>
      </c>
      <c r="CI429" s="214">
        <f t="shared" si="85"/>
        <v>0.45138971065590638</v>
      </c>
      <c r="CJ429" s="215">
        <f t="shared" si="86"/>
        <v>20.438389710655905</v>
      </c>
      <c r="CK429" s="216">
        <f t="shared" si="87"/>
        <v>1.6350711768524722</v>
      </c>
    </row>
    <row r="430" spans="1:89">
      <c r="A430" s="195">
        <v>7000487</v>
      </c>
      <c r="B430" s="186">
        <v>9300</v>
      </c>
      <c r="C430" s="223">
        <v>80</v>
      </c>
      <c r="D430" s="223"/>
      <c r="E430" s="178" t="s">
        <v>49</v>
      </c>
      <c r="F430" s="191" t="s">
        <v>1</v>
      </c>
      <c r="G430" s="192" t="s">
        <v>10</v>
      </c>
      <c r="H430" s="190" t="s">
        <v>63</v>
      </c>
      <c r="I430" s="178">
        <v>9300</v>
      </c>
      <c r="J430" s="183"/>
      <c r="K430" s="190"/>
      <c r="L430" s="183" t="s">
        <v>58</v>
      </c>
      <c r="M430" s="183">
        <v>0</v>
      </c>
      <c r="N430" s="183"/>
      <c r="O430" s="183"/>
      <c r="P430" s="183">
        <v>3</v>
      </c>
      <c r="Q430" s="183" t="s">
        <v>27</v>
      </c>
      <c r="R430" s="183" t="s">
        <v>19</v>
      </c>
      <c r="S430" s="181">
        <v>0.04</v>
      </c>
      <c r="T430" s="181" t="s">
        <v>210</v>
      </c>
      <c r="U430" s="182">
        <v>9.2499999999999999E-2</v>
      </c>
      <c r="V430" s="182" t="s">
        <v>35</v>
      </c>
      <c r="W430" s="183">
        <v>40</v>
      </c>
      <c r="X430" s="182" t="s">
        <v>46</v>
      </c>
      <c r="Y430" s="227"/>
      <c r="Z430" s="227"/>
      <c r="AA430" s="227"/>
      <c r="AB430" s="227"/>
      <c r="AC430" s="227"/>
      <c r="AD430" s="227"/>
      <c r="AE430" s="227"/>
      <c r="AF430" s="227"/>
      <c r="AG430" s="227"/>
      <c r="AH430" s="227"/>
      <c r="AI430" s="227"/>
      <c r="AJ430" s="227"/>
      <c r="AK430" s="227"/>
      <c r="AL430" s="227"/>
      <c r="AM430" s="227"/>
      <c r="AN430" s="227"/>
      <c r="AO430" s="227"/>
      <c r="AP430" s="227"/>
      <c r="AQ430" s="227"/>
      <c r="AR430" s="227"/>
      <c r="AS430" s="227"/>
      <c r="AT430" s="202"/>
      <c r="AU430" s="202"/>
      <c r="AV430" s="202"/>
      <c r="AW430" s="202"/>
      <c r="AX430" s="202"/>
      <c r="AY430" s="202"/>
      <c r="AZ430" s="202"/>
      <c r="BA430" s="202"/>
      <c r="BB430" s="202"/>
      <c r="BC430" s="202"/>
      <c r="BD430" s="202"/>
      <c r="BE430" s="202"/>
      <c r="BF430" s="202"/>
      <c r="BG430" s="202"/>
      <c r="BH430" s="202"/>
      <c r="BI430" s="184">
        <v>21370</v>
      </c>
      <c r="BJ430" s="184">
        <v>21370</v>
      </c>
      <c r="BK430" s="184">
        <v>21370</v>
      </c>
      <c r="BL430" s="202">
        <v>22609</v>
      </c>
      <c r="BM430" s="202">
        <v>22609</v>
      </c>
      <c r="BN430" s="202">
        <v>22609</v>
      </c>
      <c r="BO430" s="202">
        <v>23581</v>
      </c>
      <c r="BP430" s="202">
        <v>23581</v>
      </c>
      <c r="BQ430" s="202">
        <v>23581</v>
      </c>
      <c r="BR430" s="202"/>
      <c r="BS430" s="202"/>
      <c r="BT430" s="202"/>
      <c r="BU430" s="146" cm="1">
        <f t="array" ref="BU430">LOOKUP(2,1/(Y430:BT430&lt;&gt;""),Y430:BH430)</f>
        <v>23581</v>
      </c>
      <c r="BV430" s="145" cm="1">
        <f t="array" aca="1" ref="BV430" ca="1">_xlfn.LET(
    _xlpm.last_col_idx, LOOKUP(2, 1/(Y430:BT430&lt;&gt;""), COLUMN(Y430:BT430) - COLUMN(Y430) + 1),
    _xlpm.header_val, INDEX($Y$3:$BT$3, 1, _xlpm.last_col_idx),
    _xlpm.header_date, IF(ISNUMBER(_xlpm.header_val), _xlpm.header_val, DATEVALUE(_xlpm.header_val)),
    IF(_xlpm.header_date &gt; TODAY(), TODAY(), _xlpm.header_date)
)</f>
        <v>46212</v>
      </c>
      <c r="BW430" s="209" cm="1">
        <f t="array" ref="BW430">(LOOKUP(2,1/(BH430:BT430&lt;&gt;""),BH430:BT430))/(INDEX(BH430:BT430,MATCH(TRUE,INDEX((BH430:BT430&lt;&gt;0),0),0)))-1</f>
        <v>0.10346279831539551</v>
      </c>
      <c r="BX430" s="210">
        <f t="shared" si="78"/>
        <v>23.581</v>
      </c>
      <c r="BY430" s="210">
        <f t="shared" si="79"/>
        <v>23.581</v>
      </c>
      <c r="BZ430" s="210">
        <f>IF(L430="BR",'Impostos e Frete'!$F$6,IF(L430="EU",'Impostos e Frete'!$I$3,IF(L430="CN",'Impostos e Frete'!$I$4,IF(L430="JP",'Impostos e Frete'!$I$5,IF(L430="RU",'Impostos e Frete'!$I$7,"ERRO")))))</f>
        <v>0</v>
      </c>
      <c r="CA430" s="210">
        <f>VLOOKUP(L430,'Impostos e Frete'!$A$3:$B$7,2,0)*'Preços e Condições'!BY430</f>
        <v>0</v>
      </c>
      <c r="CB430" s="147">
        <f t="shared" si="80"/>
        <v>0</v>
      </c>
      <c r="CC430" s="147">
        <f>IF(X430="BRL",'Impostos e Frete'!$B$11,'Impostos e Frete'!$B$12)</f>
        <v>0.2</v>
      </c>
      <c r="CD430" s="211">
        <f t="shared" si="81"/>
        <v>23.780999999999999</v>
      </c>
      <c r="CE430" s="212">
        <f t="shared" si="82"/>
        <v>1.9024799999999999</v>
      </c>
      <c r="CF430" s="213">
        <f>VLOOKUP(L430,'Impostos e Frete'!$A$3:$C$7,3,0)</f>
        <v>45</v>
      </c>
      <c r="CG430" s="213">
        <f t="shared" si="83"/>
        <v>0</v>
      </c>
      <c r="CH430" s="213">
        <f t="shared" si="84"/>
        <v>-45</v>
      </c>
      <c r="CI430" s="214">
        <f t="shared" si="85"/>
        <v>0.53707403357723038</v>
      </c>
      <c r="CJ430" s="215">
        <f t="shared" si="86"/>
        <v>24.318074033577229</v>
      </c>
      <c r="CK430" s="216">
        <f t="shared" si="87"/>
        <v>1.9454459226861784</v>
      </c>
    </row>
    <row r="431" spans="1:89">
      <c r="A431" s="195">
        <v>7000489</v>
      </c>
      <c r="B431" s="186">
        <v>932</v>
      </c>
      <c r="C431" s="223">
        <v>80</v>
      </c>
      <c r="D431" s="223"/>
      <c r="E431" s="178" t="s">
        <v>49</v>
      </c>
      <c r="F431" s="191" t="s">
        <v>1</v>
      </c>
      <c r="G431" s="192" t="s">
        <v>11</v>
      </c>
      <c r="H431" s="190" t="s">
        <v>63</v>
      </c>
      <c r="I431" s="178">
        <v>932</v>
      </c>
      <c r="J431" s="183"/>
      <c r="K431" s="190"/>
      <c r="L431" s="183" t="s">
        <v>58</v>
      </c>
      <c r="M431" s="183">
        <v>0</v>
      </c>
      <c r="N431" s="183"/>
      <c r="O431" s="183"/>
      <c r="P431" s="183">
        <v>3</v>
      </c>
      <c r="Q431" s="183" t="s">
        <v>27</v>
      </c>
      <c r="R431" s="183" t="s">
        <v>19</v>
      </c>
      <c r="S431" s="181">
        <v>0.04</v>
      </c>
      <c r="T431" s="181" t="s">
        <v>210</v>
      </c>
      <c r="U431" s="182">
        <v>9.2499999999999999E-2</v>
      </c>
      <c r="V431" s="182" t="s">
        <v>35</v>
      </c>
      <c r="W431" s="183">
        <v>20</v>
      </c>
      <c r="X431" s="182" t="s">
        <v>46</v>
      </c>
      <c r="Y431" s="227"/>
      <c r="Z431" s="227"/>
      <c r="AA431" s="227"/>
      <c r="AB431" s="227"/>
      <c r="AC431" s="227"/>
      <c r="AD431" s="227"/>
      <c r="AE431" s="227"/>
      <c r="AF431" s="227"/>
      <c r="AG431" s="227"/>
      <c r="AH431" s="227"/>
      <c r="AI431" s="227"/>
      <c r="AJ431" s="227"/>
      <c r="AK431" s="227"/>
      <c r="AL431" s="227"/>
      <c r="AM431" s="227"/>
      <c r="AN431" s="227"/>
      <c r="AO431" s="227"/>
      <c r="AP431" s="227"/>
      <c r="AQ431" s="227"/>
      <c r="AR431" s="227"/>
      <c r="AS431" s="227"/>
      <c r="AT431" s="202"/>
      <c r="AU431" s="202"/>
      <c r="AV431" s="202"/>
      <c r="AW431" s="202"/>
      <c r="AX431" s="202"/>
      <c r="AY431" s="202"/>
      <c r="AZ431" s="202"/>
      <c r="BA431" s="202"/>
      <c r="BB431" s="202"/>
      <c r="BC431" s="202"/>
      <c r="BD431" s="202"/>
      <c r="BE431" s="202"/>
      <c r="BF431" s="202"/>
      <c r="BG431" s="202"/>
      <c r="BH431" s="202"/>
      <c r="BI431" s="184">
        <v>23439</v>
      </c>
      <c r="BJ431" s="184">
        <v>23439</v>
      </c>
      <c r="BK431" s="184">
        <v>23439</v>
      </c>
      <c r="BL431" s="202">
        <v>24799</v>
      </c>
      <c r="BM431" s="202">
        <v>24799</v>
      </c>
      <c r="BN431" s="202">
        <v>24799</v>
      </c>
      <c r="BO431" s="202">
        <v>25865</v>
      </c>
      <c r="BP431" s="202">
        <v>25865</v>
      </c>
      <c r="BQ431" s="202">
        <v>25865</v>
      </c>
      <c r="BR431" s="202"/>
      <c r="BS431" s="202"/>
      <c r="BT431" s="202"/>
      <c r="BU431" s="146" cm="1">
        <f t="array" ref="BU431">LOOKUP(2,1/(Y431:BT431&lt;&gt;""),Y431:BH431)</f>
        <v>25865</v>
      </c>
      <c r="BV431" s="145" cm="1">
        <f t="array" aca="1" ref="BV431" ca="1">_xlfn.LET(
    _xlpm.last_col_idx, LOOKUP(2, 1/(Y431:BT431&lt;&gt;""), COLUMN(Y431:BT431) - COLUMN(Y431) + 1),
    _xlpm.header_val, INDEX($Y$3:$BT$3, 1, _xlpm.last_col_idx),
    _xlpm.header_date, IF(ISNUMBER(_xlpm.header_val), _xlpm.header_val, DATEVALUE(_xlpm.header_val)),
    IF(_xlpm.header_date &gt; TODAY(), TODAY(), _xlpm.header_date)
)</f>
        <v>46212</v>
      </c>
      <c r="BW431" s="209" cm="1">
        <f t="array" ref="BW431">(LOOKUP(2,1/(BH431:BT431&lt;&gt;""),BH431:BT431))/(INDEX(BH431:BT431,MATCH(TRUE,INDEX((BH431:BT431&lt;&gt;0),0),0)))-1</f>
        <v>0.10350270915994719</v>
      </c>
      <c r="BX431" s="210">
        <f t="shared" si="78"/>
        <v>25.864999999999998</v>
      </c>
      <c r="BY431" s="210">
        <f t="shared" si="79"/>
        <v>25.864999999999998</v>
      </c>
      <c r="BZ431" s="210">
        <f>IF(L431="BR",'Impostos e Frete'!$F$6,IF(L431="EU",'Impostos e Frete'!$I$3,IF(L431="CN",'Impostos e Frete'!$I$4,IF(L431="JP",'Impostos e Frete'!$I$5,IF(L431="RU",'Impostos e Frete'!$I$7,"ERRO")))))</f>
        <v>0</v>
      </c>
      <c r="CA431" s="210">
        <f>VLOOKUP(L431,'Impostos e Frete'!$A$3:$B$7,2,0)*'Preços e Condições'!BY431</f>
        <v>0</v>
      </c>
      <c r="CB431" s="147">
        <f t="shared" si="80"/>
        <v>0</v>
      </c>
      <c r="CC431" s="147">
        <f>IF(X431="BRL",'Impostos e Frete'!$B$11,'Impostos e Frete'!$B$12)</f>
        <v>0.2</v>
      </c>
      <c r="CD431" s="211">
        <f t="shared" si="81"/>
        <v>26.064999999999998</v>
      </c>
      <c r="CE431" s="212">
        <f t="shared" si="82"/>
        <v>2.0851999999999999</v>
      </c>
      <c r="CF431" s="213">
        <f>VLOOKUP(L431,'Impostos e Frete'!$A$3:$C$7,3,0)</f>
        <v>45</v>
      </c>
      <c r="CG431" s="213">
        <f t="shared" si="83"/>
        <v>0</v>
      </c>
      <c r="CH431" s="213">
        <f t="shared" si="84"/>
        <v>-45</v>
      </c>
      <c r="CI431" s="214">
        <f t="shared" si="85"/>
        <v>0.58865626698585061</v>
      </c>
      <c r="CJ431" s="215">
        <f t="shared" si="86"/>
        <v>26.653656266985848</v>
      </c>
      <c r="CK431" s="216">
        <f t="shared" si="87"/>
        <v>2.1322925013588678</v>
      </c>
    </row>
    <row r="432" spans="1:89">
      <c r="A432" s="195">
        <v>7000491</v>
      </c>
      <c r="B432" s="186" t="s">
        <v>123</v>
      </c>
      <c r="C432" s="196">
        <v>60</v>
      </c>
      <c r="D432" s="196"/>
      <c r="E432" s="178"/>
      <c r="F432" s="179" t="s">
        <v>1</v>
      </c>
      <c r="G432" s="221" t="s">
        <v>15</v>
      </c>
      <c r="H432" s="178" t="s">
        <v>61</v>
      </c>
      <c r="I432" s="178"/>
      <c r="J432" s="178"/>
      <c r="K432" s="178"/>
      <c r="L432" s="183" t="s">
        <v>58</v>
      </c>
      <c r="M432" s="183">
        <v>0</v>
      </c>
      <c r="N432" s="183"/>
      <c r="O432" s="178"/>
      <c r="P432" s="183">
        <v>3</v>
      </c>
      <c r="Q432" s="183" t="s">
        <v>27</v>
      </c>
      <c r="R432" s="183" t="s">
        <v>19</v>
      </c>
      <c r="S432" s="181">
        <v>0.12</v>
      </c>
      <c r="T432" s="181" t="s">
        <v>210</v>
      </c>
      <c r="U432" s="182">
        <v>9.2499999999999999E-2</v>
      </c>
      <c r="V432" s="182" t="s">
        <v>35</v>
      </c>
      <c r="W432" s="183">
        <v>40</v>
      </c>
      <c r="X432" s="182" t="s">
        <v>46</v>
      </c>
      <c r="Y432" s="202"/>
      <c r="Z432" s="202"/>
      <c r="AA432" s="202"/>
      <c r="AB432" s="202"/>
      <c r="AC432" s="202"/>
      <c r="AD432" s="202"/>
      <c r="AE432" s="202"/>
      <c r="AF432" s="202"/>
      <c r="AG432" s="202"/>
      <c r="AH432" s="202"/>
      <c r="AI432" s="202"/>
      <c r="AJ432" s="202"/>
      <c r="AK432" s="202"/>
      <c r="AL432" s="202"/>
      <c r="AM432" s="202"/>
      <c r="AN432" s="202"/>
      <c r="AO432" s="202"/>
      <c r="AP432" s="202"/>
      <c r="AQ432" s="202"/>
      <c r="AR432" s="202"/>
      <c r="AS432" s="202"/>
      <c r="AT432" s="202"/>
      <c r="AU432" s="202"/>
      <c r="AV432" s="202"/>
      <c r="AW432" s="202"/>
      <c r="AX432" s="202"/>
      <c r="AY432" s="202"/>
      <c r="AZ432" s="202"/>
      <c r="BA432" s="202"/>
      <c r="BB432" s="202"/>
      <c r="BC432" s="202"/>
      <c r="BD432" s="202"/>
      <c r="BE432" s="202"/>
      <c r="BF432" s="202"/>
      <c r="BG432" s="202"/>
      <c r="BH432" s="202"/>
      <c r="BI432" s="184">
        <v>10471</v>
      </c>
      <c r="BJ432" s="184">
        <v>10471</v>
      </c>
      <c r="BK432" s="184">
        <v>10471</v>
      </c>
      <c r="BL432" s="202">
        <v>11079</v>
      </c>
      <c r="BM432" s="202">
        <v>11079</v>
      </c>
      <c r="BN432" s="202">
        <v>11079</v>
      </c>
      <c r="BO432" s="202">
        <v>11555</v>
      </c>
      <c r="BP432" s="202">
        <v>11555</v>
      </c>
      <c r="BQ432" s="202">
        <v>11555</v>
      </c>
      <c r="BR432" s="202"/>
      <c r="BS432" s="202"/>
      <c r="BT432" s="202"/>
      <c r="BU432" s="146" cm="1">
        <f t="array" ref="BU432">LOOKUP(2,1/(Y432:BT432&lt;&gt;""),Y432:BH432)</f>
        <v>11555</v>
      </c>
      <c r="BV432" s="145" cm="1">
        <f t="array" aca="1" ref="BV432" ca="1">_xlfn.LET(
    _xlpm.last_col_idx, LOOKUP(2, 1/(Y432:BT432&lt;&gt;""), COLUMN(Y432:BT432) - COLUMN(Y432) + 1),
    _xlpm.header_val, INDEX($Y$3:$BT$3, 1, _xlpm.last_col_idx),
    _xlpm.header_date, IF(ISNUMBER(_xlpm.header_val), _xlpm.header_val, DATEVALUE(_xlpm.header_val)),
    IF(_xlpm.header_date &gt; TODAY(), TODAY(), _xlpm.header_date)
)</f>
        <v>46212</v>
      </c>
      <c r="BW432" s="209" cm="1">
        <f t="array" ref="BW432">(LOOKUP(2,1/(BH432:BT432&lt;&gt;""),BH432:BT432))/(INDEX(BH432:BT432,MATCH(TRUE,INDEX((BH432:BT432&lt;&gt;0),0),0)))-1</f>
        <v>0.10352401871836503</v>
      </c>
      <c r="BX432" s="210">
        <f t="shared" si="78"/>
        <v>11.555</v>
      </c>
      <c r="BY432" s="210">
        <f t="shared" si="79"/>
        <v>11.555</v>
      </c>
      <c r="BZ432" s="210">
        <f>IF(L432="BR",'Impostos e Frete'!$F$6,IF(L432="EU",'Impostos e Frete'!$I$3,IF(L432="CN",'Impostos e Frete'!$I$4,IF(L432="JP",'Impostos e Frete'!$I$5,IF(L432="RU",'Impostos e Frete'!$I$7,"ERRO")))))</f>
        <v>0</v>
      </c>
      <c r="CA432" s="210">
        <f>VLOOKUP(L432,'Impostos e Frete'!$A$3:$B$7,2,0)*'Preços e Condições'!BY432</f>
        <v>0</v>
      </c>
      <c r="CB432" s="147">
        <f t="shared" si="80"/>
        <v>0</v>
      </c>
      <c r="CC432" s="147">
        <f>IF(X432="BRL",'Impostos e Frete'!$B$11,'Impostos e Frete'!$B$12)</f>
        <v>0.2</v>
      </c>
      <c r="CD432" s="211">
        <f t="shared" si="81"/>
        <v>11.754999999999999</v>
      </c>
      <c r="CE432" s="212">
        <f t="shared" si="82"/>
        <v>0.70530000000000004</v>
      </c>
      <c r="CF432" s="213">
        <f>VLOOKUP(L432,'Impostos e Frete'!$A$3:$C$7,3,0)</f>
        <v>45</v>
      </c>
      <c r="CG432" s="213">
        <f t="shared" si="83"/>
        <v>0</v>
      </c>
      <c r="CH432" s="213">
        <f t="shared" si="84"/>
        <v>-45</v>
      </c>
      <c r="CI432" s="214">
        <f t="shared" si="85"/>
        <v>0.26547686239856816</v>
      </c>
      <c r="CJ432" s="215">
        <f t="shared" si="86"/>
        <v>12.020476862398567</v>
      </c>
      <c r="CK432" s="216">
        <f t="shared" si="87"/>
        <v>0.72122861174391406</v>
      </c>
    </row>
    <row r="433" spans="1:89">
      <c r="A433" s="203">
        <v>7002362</v>
      </c>
      <c r="B433" s="177">
        <v>9370</v>
      </c>
      <c r="C433" s="196">
        <v>70</v>
      </c>
      <c r="D433" s="196">
        <v>1880</v>
      </c>
      <c r="E433" s="196" t="s">
        <v>209</v>
      </c>
      <c r="F433" s="179" t="s">
        <v>240</v>
      </c>
      <c r="G433" s="180" t="s">
        <v>305</v>
      </c>
      <c r="H433" s="178" t="s">
        <v>43</v>
      </c>
      <c r="I433" s="178" t="s">
        <v>241</v>
      </c>
      <c r="J433" s="178"/>
      <c r="K433" s="178"/>
      <c r="L433" s="178" t="s">
        <v>60</v>
      </c>
      <c r="M433" s="178">
        <v>90</v>
      </c>
      <c r="N433" s="178">
        <v>3300</v>
      </c>
      <c r="O433" s="178"/>
      <c r="P433" s="178"/>
      <c r="Q433" s="178"/>
      <c r="R433" s="178" t="s">
        <v>19</v>
      </c>
      <c r="S433" s="181"/>
      <c r="T433" s="181"/>
      <c r="U433" s="182"/>
      <c r="V433" s="182" t="s">
        <v>35</v>
      </c>
      <c r="W433" s="183">
        <v>100</v>
      </c>
      <c r="X433" s="182" t="s">
        <v>267</v>
      </c>
      <c r="Y433" s="202"/>
      <c r="Z433" s="202"/>
      <c r="AA433" s="202"/>
      <c r="AB433" s="202"/>
      <c r="AC433" s="202"/>
      <c r="AD433" s="202"/>
      <c r="AE433" s="202"/>
      <c r="AF433" s="202"/>
      <c r="AG433" s="202"/>
      <c r="AH433" s="202"/>
      <c r="AI433" s="202"/>
      <c r="AJ433" s="202"/>
      <c r="AK433" s="202"/>
      <c r="AL433" s="202"/>
      <c r="AM433" s="202"/>
      <c r="AN433" s="202"/>
      <c r="AO433" s="202"/>
      <c r="AP433" s="202"/>
      <c r="AQ433" s="202"/>
      <c r="AR433" s="202"/>
      <c r="AS433" s="202"/>
      <c r="AT433" s="202"/>
      <c r="AU433" s="202"/>
      <c r="AV433" s="202"/>
      <c r="AW433" s="202"/>
      <c r="AX433" s="202"/>
      <c r="AY433" s="202"/>
      <c r="AZ433" s="202"/>
      <c r="BA433" s="202"/>
      <c r="BB433" s="202"/>
      <c r="BC433" s="202"/>
      <c r="BD433" s="202"/>
      <c r="BE433" s="202"/>
      <c r="BF433" s="202"/>
      <c r="BG433" s="202"/>
      <c r="BH433" s="202"/>
      <c r="BI433" s="202">
        <v>19500</v>
      </c>
      <c r="BJ433" s="202">
        <v>19500</v>
      </c>
      <c r="BK433" s="202">
        <v>19500</v>
      </c>
      <c r="BL433" s="184">
        <v>19500</v>
      </c>
      <c r="BM433" s="184">
        <v>19500</v>
      </c>
      <c r="BN433" s="184">
        <v>19500</v>
      </c>
      <c r="BO433" s="202"/>
      <c r="BP433" s="202"/>
      <c r="BQ433" s="202"/>
      <c r="BR433" s="202"/>
      <c r="BS433" s="202"/>
      <c r="BT433" s="202"/>
      <c r="BU433" s="146" cm="1">
        <f t="array" ref="BU433">LOOKUP(2,1/(Y433:BT433&lt;&gt;""),Y433:BH433)</f>
        <v>19500</v>
      </c>
      <c r="BV433" s="145" cm="1">
        <f t="array" aca="1" ref="BV433" ca="1">_xlfn.LET(
    _xlpm.last_col_idx, LOOKUP(2, 1/(Y433:BT433&lt;&gt;""), COLUMN(Y433:BT433) - COLUMN(Y433) + 1),
    _xlpm.header_val, INDEX($Y$3:$BT$3, 1, _xlpm.last_col_idx),
    _xlpm.header_date, IF(ISNUMBER(_xlpm.header_val), _xlpm.header_val, DATEVALUE(_xlpm.header_val)),
    IF(_xlpm.header_date &gt; TODAY(), TODAY(), _xlpm.header_date)
)</f>
        <v>46174</v>
      </c>
      <c r="BW433" s="209" cm="1">
        <f t="array" ref="BW433">(LOOKUP(2,1/(BH433:BT433&lt;&gt;""),BH433:BT433))/(INDEX(BH433:BT433,MATCH(TRUE,INDEX((BH433:BT433&lt;&gt;0),0),0)))-1</f>
        <v>0</v>
      </c>
      <c r="BX433" s="210">
        <f t="shared" si="78"/>
        <v>19.5</v>
      </c>
      <c r="BY433" s="210">
        <f t="shared" si="79"/>
        <v>14.625</v>
      </c>
      <c r="BZ433" s="210">
        <f ca="1">IF(L433="BR",'Impostos e Frete'!$F$6,IF(L433="EU",'Impostos e Frete'!$I$3,IF(L433="CN",'Impostos e Frete'!$I$4,IF(L433="JP",'Impostos e Frete'!$I$5,IF(L433="RU",'Impostos e Frete'!$I$7,"ERRO")))))</f>
        <v>1.1330439999999999</v>
      </c>
      <c r="CA433" s="210">
        <f>VLOOKUP(L433,'Impostos e Frete'!$A$3:$B$7,2,0)*'Preços e Condições'!BY433</f>
        <v>2.0475000000000003</v>
      </c>
      <c r="CB433" s="147">
        <f t="shared" si="80"/>
        <v>0</v>
      </c>
      <c r="CC433" s="147">
        <f>IF(X433="BRL",'Impostos e Frete'!$B$11,'Impostos e Frete'!$B$12)</f>
        <v>9.1999999999999998E-2</v>
      </c>
      <c r="CD433" s="211">
        <f t="shared" ca="1" si="81"/>
        <v>17.897544</v>
      </c>
      <c r="CE433" s="212">
        <f t="shared" ca="1" si="82"/>
        <v>1.25282808</v>
      </c>
      <c r="CF433" s="213">
        <f>VLOOKUP(L433,'Impostos e Frete'!$A$3:$C$7,3,0)</f>
        <v>120</v>
      </c>
      <c r="CG433" s="213">
        <f t="shared" si="83"/>
        <v>90</v>
      </c>
      <c r="CH433" s="213">
        <f t="shared" si="84"/>
        <v>-30</v>
      </c>
      <c r="CI433" s="214">
        <f t="shared" ca="1" si="85"/>
        <v>0.26846315999999959</v>
      </c>
      <c r="CJ433" s="215">
        <f t="shared" ca="1" si="86"/>
        <v>18.166007159999999</v>
      </c>
      <c r="CK433" s="216">
        <f t="shared" ca="1" si="87"/>
        <v>1.2716205012000001</v>
      </c>
    </row>
    <row r="434" spans="1:89">
      <c r="A434" s="203">
        <v>7002367</v>
      </c>
      <c r="B434" s="177">
        <v>104</v>
      </c>
      <c r="C434" s="196">
        <v>70</v>
      </c>
      <c r="D434" s="196"/>
      <c r="E434" s="196" t="s">
        <v>50</v>
      </c>
      <c r="F434" s="179" t="s">
        <v>240</v>
      </c>
      <c r="G434" s="180" t="s">
        <v>370</v>
      </c>
      <c r="H434" s="178" t="s">
        <v>43</v>
      </c>
      <c r="I434" s="178" t="s">
        <v>241</v>
      </c>
      <c r="J434" s="178"/>
      <c r="K434" s="178"/>
      <c r="L434" s="178" t="s">
        <v>60</v>
      </c>
      <c r="M434" s="178">
        <v>90</v>
      </c>
      <c r="N434" s="178">
        <v>3300</v>
      </c>
      <c r="O434" s="178"/>
      <c r="P434" s="178"/>
      <c r="Q434" s="178"/>
      <c r="R434" s="178" t="s">
        <v>19</v>
      </c>
      <c r="S434" s="181"/>
      <c r="T434" s="181"/>
      <c r="U434" s="182"/>
      <c r="V434" s="182" t="s">
        <v>35</v>
      </c>
      <c r="W434" s="183"/>
      <c r="X434" s="182" t="s">
        <v>267</v>
      </c>
      <c r="Y434" s="202"/>
      <c r="Z434" s="202"/>
      <c r="AA434" s="202"/>
      <c r="AB434" s="202"/>
      <c r="AC434" s="202"/>
      <c r="AD434" s="202"/>
      <c r="AE434" s="202"/>
      <c r="AF434" s="202"/>
      <c r="AG434" s="202"/>
      <c r="AH434" s="202"/>
      <c r="AI434" s="202"/>
      <c r="AJ434" s="202"/>
      <c r="AK434" s="202"/>
      <c r="AL434" s="202"/>
      <c r="AM434" s="202"/>
      <c r="AN434" s="202"/>
      <c r="AO434" s="202"/>
      <c r="AP434" s="202"/>
      <c r="AQ434" s="202"/>
      <c r="AR434" s="202"/>
      <c r="AS434" s="202"/>
      <c r="AT434" s="202"/>
      <c r="AU434" s="202"/>
      <c r="AV434" s="202"/>
      <c r="AW434" s="202"/>
      <c r="AX434" s="202"/>
      <c r="AY434" s="202"/>
      <c r="AZ434" s="202"/>
      <c r="BA434" s="202"/>
      <c r="BB434" s="202"/>
      <c r="BC434" s="202"/>
      <c r="BD434" s="202"/>
      <c r="BE434" s="202"/>
      <c r="BF434" s="202"/>
      <c r="BG434" s="202"/>
      <c r="BH434" s="202"/>
      <c r="BI434" s="184">
        <v>12000</v>
      </c>
      <c r="BJ434" s="184">
        <v>12000</v>
      </c>
      <c r="BK434" s="184">
        <v>12000</v>
      </c>
      <c r="BL434" s="184">
        <v>12000</v>
      </c>
      <c r="BM434" s="184">
        <v>12000</v>
      </c>
      <c r="BN434" s="184">
        <v>12000</v>
      </c>
      <c r="BO434" s="202"/>
      <c r="BP434" s="202"/>
      <c r="BQ434" s="202"/>
      <c r="BR434" s="202"/>
      <c r="BS434" s="202"/>
      <c r="BT434" s="202"/>
      <c r="BU434" s="146" cm="1">
        <f t="array" ref="BU434">LOOKUP(2,1/(Y434:BT434&lt;&gt;""),Y434:BH434)</f>
        <v>12000</v>
      </c>
      <c r="BV434" s="145" cm="1">
        <f t="array" aca="1" ref="BV434" ca="1">_xlfn.LET(
    _xlpm.last_col_idx, LOOKUP(2, 1/(Y434:BT434&lt;&gt;""), COLUMN(Y434:BT434) - COLUMN(Y434) + 1),
    _xlpm.header_val, INDEX($Y$3:$BT$3, 1, _xlpm.last_col_idx),
    _xlpm.header_date, IF(ISNUMBER(_xlpm.header_val), _xlpm.header_val, DATEVALUE(_xlpm.header_val)),
    IF(_xlpm.header_date &gt; TODAY(), TODAY(), _xlpm.header_date)
)</f>
        <v>46174</v>
      </c>
      <c r="BW434" s="209" cm="1">
        <f t="array" ref="BW434">(LOOKUP(2,1/(BH434:BT434&lt;&gt;""),BH434:BT434))/(INDEX(BH434:BT434,MATCH(TRUE,INDEX((BH434:BT434&lt;&gt;0),0),0)))-1</f>
        <v>0</v>
      </c>
      <c r="BX434" s="210">
        <f t="shared" si="78"/>
        <v>12</v>
      </c>
      <c r="BY434" s="210">
        <f t="shared" si="79"/>
        <v>9</v>
      </c>
      <c r="BZ434" s="210">
        <f ca="1">IF(L434="BR",'Impostos e Frete'!$F$6,IF(L434="EU",'Impostos e Frete'!$I$3,IF(L434="CN",'Impostos e Frete'!$I$4,IF(L434="JP",'Impostos e Frete'!$I$5,IF(L434="RU",'Impostos e Frete'!$I$7,"ERRO")))))</f>
        <v>1.1330439999999999</v>
      </c>
      <c r="CA434" s="210">
        <f>VLOOKUP(L434,'Impostos e Frete'!$A$3:$B$7,2,0)*'Preços e Condições'!BY434</f>
        <v>1.2600000000000002</v>
      </c>
      <c r="CB434" s="147">
        <f t="shared" si="80"/>
        <v>0</v>
      </c>
      <c r="CC434" s="147">
        <f>IF(X434="BRL",'Impostos e Frete'!$B$11,'Impostos e Frete'!$B$12)</f>
        <v>9.1999999999999998E-2</v>
      </c>
      <c r="CD434" s="211">
        <f t="shared" ca="1" si="81"/>
        <v>11.485044</v>
      </c>
      <c r="CE434" s="212">
        <f t="shared" ca="1" si="82"/>
        <v>0.80395307999999999</v>
      </c>
      <c r="CF434" s="213">
        <f>VLOOKUP(L434,'Impostos e Frete'!$A$3:$C$7,3,0)</f>
        <v>120</v>
      </c>
      <c r="CG434" s="213">
        <f t="shared" si="83"/>
        <v>90</v>
      </c>
      <c r="CH434" s="213">
        <f t="shared" si="84"/>
        <v>-30</v>
      </c>
      <c r="CI434" s="214">
        <f t="shared" ca="1" si="85"/>
        <v>0.17227565999999861</v>
      </c>
      <c r="CJ434" s="215">
        <f t="shared" ca="1" si="86"/>
        <v>11.657319659999999</v>
      </c>
      <c r="CK434" s="216">
        <f t="shared" ca="1" si="87"/>
        <v>0.81601237619999989</v>
      </c>
    </row>
    <row r="435" spans="1:89">
      <c r="A435" s="195">
        <v>7002369</v>
      </c>
      <c r="B435" s="177">
        <v>2</v>
      </c>
      <c r="C435" s="196">
        <v>80</v>
      </c>
      <c r="D435" s="196"/>
      <c r="E435" s="196" t="s">
        <v>49</v>
      </c>
      <c r="F435" s="179" t="s">
        <v>67</v>
      </c>
      <c r="G435" s="185" t="s">
        <v>377</v>
      </c>
      <c r="H435" s="178" t="s">
        <v>43</v>
      </c>
      <c r="I435" s="178" t="s">
        <v>376</v>
      </c>
      <c r="J435" s="178"/>
      <c r="K435" s="178"/>
      <c r="L435" s="178" t="s">
        <v>59</v>
      </c>
      <c r="M435" s="178">
        <v>90</v>
      </c>
      <c r="N435" s="178"/>
      <c r="O435" s="178"/>
      <c r="P435" s="178"/>
      <c r="Q435" s="178"/>
      <c r="R435" s="178" t="s">
        <v>19</v>
      </c>
      <c r="S435" s="181"/>
      <c r="T435" s="181"/>
      <c r="U435" s="182"/>
      <c r="V435" s="182" t="s">
        <v>35</v>
      </c>
      <c r="W435" s="183">
        <v>100</v>
      </c>
      <c r="X435" s="182" t="s">
        <v>51</v>
      </c>
      <c r="Y435" s="202"/>
      <c r="Z435" s="202"/>
      <c r="AA435" s="202"/>
      <c r="AB435" s="202"/>
      <c r="AC435" s="202"/>
      <c r="AD435" s="202"/>
      <c r="AE435" s="202"/>
      <c r="AF435" s="202"/>
      <c r="AG435" s="202"/>
      <c r="AH435" s="202"/>
      <c r="AI435" s="202"/>
      <c r="AJ435" s="202"/>
      <c r="AK435" s="202"/>
      <c r="AL435" s="202"/>
      <c r="AM435" s="202"/>
      <c r="AN435" s="202"/>
      <c r="AO435" s="202"/>
      <c r="AP435" s="202"/>
      <c r="AQ435" s="202"/>
      <c r="AR435" s="202"/>
      <c r="AS435" s="202"/>
      <c r="AT435" s="202"/>
      <c r="AU435" s="202"/>
      <c r="AV435" s="202"/>
      <c r="AW435" s="202"/>
      <c r="AX435" s="202"/>
      <c r="AY435" s="202"/>
      <c r="AZ435" s="202"/>
      <c r="BA435" s="202"/>
      <c r="BB435" s="202"/>
      <c r="BC435" s="202"/>
      <c r="BD435" s="202"/>
      <c r="BE435" s="202"/>
      <c r="BF435" s="202"/>
      <c r="BG435" s="202"/>
      <c r="BH435" s="202"/>
      <c r="BI435" s="184">
        <v>2390</v>
      </c>
      <c r="BJ435" s="184">
        <v>2390</v>
      </c>
      <c r="BK435" s="184">
        <v>2390</v>
      </c>
      <c r="BL435" s="184">
        <v>2500</v>
      </c>
      <c r="BM435" s="184">
        <v>2500</v>
      </c>
      <c r="BN435" s="184">
        <v>2500</v>
      </c>
      <c r="BO435" s="202"/>
      <c r="BP435" s="202"/>
      <c r="BQ435" s="202"/>
      <c r="BR435" s="202"/>
      <c r="BS435" s="202"/>
      <c r="BT435" s="202"/>
      <c r="BU435" s="146" cm="1">
        <f t="array" ref="BU435">LOOKUP(2,1/(Y435:BT435&lt;&gt;""),Y435:BH435)</f>
        <v>2500</v>
      </c>
      <c r="BV435" s="145" cm="1">
        <f t="array" aca="1" ref="BV435" ca="1">_xlfn.LET(
    _xlpm.last_col_idx, LOOKUP(2, 1/(Y435:BT435&lt;&gt;""), COLUMN(Y435:BT435) - COLUMN(Y435) + 1),
    _xlpm.header_val, INDEX($Y$3:$BT$3, 1, _xlpm.last_col_idx),
    _xlpm.header_date, IF(ISNUMBER(_xlpm.header_val), _xlpm.header_val, DATEVALUE(_xlpm.header_val)),
    IF(_xlpm.header_date &gt; TODAY(), TODAY(), _xlpm.header_date)
)</f>
        <v>46174</v>
      </c>
      <c r="BW435" s="209" cm="1">
        <f t="array" ref="BW435">(LOOKUP(2,1/(BH435:BT435&lt;&gt;""),BH435:BT435))/(INDEX(BH435:BT435,MATCH(TRUE,INDEX((BH435:BT435&lt;&gt;0),0),0)))-1</f>
        <v>4.6025104602510414E-2</v>
      </c>
      <c r="BX435" s="210">
        <f t="shared" si="78"/>
        <v>2.5</v>
      </c>
      <c r="BY435" s="210">
        <f t="shared" si="79"/>
        <v>14.75</v>
      </c>
      <c r="BZ435" s="210">
        <f ca="1">IF(L435="BR",'Impostos e Frete'!$F$6,IF(L435="EU",'Impostos e Frete'!$I$3,IF(L435="CN",'Impostos e Frete'!$I$4,IF(L435="JP",'Impostos e Frete'!$I$5,IF(L435="RU",'Impostos e Frete'!$I$7,"ERRO")))))</f>
        <v>0.1410816</v>
      </c>
      <c r="CA435" s="210">
        <f>VLOOKUP(L435,'Impostos e Frete'!$A$3:$B$7,2,0)*'Preços e Condições'!BY435</f>
        <v>1.9175</v>
      </c>
      <c r="CB435" s="147">
        <f t="shared" si="80"/>
        <v>0</v>
      </c>
      <c r="CC435" s="147">
        <f>IF(X435="BRL",'Impostos e Frete'!$B$11,'Impostos e Frete'!$B$12)</f>
        <v>9.1999999999999998E-2</v>
      </c>
      <c r="CD435" s="211">
        <f t="shared" ca="1" si="81"/>
        <v>16.900581599999999</v>
      </c>
      <c r="CE435" s="212">
        <f t="shared" ca="1" si="82"/>
        <v>1.3520465279999998</v>
      </c>
      <c r="CF435" s="213">
        <f>VLOOKUP(L435,'Impostos e Frete'!$A$3:$C$7,3,0)</f>
        <v>105</v>
      </c>
      <c r="CG435" s="213">
        <f t="shared" si="83"/>
        <v>90</v>
      </c>
      <c r="CH435" s="213">
        <f t="shared" si="84"/>
        <v>-15</v>
      </c>
      <c r="CI435" s="214">
        <f t="shared" ca="1" si="85"/>
        <v>0.12628256503439772</v>
      </c>
      <c r="CJ435" s="215">
        <f t="shared" ca="1" si="86"/>
        <v>17.026864165034397</v>
      </c>
      <c r="CK435" s="216">
        <f t="shared" ca="1" si="87"/>
        <v>1.3621491332027515</v>
      </c>
    </row>
    <row r="436" spans="1:89">
      <c r="A436" s="203">
        <v>7002370</v>
      </c>
      <c r="B436" s="177">
        <v>301</v>
      </c>
      <c r="C436" s="196">
        <v>65</v>
      </c>
      <c r="D436" s="196"/>
      <c r="E436" s="196" t="s">
        <v>50</v>
      </c>
      <c r="F436" s="179" t="s">
        <v>467</v>
      </c>
      <c r="G436" s="180" t="s">
        <v>339</v>
      </c>
      <c r="H436" s="178" t="s">
        <v>345</v>
      </c>
      <c r="I436" s="178">
        <v>301</v>
      </c>
      <c r="J436" s="178"/>
      <c r="K436" s="178"/>
      <c r="L436" s="178" t="s">
        <v>59</v>
      </c>
      <c r="M436" s="178">
        <v>60</v>
      </c>
      <c r="N436" s="178"/>
      <c r="O436" s="178"/>
      <c r="P436" s="178"/>
      <c r="Q436" s="178"/>
      <c r="R436" s="178" t="s">
        <v>19</v>
      </c>
      <c r="S436" s="181"/>
      <c r="T436" s="181"/>
      <c r="U436" s="182"/>
      <c r="V436" s="182" t="s">
        <v>35</v>
      </c>
      <c r="W436" s="183">
        <v>50</v>
      </c>
      <c r="X436" s="182" t="s">
        <v>51</v>
      </c>
      <c r="Y436" s="202"/>
      <c r="Z436" s="202"/>
      <c r="AA436" s="202"/>
      <c r="AB436" s="202"/>
      <c r="AC436" s="202"/>
      <c r="AD436" s="202"/>
      <c r="AE436" s="202"/>
      <c r="AF436" s="202"/>
      <c r="AG436" s="202"/>
      <c r="AH436" s="202"/>
      <c r="AI436" s="202"/>
      <c r="AJ436" s="202"/>
      <c r="AK436" s="202"/>
      <c r="AL436" s="202"/>
      <c r="AM436" s="202"/>
      <c r="AN436" s="202"/>
      <c r="AO436" s="202"/>
      <c r="AP436" s="202"/>
      <c r="AQ436" s="202"/>
      <c r="AR436" s="202"/>
      <c r="AS436" s="202"/>
      <c r="AT436" s="202"/>
      <c r="AU436" s="202"/>
      <c r="AV436" s="202"/>
      <c r="AW436" s="202"/>
      <c r="AX436" s="202"/>
      <c r="AY436" s="202"/>
      <c r="AZ436" s="202"/>
      <c r="BA436" s="202"/>
      <c r="BB436" s="202"/>
      <c r="BC436" s="202"/>
      <c r="BD436" s="202"/>
      <c r="BE436" s="202"/>
      <c r="BF436" s="202"/>
      <c r="BG436" s="202"/>
      <c r="BH436" s="202"/>
      <c r="BI436" s="184">
        <v>2080</v>
      </c>
      <c r="BJ436" s="184">
        <v>2080</v>
      </c>
      <c r="BK436" s="184">
        <v>2080</v>
      </c>
      <c r="BL436" s="184">
        <v>2160</v>
      </c>
      <c r="BM436" s="184">
        <v>2240</v>
      </c>
      <c r="BN436" s="184">
        <v>2240</v>
      </c>
      <c r="BO436" s="202">
        <v>2360</v>
      </c>
      <c r="BP436" s="202">
        <v>2310</v>
      </c>
      <c r="BQ436" s="202">
        <v>2310</v>
      </c>
      <c r="BR436" s="202"/>
      <c r="BS436" s="202"/>
      <c r="BT436" s="202"/>
      <c r="BU436" s="146" cm="1">
        <f t="array" ref="BU436">LOOKUP(2,1/(Y436:BT436&lt;&gt;""),Y436:BH436)</f>
        <v>2310</v>
      </c>
      <c r="BV436" s="145" cm="1">
        <f t="array" aca="1" ref="BV436" ca="1">_xlfn.LET(
    _xlpm.last_col_idx, LOOKUP(2, 1/(Y436:BT436&lt;&gt;""), COLUMN(Y436:BT436) - COLUMN(Y436) + 1),
    _xlpm.header_val, INDEX($Y$3:$BT$3, 1, _xlpm.last_col_idx),
    _xlpm.header_date, IF(ISNUMBER(_xlpm.header_val), _xlpm.header_val, DATEVALUE(_xlpm.header_val)),
    IF(_xlpm.header_date &gt; TODAY(), TODAY(), _xlpm.header_date)
)</f>
        <v>46212</v>
      </c>
      <c r="BW436" s="209" cm="1">
        <f t="array" ref="BW436">(LOOKUP(2,1/(BH436:BT436&lt;&gt;""),BH436:BT436))/(INDEX(BH436:BT436,MATCH(TRUE,INDEX((BH436:BT436&lt;&gt;0),0),0)))-1</f>
        <v>0.11057692307692313</v>
      </c>
      <c r="BX436" s="210">
        <f t="shared" si="78"/>
        <v>2.31</v>
      </c>
      <c r="BY436" s="210">
        <f t="shared" si="79"/>
        <v>13.629000000000001</v>
      </c>
      <c r="BZ436" s="210">
        <f ca="1">IF(L436="BR",'Impostos e Frete'!$F$6,IF(L436="EU",'Impostos e Frete'!$I$3,IF(L436="CN",'Impostos e Frete'!$I$4,IF(L436="JP",'Impostos e Frete'!$I$5,IF(L436="RU",'Impostos e Frete'!$I$7,"ERRO")))))</f>
        <v>0.1410816</v>
      </c>
      <c r="CA436" s="210">
        <f>VLOOKUP(L436,'Impostos e Frete'!$A$3:$B$7,2,0)*'Preços e Condições'!BY436</f>
        <v>1.7717700000000003</v>
      </c>
      <c r="CB436" s="147">
        <f t="shared" si="80"/>
        <v>0</v>
      </c>
      <c r="CC436" s="147">
        <f>IF(X436="BRL",'Impostos e Frete'!$B$11,'Impostos e Frete'!$B$12)</f>
        <v>9.1999999999999998E-2</v>
      </c>
      <c r="CD436" s="211">
        <f t="shared" ca="1" si="81"/>
        <v>15.633851600000002</v>
      </c>
      <c r="CE436" s="212">
        <f t="shared" ca="1" si="82"/>
        <v>1.0162003540000002</v>
      </c>
      <c r="CF436" s="213">
        <f>VLOOKUP(L436,'Impostos e Frete'!$A$3:$C$7,3,0)</f>
        <v>105</v>
      </c>
      <c r="CG436" s="213">
        <f t="shared" si="83"/>
        <v>60</v>
      </c>
      <c r="CH436" s="213">
        <f t="shared" si="84"/>
        <v>-45</v>
      </c>
      <c r="CI436" s="214">
        <f t="shared" ca="1" si="85"/>
        <v>0.35307748787518811</v>
      </c>
      <c r="CJ436" s="215">
        <f t="shared" ca="1" si="86"/>
        <v>15.98692908787519</v>
      </c>
      <c r="CK436" s="216">
        <f t="shared" ca="1" si="87"/>
        <v>1.0391503907118873</v>
      </c>
    </row>
    <row r="437" spans="1:89">
      <c r="A437" s="203">
        <v>7002371</v>
      </c>
      <c r="B437" s="186">
        <v>244</v>
      </c>
      <c r="C437" s="196">
        <v>65</v>
      </c>
      <c r="D437" s="196"/>
      <c r="E437" s="196" t="s">
        <v>50</v>
      </c>
      <c r="F437" s="179" t="s">
        <v>0</v>
      </c>
      <c r="G437" s="189" t="s">
        <v>334</v>
      </c>
      <c r="H437" s="178" t="s">
        <v>63</v>
      </c>
      <c r="I437" s="178"/>
      <c r="J437" s="178"/>
      <c r="K437" s="178"/>
      <c r="L437" s="178" t="s">
        <v>60</v>
      </c>
      <c r="M437" s="178">
        <v>90</v>
      </c>
      <c r="N437" s="178">
        <v>3300</v>
      </c>
      <c r="O437" s="178"/>
      <c r="P437" s="178"/>
      <c r="Q437" s="178"/>
      <c r="R437" s="178" t="s">
        <v>19</v>
      </c>
      <c r="S437" s="181"/>
      <c r="T437" s="181"/>
      <c r="U437" s="182"/>
      <c r="V437" s="182" t="s">
        <v>35</v>
      </c>
      <c r="W437" s="183">
        <v>100</v>
      </c>
      <c r="X437" s="182" t="s">
        <v>267</v>
      </c>
      <c r="Y437" s="202"/>
      <c r="Z437" s="202"/>
      <c r="AA437" s="202"/>
      <c r="AB437" s="202"/>
      <c r="AC437" s="202"/>
      <c r="AD437" s="202"/>
      <c r="AE437" s="202"/>
      <c r="AF437" s="202"/>
      <c r="AG437" s="202"/>
      <c r="AH437" s="202"/>
      <c r="AI437" s="202"/>
      <c r="AJ437" s="202"/>
      <c r="AK437" s="202"/>
      <c r="AL437" s="202"/>
      <c r="AM437" s="202"/>
      <c r="AN437" s="202"/>
      <c r="AO437" s="202"/>
      <c r="AP437" s="202"/>
      <c r="AQ437" s="202"/>
      <c r="AR437" s="202"/>
      <c r="AS437" s="202"/>
      <c r="AT437" s="202"/>
      <c r="AU437" s="202"/>
      <c r="AV437" s="202"/>
      <c r="AW437" s="202"/>
      <c r="AX437" s="202"/>
      <c r="AY437" s="202"/>
      <c r="AZ437" s="202"/>
      <c r="BA437" s="202"/>
      <c r="BB437" s="202"/>
      <c r="BC437" s="202"/>
      <c r="BD437" s="202"/>
      <c r="BE437" s="202"/>
      <c r="BF437" s="202"/>
      <c r="BG437" s="202"/>
      <c r="BH437" s="202"/>
      <c r="BI437" s="184">
        <v>13000</v>
      </c>
      <c r="BJ437" s="184">
        <v>13000</v>
      </c>
      <c r="BK437" s="184">
        <v>13000</v>
      </c>
      <c r="BL437" s="202">
        <v>13000</v>
      </c>
      <c r="BM437" s="202">
        <v>13000</v>
      </c>
      <c r="BN437" s="202">
        <v>13000</v>
      </c>
      <c r="BO437" s="202"/>
      <c r="BP437" s="202"/>
      <c r="BQ437" s="202"/>
      <c r="BR437" s="202"/>
      <c r="BS437" s="202"/>
      <c r="BT437" s="202"/>
      <c r="BU437" s="146" cm="1">
        <f t="array" ref="BU437">LOOKUP(2,1/(Y437:BT437&lt;&gt;""),Y437:BH437)</f>
        <v>13000</v>
      </c>
      <c r="BV437" s="145" cm="1">
        <f t="array" aca="1" ref="BV437" ca="1">_xlfn.LET(
    _xlpm.last_col_idx, LOOKUP(2, 1/(Y437:BT437&lt;&gt;""), COLUMN(Y437:BT437) - COLUMN(Y437) + 1),
    _xlpm.header_val, INDEX($Y$3:$BT$3, 1, _xlpm.last_col_idx),
    _xlpm.header_date, IF(ISNUMBER(_xlpm.header_val), _xlpm.header_val, DATEVALUE(_xlpm.header_val)),
    IF(_xlpm.header_date &gt; TODAY(), TODAY(), _xlpm.header_date)
)</f>
        <v>46174</v>
      </c>
      <c r="BW437" s="209" cm="1">
        <f t="array" ref="BW437">(LOOKUP(2,1/(BH437:BT437&lt;&gt;""),BH437:BT437))/(INDEX(BH437:BT437,MATCH(TRUE,INDEX((BH437:BT437&lt;&gt;0),0),0)))-1</f>
        <v>0</v>
      </c>
      <c r="BX437" s="210">
        <f t="shared" si="78"/>
        <v>13</v>
      </c>
      <c r="BY437" s="210">
        <f t="shared" si="79"/>
        <v>9.75</v>
      </c>
      <c r="BZ437" s="210">
        <f ca="1">IF(L437="BR",'Impostos e Frete'!$F$6,IF(L437="EU",'Impostos e Frete'!$I$3,IF(L437="CN",'Impostos e Frete'!$I$4,IF(L437="JP",'Impostos e Frete'!$I$5,IF(L437="RU",'Impostos e Frete'!$I$7,"ERRO")))))</f>
        <v>1.1330439999999999</v>
      </c>
      <c r="CA437" s="210">
        <f>VLOOKUP(L437,'Impostos e Frete'!$A$3:$B$7,2,0)*'Preços e Condições'!BY437</f>
        <v>1.3650000000000002</v>
      </c>
      <c r="CB437" s="147">
        <f t="shared" si="80"/>
        <v>0</v>
      </c>
      <c r="CC437" s="147">
        <f>IF(X437="BRL",'Impostos e Frete'!$B$11,'Impostos e Frete'!$B$12)</f>
        <v>9.1999999999999998E-2</v>
      </c>
      <c r="CD437" s="211">
        <f t="shared" ca="1" si="81"/>
        <v>12.340044000000001</v>
      </c>
      <c r="CE437" s="212">
        <f t="shared" ca="1" si="82"/>
        <v>0.80210286000000008</v>
      </c>
      <c r="CF437" s="213">
        <f>VLOOKUP(L437,'Impostos e Frete'!$A$3:$C$7,3,0)</f>
        <v>120</v>
      </c>
      <c r="CG437" s="213">
        <f t="shared" si="83"/>
        <v>90</v>
      </c>
      <c r="CH437" s="213">
        <f t="shared" si="84"/>
        <v>-30</v>
      </c>
      <c r="CI437" s="214">
        <f t="shared" ca="1" si="85"/>
        <v>0.18510065999999803</v>
      </c>
      <c r="CJ437" s="215">
        <f t="shared" ca="1" si="86"/>
        <v>12.525144659999999</v>
      </c>
      <c r="CK437" s="216">
        <f t="shared" ca="1" si="87"/>
        <v>0.81413440289999994</v>
      </c>
    </row>
    <row r="438" spans="1:89">
      <c r="A438" s="203">
        <v>7002372</v>
      </c>
      <c r="B438" s="186">
        <v>248</v>
      </c>
      <c r="C438" s="196">
        <v>65</v>
      </c>
      <c r="D438" s="196"/>
      <c r="E438" s="196" t="s">
        <v>50</v>
      </c>
      <c r="F438" s="179" t="s">
        <v>3</v>
      </c>
      <c r="G438" s="180" t="s">
        <v>107</v>
      </c>
      <c r="H438" s="178" t="s">
        <v>63</v>
      </c>
      <c r="I438" s="178" t="s">
        <v>106</v>
      </c>
      <c r="J438" s="178"/>
      <c r="K438" s="178"/>
      <c r="L438" s="178" t="s">
        <v>60</v>
      </c>
      <c r="M438" s="178">
        <v>90</v>
      </c>
      <c r="N438" s="178">
        <v>400</v>
      </c>
      <c r="O438" s="178"/>
      <c r="P438" s="178">
        <v>90</v>
      </c>
      <c r="Q438" s="178"/>
      <c r="R438" s="178" t="s">
        <v>19</v>
      </c>
      <c r="S438" s="181"/>
      <c r="T438" s="181"/>
      <c r="U438" s="182"/>
      <c r="V438" s="182" t="s">
        <v>35</v>
      </c>
      <c r="W438" s="183">
        <v>100</v>
      </c>
      <c r="X438" s="182" t="s">
        <v>267</v>
      </c>
      <c r="Y438" s="202"/>
      <c r="Z438" s="202"/>
      <c r="AA438" s="202"/>
      <c r="AB438" s="202"/>
      <c r="AC438" s="202"/>
      <c r="AD438" s="202"/>
      <c r="AE438" s="202"/>
      <c r="AF438" s="202"/>
      <c r="AG438" s="202"/>
      <c r="AH438" s="202"/>
      <c r="AI438" s="202"/>
      <c r="AJ438" s="202"/>
      <c r="AK438" s="202"/>
      <c r="AL438" s="202"/>
      <c r="AM438" s="202"/>
      <c r="AN438" s="202"/>
      <c r="AO438" s="202"/>
      <c r="AP438" s="202"/>
      <c r="AQ438" s="202"/>
      <c r="AR438" s="202"/>
      <c r="AS438" s="202"/>
      <c r="AT438" s="202"/>
      <c r="AU438" s="202"/>
      <c r="AV438" s="202"/>
      <c r="AW438" s="202"/>
      <c r="AX438" s="202"/>
      <c r="AY438" s="202"/>
      <c r="AZ438" s="202"/>
      <c r="BA438" s="202"/>
      <c r="BB438" s="202"/>
      <c r="BC438" s="202"/>
      <c r="BD438" s="202"/>
      <c r="BE438" s="202"/>
      <c r="BF438" s="202"/>
      <c r="BG438" s="202"/>
      <c r="BH438" s="202"/>
      <c r="BI438" s="184">
        <v>12300</v>
      </c>
      <c r="BJ438" s="184">
        <v>12300</v>
      </c>
      <c r="BK438" s="184">
        <v>12300</v>
      </c>
      <c r="BL438" s="202">
        <v>12300</v>
      </c>
      <c r="BM438" s="202">
        <v>12300</v>
      </c>
      <c r="BN438" s="202">
        <v>12300</v>
      </c>
      <c r="BO438" s="202"/>
      <c r="BP438" s="202"/>
      <c r="BQ438" s="202"/>
      <c r="BR438" s="202"/>
      <c r="BS438" s="202"/>
      <c r="BT438" s="202"/>
      <c r="BU438" s="146" cm="1">
        <f t="array" ref="BU438">LOOKUP(2,1/(Y438:BT438&lt;&gt;""),Y438:BH438)</f>
        <v>12300</v>
      </c>
      <c r="BV438" s="145" cm="1">
        <f t="array" aca="1" ref="BV438" ca="1">_xlfn.LET(
    _xlpm.last_col_idx, LOOKUP(2, 1/(Y438:BT438&lt;&gt;""), COLUMN(Y438:BT438) - COLUMN(Y438) + 1),
    _xlpm.header_val, INDEX($Y$3:$BT$3, 1, _xlpm.last_col_idx),
    _xlpm.header_date, IF(ISNUMBER(_xlpm.header_val), _xlpm.header_val, DATEVALUE(_xlpm.header_val)),
    IF(_xlpm.header_date &gt; TODAY(), TODAY(), _xlpm.header_date)
)</f>
        <v>46174</v>
      </c>
      <c r="BW438" s="209" cm="1">
        <f t="array" ref="BW438">(LOOKUP(2,1/(BH438:BT438&lt;&gt;""),BH438:BT438))/(INDEX(BH438:BT438,MATCH(TRUE,INDEX((BH438:BT438&lt;&gt;0),0),0)))-1</f>
        <v>0</v>
      </c>
      <c r="BX438" s="210">
        <f t="shared" si="78"/>
        <v>12.3</v>
      </c>
      <c r="BY438" s="210">
        <f t="shared" si="79"/>
        <v>9.2250000000000014</v>
      </c>
      <c r="BZ438" s="210">
        <f ca="1">IF(L438="BR",'Impostos e Frete'!$F$6,IF(L438="EU",'Impostos e Frete'!$I$3,IF(L438="CN",'Impostos e Frete'!$I$4,IF(L438="JP",'Impostos e Frete'!$I$5,IF(L438="RU",'Impostos e Frete'!$I$7,"ERRO")))))</f>
        <v>1.1330439999999999</v>
      </c>
      <c r="CA438" s="210">
        <f>VLOOKUP(L438,'Impostos e Frete'!$A$3:$B$7,2,0)*'Preços e Condições'!BY438</f>
        <v>1.2915000000000003</v>
      </c>
      <c r="CB438" s="147">
        <f t="shared" si="80"/>
        <v>0</v>
      </c>
      <c r="CC438" s="147">
        <f>IF(X438="BRL",'Impostos e Frete'!$B$11,'Impostos e Frete'!$B$12)</f>
        <v>9.1999999999999998E-2</v>
      </c>
      <c r="CD438" s="211">
        <f t="shared" ca="1" si="81"/>
        <v>11.741544000000003</v>
      </c>
      <c r="CE438" s="212">
        <f t="shared" ca="1" si="82"/>
        <v>0.76320036000000024</v>
      </c>
      <c r="CF438" s="213">
        <f>VLOOKUP(L438,'Impostos e Frete'!$A$3:$C$7,3,0)</f>
        <v>120</v>
      </c>
      <c r="CG438" s="213">
        <f t="shared" si="83"/>
        <v>90</v>
      </c>
      <c r="CH438" s="213">
        <f t="shared" si="84"/>
        <v>-30</v>
      </c>
      <c r="CI438" s="214">
        <f t="shared" ca="1" si="85"/>
        <v>0.1761231599999995</v>
      </c>
      <c r="CJ438" s="215">
        <f t="shared" ca="1" si="86"/>
        <v>11.917667160000002</v>
      </c>
      <c r="CK438" s="216">
        <f t="shared" ca="1" si="87"/>
        <v>0.77464836540000015</v>
      </c>
    </row>
    <row r="439" spans="1:89">
      <c r="A439" s="203">
        <v>7002384</v>
      </c>
      <c r="B439" s="186" t="s">
        <v>372</v>
      </c>
      <c r="C439" s="196">
        <v>65</v>
      </c>
      <c r="D439" s="196"/>
      <c r="E439" s="196" t="s">
        <v>50</v>
      </c>
      <c r="F439" s="179" t="s">
        <v>0</v>
      </c>
      <c r="G439" s="180" t="s">
        <v>307</v>
      </c>
      <c r="H439" s="178" t="s">
        <v>43</v>
      </c>
      <c r="I439" s="178"/>
      <c r="J439" s="178"/>
      <c r="K439" s="178"/>
      <c r="L439" s="178" t="s">
        <v>60</v>
      </c>
      <c r="M439" s="178">
        <v>90</v>
      </c>
      <c r="N439" s="178">
        <v>3300</v>
      </c>
      <c r="O439" s="178"/>
      <c r="P439" s="178"/>
      <c r="Q439" s="178"/>
      <c r="R439" s="178" t="s">
        <v>19</v>
      </c>
      <c r="S439" s="181"/>
      <c r="T439" s="181"/>
      <c r="U439" s="182"/>
      <c r="V439" s="182" t="s">
        <v>35</v>
      </c>
      <c r="W439" s="183">
        <v>100</v>
      </c>
      <c r="X439" s="182" t="s">
        <v>267</v>
      </c>
      <c r="Y439" s="202"/>
      <c r="Z439" s="202"/>
      <c r="AA439" s="202"/>
      <c r="AB439" s="202"/>
      <c r="AC439" s="202"/>
      <c r="AD439" s="202"/>
      <c r="AE439" s="202"/>
      <c r="AF439" s="202"/>
      <c r="AG439" s="202"/>
      <c r="AH439" s="202"/>
      <c r="AI439" s="202"/>
      <c r="AJ439" s="202"/>
      <c r="AK439" s="202"/>
      <c r="AL439" s="202"/>
      <c r="AM439" s="202"/>
      <c r="AN439" s="202"/>
      <c r="AO439" s="202"/>
      <c r="AP439" s="202"/>
      <c r="AQ439" s="202"/>
      <c r="AR439" s="202"/>
      <c r="AS439" s="202"/>
      <c r="AT439" s="202"/>
      <c r="AU439" s="202"/>
      <c r="AV439" s="202"/>
      <c r="AW439" s="202"/>
      <c r="AX439" s="202"/>
      <c r="AY439" s="202"/>
      <c r="AZ439" s="202"/>
      <c r="BA439" s="202"/>
      <c r="BB439" s="202"/>
      <c r="BC439" s="202"/>
      <c r="BD439" s="202"/>
      <c r="BE439" s="202"/>
      <c r="BF439" s="202"/>
      <c r="BG439" s="202"/>
      <c r="BH439" s="202"/>
      <c r="BI439" s="184">
        <v>10950</v>
      </c>
      <c r="BJ439" s="184">
        <v>10950</v>
      </c>
      <c r="BK439" s="184">
        <v>10950</v>
      </c>
      <c r="BL439" s="184">
        <v>10950</v>
      </c>
      <c r="BM439" s="184">
        <v>10950</v>
      </c>
      <c r="BN439" s="184">
        <v>10950</v>
      </c>
      <c r="BO439" s="202"/>
      <c r="BP439" s="202"/>
      <c r="BQ439" s="202"/>
      <c r="BR439" s="202"/>
      <c r="BS439" s="202"/>
      <c r="BT439" s="202"/>
      <c r="BU439" s="146" cm="1">
        <f t="array" ref="BU439">LOOKUP(2,1/(Y439:BT439&lt;&gt;""),Y439:BH439)</f>
        <v>10950</v>
      </c>
      <c r="BV439" s="145" cm="1">
        <f t="array" aca="1" ref="BV439" ca="1">_xlfn.LET(
    _xlpm.last_col_idx, LOOKUP(2, 1/(Y439:BT439&lt;&gt;""), COLUMN(Y439:BT439) - COLUMN(Y439) + 1),
    _xlpm.header_val, INDEX($Y$3:$BT$3, 1, _xlpm.last_col_idx),
    _xlpm.header_date, IF(ISNUMBER(_xlpm.header_val), _xlpm.header_val, DATEVALUE(_xlpm.header_val)),
    IF(_xlpm.header_date &gt; TODAY(), TODAY(), _xlpm.header_date)
)</f>
        <v>46174</v>
      </c>
      <c r="BW439" s="209" cm="1">
        <f t="array" ref="BW439">(LOOKUP(2,1/(BH439:BT439&lt;&gt;""),BH439:BT439))/(INDEX(BH439:BT439,MATCH(TRUE,INDEX((BH439:BT439&lt;&gt;0),0),0)))-1</f>
        <v>0</v>
      </c>
      <c r="BX439" s="210">
        <f t="shared" si="78"/>
        <v>10.95</v>
      </c>
      <c r="BY439" s="210">
        <f t="shared" si="79"/>
        <v>8.2124999999999986</v>
      </c>
      <c r="BZ439" s="210">
        <f ca="1">IF(L439="BR",'Impostos e Frete'!$F$6,IF(L439="EU",'Impostos e Frete'!$I$3,IF(L439="CN",'Impostos e Frete'!$I$4,IF(L439="JP",'Impostos e Frete'!$I$5,IF(L439="RU",'Impostos e Frete'!$I$7,"ERRO")))))</f>
        <v>1.1330439999999999</v>
      </c>
      <c r="CA439" s="210">
        <f>VLOOKUP(L439,'Impostos e Frete'!$A$3:$B$7,2,0)*'Preços e Condições'!BY439</f>
        <v>1.1497499999999998</v>
      </c>
      <c r="CB439" s="147">
        <f t="shared" si="80"/>
        <v>0</v>
      </c>
      <c r="CC439" s="147">
        <f>IF(X439="BRL",'Impostos e Frete'!$B$11,'Impostos e Frete'!$B$12)</f>
        <v>9.1999999999999998E-2</v>
      </c>
      <c r="CD439" s="211">
        <f t="shared" ca="1" si="81"/>
        <v>10.587293999999998</v>
      </c>
      <c r="CE439" s="212">
        <f t="shared" ca="1" si="82"/>
        <v>0.68817410999999995</v>
      </c>
      <c r="CF439" s="213">
        <f>VLOOKUP(L439,'Impostos e Frete'!$A$3:$C$7,3,0)</f>
        <v>120</v>
      </c>
      <c r="CG439" s="213">
        <f t="shared" si="83"/>
        <v>90</v>
      </c>
      <c r="CH439" s="213">
        <f t="shared" si="84"/>
        <v>-30</v>
      </c>
      <c r="CI439" s="214">
        <f t="shared" ca="1" si="85"/>
        <v>0.15880940999999815</v>
      </c>
      <c r="CJ439" s="215">
        <f t="shared" ca="1" si="86"/>
        <v>10.746103409999996</v>
      </c>
      <c r="CK439" s="216">
        <f t="shared" ca="1" si="87"/>
        <v>0.69849672164999976</v>
      </c>
    </row>
    <row r="440" spans="1:89">
      <c r="A440" s="203">
        <v>7002385</v>
      </c>
      <c r="B440" s="186"/>
      <c r="C440" s="196">
        <v>65</v>
      </c>
      <c r="D440" s="196"/>
      <c r="E440" s="196" t="s">
        <v>50</v>
      </c>
      <c r="F440" s="179" t="s">
        <v>3</v>
      </c>
      <c r="G440" s="185" t="s">
        <v>298</v>
      </c>
      <c r="H440" s="178" t="s">
        <v>43</v>
      </c>
      <c r="I440" s="178" t="s">
        <v>337</v>
      </c>
      <c r="J440" s="178"/>
      <c r="K440" s="178"/>
      <c r="L440" s="178" t="s">
        <v>60</v>
      </c>
      <c r="M440" s="178">
        <v>90</v>
      </c>
      <c r="N440" s="178">
        <v>400</v>
      </c>
      <c r="O440" s="178"/>
      <c r="P440" s="178">
        <v>90</v>
      </c>
      <c r="Q440" s="178"/>
      <c r="R440" s="178" t="s">
        <v>19</v>
      </c>
      <c r="S440" s="181"/>
      <c r="T440" s="181"/>
      <c r="U440" s="182"/>
      <c r="V440" s="182" t="s">
        <v>35</v>
      </c>
      <c r="W440" s="183">
        <v>100</v>
      </c>
      <c r="X440" s="182" t="s">
        <v>267</v>
      </c>
      <c r="Y440" s="202"/>
      <c r="Z440" s="202"/>
      <c r="AA440" s="202"/>
      <c r="AB440" s="202"/>
      <c r="AC440" s="202"/>
      <c r="AD440" s="202"/>
      <c r="AE440" s="202"/>
      <c r="AF440" s="202"/>
      <c r="AG440" s="202"/>
      <c r="AH440" s="202"/>
      <c r="AI440" s="202"/>
      <c r="AJ440" s="202"/>
      <c r="AK440" s="202"/>
      <c r="AL440" s="202"/>
      <c r="AM440" s="202"/>
      <c r="AN440" s="202"/>
      <c r="AO440" s="202"/>
      <c r="AP440" s="202"/>
      <c r="AQ440" s="202"/>
      <c r="AR440" s="202"/>
      <c r="AS440" s="202"/>
      <c r="AT440" s="202"/>
      <c r="AU440" s="202"/>
      <c r="AV440" s="202"/>
      <c r="AW440" s="202"/>
      <c r="AX440" s="202"/>
      <c r="AY440" s="202"/>
      <c r="AZ440" s="202"/>
      <c r="BA440" s="202"/>
      <c r="BB440" s="202"/>
      <c r="BC440" s="202"/>
      <c r="BD440" s="202"/>
      <c r="BE440" s="202"/>
      <c r="BF440" s="202"/>
      <c r="BG440" s="202"/>
      <c r="BH440" s="202"/>
      <c r="BI440" s="184">
        <v>11000</v>
      </c>
      <c r="BJ440" s="184">
        <v>11000</v>
      </c>
      <c r="BK440" s="184">
        <v>11000</v>
      </c>
      <c r="BL440" s="184">
        <v>11000</v>
      </c>
      <c r="BM440" s="184">
        <v>11000</v>
      </c>
      <c r="BN440" s="184">
        <v>11000</v>
      </c>
      <c r="BO440" s="202"/>
      <c r="BP440" s="202"/>
      <c r="BQ440" s="202"/>
      <c r="BR440" s="202"/>
      <c r="BS440" s="202"/>
      <c r="BT440" s="202"/>
      <c r="BU440" s="146" cm="1">
        <f t="array" ref="BU440">LOOKUP(2,1/(Y440:BT440&lt;&gt;""),Y440:BH440)</f>
        <v>11000</v>
      </c>
      <c r="BV440" s="145" cm="1">
        <f t="array" aca="1" ref="BV440" ca="1">_xlfn.LET(
    _xlpm.last_col_idx, LOOKUP(2, 1/(Y440:BT440&lt;&gt;""), COLUMN(Y440:BT440) - COLUMN(Y440) + 1),
    _xlpm.header_val, INDEX($Y$3:$BT$3, 1, _xlpm.last_col_idx),
    _xlpm.header_date, IF(ISNUMBER(_xlpm.header_val), _xlpm.header_val, DATEVALUE(_xlpm.header_val)),
    IF(_xlpm.header_date &gt; TODAY(), TODAY(), _xlpm.header_date)
)</f>
        <v>46174</v>
      </c>
      <c r="BW440" s="209" cm="1">
        <f t="array" ref="BW440">(LOOKUP(2,1/(BH440:BT440&lt;&gt;""),BH440:BT440))/(INDEX(BH440:BT440,MATCH(TRUE,INDEX((BH440:BT440&lt;&gt;0),0),0)))-1</f>
        <v>0</v>
      </c>
      <c r="BX440" s="210">
        <f t="shared" si="78"/>
        <v>11</v>
      </c>
      <c r="BY440" s="210">
        <f t="shared" si="79"/>
        <v>8.25</v>
      </c>
      <c r="BZ440" s="210">
        <f ca="1">IF(L440="BR",'Impostos e Frete'!$F$6,IF(L440="EU",'Impostos e Frete'!$I$3,IF(L440="CN",'Impostos e Frete'!$I$4,IF(L440="JP",'Impostos e Frete'!$I$5,IF(L440="RU",'Impostos e Frete'!$I$7,"ERRO")))))</f>
        <v>1.1330439999999999</v>
      </c>
      <c r="CA440" s="210">
        <f>VLOOKUP(L440,'Impostos e Frete'!$A$3:$B$7,2,0)*'Preços e Condições'!BY440</f>
        <v>1.155</v>
      </c>
      <c r="CB440" s="147">
        <f t="shared" si="80"/>
        <v>0</v>
      </c>
      <c r="CC440" s="147">
        <f>IF(X440="BRL",'Impostos e Frete'!$B$11,'Impostos e Frete'!$B$12)</f>
        <v>9.1999999999999998E-2</v>
      </c>
      <c r="CD440" s="211">
        <f t="shared" ca="1" si="81"/>
        <v>10.630044</v>
      </c>
      <c r="CE440" s="212">
        <f t="shared" ca="1" si="82"/>
        <v>0.69095286</v>
      </c>
      <c r="CF440" s="213">
        <f>VLOOKUP(L440,'Impostos e Frete'!$A$3:$C$7,3,0)</f>
        <v>120</v>
      </c>
      <c r="CG440" s="213">
        <f t="shared" si="83"/>
        <v>90</v>
      </c>
      <c r="CH440" s="213">
        <f t="shared" si="84"/>
        <v>-30</v>
      </c>
      <c r="CI440" s="214">
        <f t="shared" ca="1" si="85"/>
        <v>0.15945065999999919</v>
      </c>
      <c r="CJ440" s="215">
        <f t="shared" ca="1" si="86"/>
        <v>10.789494659999999</v>
      </c>
      <c r="CK440" s="216">
        <f t="shared" ca="1" si="87"/>
        <v>0.70131715289999996</v>
      </c>
    </row>
    <row r="441" spans="1:89">
      <c r="A441" s="203">
        <v>7002386</v>
      </c>
      <c r="B441" s="186">
        <v>128</v>
      </c>
      <c r="C441" s="196">
        <v>65</v>
      </c>
      <c r="D441" s="196"/>
      <c r="E441" s="196" t="s">
        <v>50</v>
      </c>
      <c r="F441" s="179" t="s">
        <v>240</v>
      </c>
      <c r="G441" s="185" t="s">
        <v>304</v>
      </c>
      <c r="H441" s="178" t="s">
        <v>43</v>
      </c>
      <c r="I441" s="178" t="s">
        <v>450</v>
      </c>
      <c r="J441" s="178"/>
      <c r="K441" s="178"/>
      <c r="L441" s="178" t="s">
        <v>60</v>
      </c>
      <c r="M441" s="178">
        <v>90</v>
      </c>
      <c r="N441" s="178">
        <v>3300</v>
      </c>
      <c r="O441" s="178"/>
      <c r="P441" s="178"/>
      <c r="Q441" s="178"/>
      <c r="R441" s="178" t="s">
        <v>19</v>
      </c>
      <c r="S441" s="181"/>
      <c r="T441" s="181"/>
      <c r="U441" s="182"/>
      <c r="V441" s="182" t="s">
        <v>35</v>
      </c>
      <c r="W441" s="183"/>
      <c r="X441" s="182" t="s">
        <v>267</v>
      </c>
      <c r="Y441" s="202"/>
      <c r="Z441" s="202"/>
      <c r="AA441" s="202"/>
      <c r="AB441" s="202"/>
      <c r="AC441" s="202"/>
      <c r="AD441" s="202"/>
      <c r="AE441" s="202"/>
      <c r="AF441" s="202"/>
      <c r="AG441" s="202"/>
      <c r="AH441" s="202"/>
      <c r="AI441" s="202"/>
      <c r="AJ441" s="202"/>
      <c r="AK441" s="202"/>
      <c r="AL441" s="202"/>
      <c r="AM441" s="202"/>
      <c r="AN441" s="202"/>
      <c r="AO441" s="202"/>
      <c r="AP441" s="202"/>
      <c r="AQ441" s="202"/>
      <c r="AR441" s="202"/>
      <c r="AS441" s="202"/>
      <c r="AT441" s="202"/>
      <c r="AU441" s="202"/>
      <c r="AV441" s="202"/>
      <c r="AW441" s="202"/>
      <c r="AX441" s="202"/>
      <c r="AY441" s="202"/>
      <c r="AZ441" s="202"/>
      <c r="BA441" s="202"/>
      <c r="BB441" s="202"/>
      <c r="BC441" s="202"/>
      <c r="BD441" s="202"/>
      <c r="BE441" s="202"/>
      <c r="BF441" s="202"/>
      <c r="BG441" s="202"/>
      <c r="BH441" s="202"/>
      <c r="BI441" s="184">
        <v>11500</v>
      </c>
      <c r="BJ441" s="184">
        <v>11500</v>
      </c>
      <c r="BK441" s="184">
        <v>11500</v>
      </c>
      <c r="BL441" s="184">
        <v>11500</v>
      </c>
      <c r="BM441" s="184">
        <v>11500</v>
      </c>
      <c r="BN441" s="184">
        <v>11500</v>
      </c>
      <c r="BO441" s="202"/>
      <c r="BP441" s="202"/>
      <c r="BQ441" s="202"/>
      <c r="BR441" s="202"/>
      <c r="BS441" s="202"/>
      <c r="BT441" s="202"/>
      <c r="BU441" s="146" cm="1">
        <f t="array" ref="BU441">LOOKUP(2,1/(Y441:BT441&lt;&gt;""),Y441:BH441)</f>
        <v>11500</v>
      </c>
      <c r="BV441" s="145" cm="1">
        <f t="array" aca="1" ref="BV441" ca="1">_xlfn.LET(
    _xlpm.last_col_idx, LOOKUP(2, 1/(Y441:BT441&lt;&gt;""), COLUMN(Y441:BT441) - COLUMN(Y441) + 1),
    _xlpm.header_val, INDEX($Y$3:$BT$3, 1, _xlpm.last_col_idx),
    _xlpm.header_date, IF(ISNUMBER(_xlpm.header_val), _xlpm.header_val, DATEVALUE(_xlpm.header_val)),
    IF(_xlpm.header_date &gt; TODAY(), TODAY(), _xlpm.header_date)
)</f>
        <v>46174</v>
      </c>
      <c r="BW441" s="209" cm="1">
        <f t="array" ref="BW441">(LOOKUP(2,1/(BH441:BT441&lt;&gt;""),BH441:BT441))/(INDEX(BH441:BT441,MATCH(TRUE,INDEX((BH441:BT441&lt;&gt;0),0),0)))-1</f>
        <v>0</v>
      </c>
      <c r="BX441" s="210">
        <f t="shared" si="78"/>
        <v>11.5</v>
      </c>
      <c r="BY441" s="210">
        <f t="shared" si="79"/>
        <v>8.625</v>
      </c>
      <c r="BZ441" s="210">
        <f ca="1">IF(L441="BR",'Impostos e Frete'!$F$6,IF(L441="EU",'Impostos e Frete'!$I$3,IF(L441="CN",'Impostos e Frete'!$I$4,IF(L441="JP",'Impostos e Frete'!$I$5,IF(L441="RU",'Impostos e Frete'!$I$7,"ERRO")))))</f>
        <v>1.1330439999999999</v>
      </c>
      <c r="CA441" s="210">
        <f>VLOOKUP(L441,'Impostos e Frete'!$A$3:$B$7,2,0)*'Preços e Condições'!BY441</f>
        <v>1.2075</v>
      </c>
      <c r="CB441" s="147">
        <f t="shared" si="80"/>
        <v>0</v>
      </c>
      <c r="CC441" s="147">
        <f>IF(X441="BRL",'Impostos e Frete'!$B$11,'Impostos e Frete'!$B$12)</f>
        <v>9.1999999999999998E-2</v>
      </c>
      <c r="CD441" s="211">
        <f t="shared" ca="1" si="81"/>
        <v>11.057544</v>
      </c>
      <c r="CE441" s="212">
        <f t="shared" ca="1" si="82"/>
        <v>0.71874036000000008</v>
      </c>
      <c r="CF441" s="213">
        <f>VLOOKUP(L441,'Impostos e Frete'!$A$3:$C$7,3,0)</f>
        <v>120</v>
      </c>
      <c r="CG441" s="213">
        <f t="shared" si="83"/>
        <v>90</v>
      </c>
      <c r="CH441" s="213">
        <f t="shared" si="84"/>
        <v>-30</v>
      </c>
      <c r="CI441" s="214">
        <f t="shared" ca="1" si="85"/>
        <v>0.1658631599999989</v>
      </c>
      <c r="CJ441" s="215">
        <f t="shared" ca="1" si="86"/>
        <v>11.223407159999999</v>
      </c>
      <c r="CK441" s="216">
        <f t="shared" ca="1" si="87"/>
        <v>0.72952146539999996</v>
      </c>
    </row>
    <row r="442" spans="1:89">
      <c r="A442" s="203">
        <v>7004320</v>
      </c>
      <c r="B442" s="186">
        <v>380</v>
      </c>
      <c r="C442" s="196">
        <v>70</v>
      </c>
      <c r="D442" s="196"/>
      <c r="E442" s="196" t="s">
        <v>50</v>
      </c>
      <c r="F442" s="179" t="s">
        <v>47</v>
      </c>
      <c r="G442" s="185" t="s">
        <v>217</v>
      </c>
      <c r="H442" s="178" t="s">
        <v>63</v>
      </c>
      <c r="I442" s="178">
        <v>4478</v>
      </c>
      <c r="J442" s="178"/>
      <c r="K442" s="178"/>
      <c r="L442" s="178" t="s">
        <v>59</v>
      </c>
      <c r="M442" s="178">
        <v>120</v>
      </c>
      <c r="N442" s="178">
        <v>300</v>
      </c>
      <c r="O442" s="178"/>
      <c r="P442" s="178"/>
      <c r="Q442" s="178"/>
      <c r="R442" s="178" t="s">
        <v>19</v>
      </c>
      <c r="S442" s="181"/>
      <c r="T442" s="181"/>
      <c r="U442" s="182"/>
      <c r="V442" s="182" t="s">
        <v>35</v>
      </c>
      <c r="W442" s="183">
        <v>100</v>
      </c>
      <c r="X442" s="182" t="s">
        <v>51</v>
      </c>
      <c r="Y442" s="202"/>
      <c r="Z442" s="202"/>
      <c r="AA442" s="202"/>
      <c r="AB442" s="202"/>
      <c r="AC442" s="202"/>
      <c r="AD442" s="202"/>
      <c r="AE442" s="202"/>
      <c r="AF442" s="202"/>
      <c r="AG442" s="202"/>
      <c r="AH442" s="202"/>
      <c r="AI442" s="202"/>
      <c r="AJ442" s="202"/>
      <c r="AK442" s="202"/>
      <c r="AL442" s="202"/>
      <c r="AM442" s="202"/>
      <c r="AN442" s="202"/>
      <c r="AO442" s="202"/>
      <c r="AP442" s="202"/>
      <c r="AQ442" s="202"/>
      <c r="AR442" s="202"/>
      <c r="AS442" s="202"/>
      <c r="AT442" s="202"/>
      <c r="AU442" s="202"/>
      <c r="AV442" s="202"/>
      <c r="AW442" s="202"/>
      <c r="AX442" s="202"/>
      <c r="AY442" s="202"/>
      <c r="AZ442" s="202"/>
      <c r="BA442" s="202"/>
      <c r="BB442" s="202"/>
      <c r="BC442" s="202"/>
      <c r="BD442" s="202"/>
      <c r="BE442" s="202"/>
      <c r="BF442" s="202"/>
      <c r="BG442" s="202"/>
      <c r="BH442" s="202"/>
      <c r="BI442" s="184">
        <v>2250</v>
      </c>
      <c r="BJ442" s="184">
        <v>2250</v>
      </c>
      <c r="BK442" s="184">
        <v>2250</v>
      </c>
      <c r="BL442" s="184">
        <v>2350</v>
      </c>
      <c r="BM442" s="184">
        <v>2350</v>
      </c>
      <c r="BN442" s="184">
        <v>2350</v>
      </c>
      <c r="BO442" s="202">
        <v>2430</v>
      </c>
      <c r="BP442" s="202">
        <v>2430</v>
      </c>
      <c r="BQ442" s="202">
        <v>2430</v>
      </c>
      <c r="BR442" s="202"/>
      <c r="BS442" s="202"/>
      <c r="BT442" s="202"/>
      <c r="BU442" s="146" cm="1">
        <f t="array" ref="BU442">LOOKUP(2,1/(Y442:BT442&lt;&gt;""),Y442:BH442)</f>
        <v>2430</v>
      </c>
      <c r="BV442" s="145" cm="1">
        <f t="array" aca="1" ref="BV442" ca="1">_xlfn.LET(
    _xlpm.last_col_idx, LOOKUP(2, 1/(Y442:BT442&lt;&gt;""), COLUMN(Y442:BT442) - COLUMN(Y442) + 1),
    _xlpm.header_val, INDEX($Y$3:$BT$3, 1, _xlpm.last_col_idx),
    _xlpm.header_date, IF(ISNUMBER(_xlpm.header_val), _xlpm.header_val, DATEVALUE(_xlpm.header_val)),
    IF(_xlpm.header_date &gt; TODAY(), TODAY(), _xlpm.header_date)
)</f>
        <v>46212</v>
      </c>
      <c r="BW442" s="209" cm="1">
        <f t="array" ref="BW442">(LOOKUP(2,1/(BH442:BT442&lt;&gt;""),BH442:BT442))/(INDEX(BH442:BT442,MATCH(TRUE,INDEX((BH442:BT442&lt;&gt;0),0),0)))-1</f>
        <v>8.0000000000000071E-2</v>
      </c>
      <c r="BX442" s="210">
        <f t="shared" si="78"/>
        <v>2.4300000000000002</v>
      </c>
      <c r="BY442" s="210">
        <f t="shared" si="79"/>
        <v>14.337000000000002</v>
      </c>
      <c r="BZ442" s="210">
        <f ca="1">IF(L442="BR",'Impostos e Frete'!$F$6,IF(L442="EU",'Impostos e Frete'!$I$3,IF(L442="CN",'Impostos e Frete'!$I$4,IF(L442="JP",'Impostos e Frete'!$I$5,IF(L442="RU",'Impostos e Frete'!$I$7,"ERRO")))))</f>
        <v>0.1410816</v>
      </c>
      <c r="CA442" s="210">
        <f>VLOOKUP(L442,'Impostos e Frete'!$A$3:$B$7,2,0)*'Preços e Condições'!BY442</f>
        <v>1.8638100000000002</v>
      </c>
      <c r="CB442" s="147">
        <f t="shared" si="80"/>
        <v>0</v>
      </c>
      <c r="CC442" s="147">
        <f>IF(X442="BRL",'Impostos e Frete'!$B$11,'Impostos e Frete'!$B$12)</f>
        <v>9.1999999999999998E-2</v>
      </c>
      <c r="CD442" s="211">
        <f t="shared" ca="1" si="81"/>
        <v>16.433891599999999</v>
      </c>
      <c r="CE442" s="212">
        <f t="shared" ca="1" si="82"/>
        <v>1.1503724120000001</v>
      </c>
      <c r="CF442" s="213">
        <f>VLOOKUP(L442,'Impostos e Frete'!$A$3:$C$7,3,0)</f>
        <v>105</v>
      </c>
      <c r="CG442" s="213">
        <f t="shared" si="83"/>
        <v>120</v>
      </c>
      <c r="CH442" s="213">
        <f t="shared" si="84"/>
        <v>15</v>
      </c>
      <c r="CI442" s="214">
        <f t="shared" ca="1" si="85"/>
        <v>-0.1218846855551341</v>
      </c>
      <c r="CJ442" s="215">
        <f t="shared" ca="1" si="86"/>
        <v>16.312006914444865</v>
      </c>
      <c r="CK442" s="216">
        <f t="shared" ca="1" si="87"/>
        <v>1.1418404840111405</v>
      </c>
    </row>
    <row r="443" spans="1:89">
      <c r="A443" s="217">
        <v>7004320</v>
      </c>
      <c r="B443" s="177">
        <v>380</v>
      </c>
      <c r="C443" s="178">
        <v>70</v>
      </c>
      <c r="D443" s="178"/>
      <c r="E443" s="178" t="s">
        <v>50</v>
      </c>
      <c r="F443" s="179" t="s">
        <v>47</v>
      </c>
      <c r="G443" s="185" t="s">
        <v>217</v>
      </c>
      <c r="H443" s="178" t="s">
        <v>63</v>
      </c>
      <c r="I443" s="178">
        <v>4478</v>
      </c>
      <c r="J443" s="178"/>
      <c r="K443" s="178"/>
      <c r="L443" s="178" t="s">
        <v>59</v>
      </c>
      <c r="M443" s="178">
        <v>120</v>
      </c>
      <c r="N443" s="178">
        <v>300</v>
      </c>
      <c r="O443" s="178"/>
      <c r="P443" s="178"/>
      <c r="Q443" s="178"/>
      <c r="R443" s="178" t="s">
        <v>19</v>
      </c>
      <c r="S443" s="181"/>
      <c r="T443" s="181"/>
      <c r="U443" s="182"/>
      <c r="V443" s="182" t="s">
        <v>35</v>
      </c>
      <c r="W443" s="183">
        <v>50</v>
      </c>
      <c r="X443" s="182" t="s">
        <v>51</v>
      </c>
      <c r="Y443" s="184"/>
      <c r="Z443" s="184"/>
      <c r="AA443" s="184"/>
      <c r="AB443" s="184"/>
      <c r="AC443" s="184"/>
      <c r="AD443" s="184"/>
      <c r="AE443" s="184"/>
      <c r="AF443" s="184"/>
      <c r="AG443" s="184"/>
      <c r="AH443" s="184"/>
      <c r="AI443" s="184"/>
      <c r="AJ443" s="184"/>
      <c r="AK443" s="184"/>
      <c r="AL443" s="184"/>
      <c r="AM443" s="184"/>
      <c r="AN443" s="184"/>
      <c r="AO443" s="184"/>
      <c r="AP443" s="184"/>
      <c r="AQ443" s="184"/>
      <c r="AR443" s="184"/>
      <c r="AS443" s="184"/>
      <c r="AT443" s="184"/>
      <c r="AU443" s="184"/>
      <c r="AV443" s="184"/>
      <c r="AW443" s="184"/>
      <c r="AX443" s="184"/>
      <c r="AY443" s="184"/>
      <c r="AZ443" s="184"/>
      <c r="BA443" s="184"/>
      <c r="BB443" s="184"/>
      <c r="BC443" s="184"/>
      <c r="BD443" s="184"/>
      <c r="BE443" s="184"/>
      <c r="BF443" s="184"/>
      <c r="BG443" s="184"/>
      <c r="BH443" s="184"/>
      <c r="BI443" s="184">
        <v>2270</v>
      </c>
      <c r="BJ443" s="184">
        <v>2270</v>
      </c>
      <c r="BK443" s="184">
        <v>2270</v>
      </c>
      <c r="BL443" s="184">
        <v>2370</v>
      </c>
      <c r="BM443" s="184">
        <v>2370</v>
      </c>
      <c r="BN443" s="184">
        <v>2370</v>
      </c>
      <c r="BO443" s="184">
        <v>2450</v>
      </c>
      <c r="BP443" s="184">
        <v>2450</v>
      </c>
      <c r="BQ443" s="184">
        <v>2450</v>
      </c>
      <c r="BR443" s="184"/>
      <c r="BS443" s="184"/>
      <c r="BT443" s="184"/>
      <c r="BU443" s="146" cm="1">
        <f t="array" ref="BU443">LOOKUP(2,1/(Y443:BT443&lt;&gt;""),Y443:BH443)</f>
        <v>2450</v>
      </c>
      <c r="BV443" s="145" cm="1">
        <f t="array" aca="1" ref="BV443" ca="1">_xlfn.LET(
    _xlpm.last_col_idx, LOOKUP(2, 1/(Y443:BT443&lt;&gt;""), COLUMN(Y443:BT443) - COLUMN(Y443) + 1),
    _xlpm.header_val, INDEX($Y$3:$BT$3, 1, _xlpm.last_col_idx),
    _xlpm.header_date, IF(ISNUMBER(_xlpm.header_val), _xlpm.header_val, DATEVALUE(_xlpm.header_val)),
    IF(_xlpm.header_date &gt; TODAY(), TODAY(), _xlpm.header_date)
)</f>
        <v>46212</v>
      </c>
      <c r="BW443" s="209" cm="1">
        <f t="array" ref="BW443">(LOOKUP(2,1/(BH443:BT443&lt;&gt;""),BH443:BT443))/(INDEX(BH443:BT443,MATCH(TRUE,INDEX((BH443:BT443&lt;&gt;0),0),0)))-1</f>
        <v>7.9295154185021977E-2</v>
      </c>
      <c r="BX443" s="210">
        <f t="shared" si="78"/>
        <v>2.4500000000000002</v>
      </c>
      <c r="BY443" s="210">
        <f t="shared" si="79"/>
        <v>14.455000000000002</v>
      </c>
      <c r="BZ443" s="210">
        <f ca="1">IF(L443="BR",'Impostos e Frete'!$F$6,IF(L443="EU",'Impostos e Frete'!$I$3,IF(L443="CN",'Impostos e Frete'!$I$4,IF(L443="JP",'Impostos e Frete'!$I$5,IF(L443="RU",'Impostos e Frete'!$I$7,"ERRO")))))</f>
        <v>0.1410816</v>
      </c>
      <c r="CA443" s="210">
        <f>VLOOKUP(L443,'Impostos e Frete'!$A$3:$B$7,2,0)*'Preços e Condições'!BY443</f>
        <v>1.8791500000000003</v>
      </c>
      <c r="CB443" s="147">
        <f t="shared" si="80"/>
        <v>0</v>
      </c>
      <c r="CC443" s="147">
        <f>IF(X443="BRL",'Impostos e Frete'!$B$11,'Impostos e Frete'!$B$12)</f>
        <v>9.1999999999999998E-2</v>
      </c>
      <c r="CD443" s="211">
        <f t="shared" ca="1" si="81"/>
        <v>16.5672316</v>
      </c>
      <c r="CE443" s="212">
        <f t="shared" ca="1" si="82"/>
        <v>1.1597062119999999</v>
      </c>
      <c r="CF443" s="213">
        <f>VLOOKUP(L443,'Impostos e Frete'!$A$3:$C$7,3,0)</f>
        <v>105</v>
      </c>
      <c r="CG443" s="213">
        <f t="shared" si="83"/>
        <v>120</v>
      </c>
      <c r="CH443" s="213">
        <f t="shared" si="84"/>
        <v>15</v>
      </c>
      <c r="CI443" s="214">
        <f t="shared" ca="1" si="85"/>
        <v>-0.12287362380345002</v>
      </c>
      <c r="CJ443" s="215">
        <f t="shared" ca="1" si="86"/>
        <v>16.444357976196549</v>
      </c>
      <c r="CK443" s="216">
        <f t="shared" ca="1" si="87"/>
        <v>1.1511050583337585</v>
      </c>
    </row>
    <row r="444" spans="1:89">
      <c r="A444" s="203">
        <v>7004320</v>
      </c>
      <c r="B444" s="186">
        <v>380</v>
      </c>
      <c r="C444" s="196">
        <v>70</v>
      </c>
      <c r="D444" s="196"/>
      <c r="E444" s="196" t="s">
        <v>50</v>
      </c>
      <c r="F444" s="179" t="s">
        <v>47</v>
      </c>
      <c r="G444" s="185" t="s">
        <v>217</v>
      </c>
      <c r="H444" s="178" t="s">
        <v>63</v>
      </c>
      <c r="I444" s="178">
        <v>4478</v>
      </c>
      <c r="J444" s="178"/>
      <c r="K444" s="178"/>
      <c r="L444" s="178" t="s">
        <v>59</v>
      </c>
      <c r="M444" s="178">
        <v>120</v>
      </c>
      <c r="N444" s="178">
        <v>300</v>
      </c>
      <c r="O444" s="178"/>
      <c r="P444" s="178"/>
      <c r="Q444" s="178"/>
      <c r="R444" s="178" t="s">
        <v>19</v>
      </c>
      <c r="S444" s="181"/>
      <c r="T444" s="181"/>
      <c r="U444" s="182"/>
      <c r="V444" s="182" t="s">
        <v>35</v>
      </c>
      <c r="W444" s="183">
        <v>30</v>
      </c>
      <c r="X444" s="182" t="s">
        <v>51</v>
      </c>
      <c r="Y444" s="202"/>
      <c r="Z444" s="202"/>
      <c r="AA444" s="202"/>
      <c r="AB444" s="202"/>
      <c r="AC444" s="202"/>
      <c r="AD444" s="202"/>
      <c r="AE444" s="202"/>
      <c r="AF444" s="202"/>
      <c r="AG444" s="202"/>
      <c r="AH444" s="202"/>
      <c r="AI444" s="202"/>
      <c r="AJ444" s="202"/>
      <c r="AK444" s="202"/>
      <c r="AL444" s="202"/>
      <c r="AM444" s="202"/>
      <c r="AN444" s="202"/>
      <c r="AO444" s="202"/>
      <c r="AP444" s="202"/>
      <c r="AQ444" s="202"/>
      <c r="AR444" s="202"/>
      <c r="AS444" s="202"/>
      <c r="AT444" s="202"/>
      <c r="AU444" s="202"/>
      <c r="AV444" s="202"/>
      <c r="AW444" s="202"/>
      <c r="AX444" s="202"/>
      <c r="AY444" s="202"/>
      <c r="AZ444" s="202"/>
      <c r="BA444" s="202"/>
      <c r="BB444" s="202"/>
      <c r="BC444" s="202"/>
      <c r="BD444" s="202"/>
      <c r="BE444" s="202"/>
      <c r="BF444" s="202"/>
      <c r="BG444" s="202"/>
      <c r="BH444" s="202"/>
      <c r="BI444" s="184">
        <v>2320</v>
      </c>
      <c r="BJ444" s="184">
        <v>2320</v>
      </c>
      <c r="BK444" s="184">
        <v>2320</v>
      </c>
      <c r="BL444" s="184">
        <v>2420</v>
      </c>
      <c r="BM444" s="184">
        <v>2420</v>
      </c>
      <c r="BN444" s="184">
        <v>2420</v>
      </c>
      <c r="BO444" s="202">
        <v>2500</v>
      </c>
      <c r="BP444" s="202">
        <v>2500</v>
      </c>
      <c r="BQ444" s="202">
        <v>2500</v>
      </c>
      <c r="BR444" s="202"/>
      <c r="BS444" s="202"/>
      <c r="BT444" s="202"/>
      <c r="BU444" s="146" cm="1">
        <f t="array" ref="BU444">LOOKUP(2,1/(Y444:BT444&lt;&gt;""),Y444:BH444)</f>
        <v>2500</v>
      </c>
      <c r="BV444" s="145" cm="1">
        <f t="array" aca="1" ref="BV444" ca="1">_xlfn.LET(
    _xlpm.last_col_idx, LOOKUP(2, 1/(Y444:BT444&lt;&gt;""), COLUMN(Y444:BT444) - COLUMN(Y444) + 1),
    _xlpm.header_val, INDEX($Y$3:$BT$3, 1, _xlpm.last_col_idx),
    _xlpm.header_date, IF(ISNUMBER(_xlpm.header_val), _xlpm.header_val, DATEVALUE(_xlpm.header_val)),
    IF(_xlpm.header_date &gt; TODAY(), TODAY(), _xlpm.header_date)
)</f>
        <v>46212</v>
      </c>
      <c r="BW444" s="209" cm="1">
        <f t="array" ref="BW444">(LOOKUP(2,1/(BH444:BT444&lt;&gt;""),BH444:BT444))/(INDEX(BH444:BT444,MATCH(TRUE,INDEX((BH444:BT444&lt;&gt;0),0),0)))-1</f>
        <v>7.7586206896551824E-2</v>
      </c>
      <c r="BX444" s="210">
        <f t="shared" si="78"/>
        <v>2.5</v>
      </c>
      <c r="BY444" s="210">
        <f t="shared" si="79"/>
        <v>14.75</v>
      </c>
      <c r="BZ444" s="210">
        <f ca="1">IF(L444="BR",'Impostos e Frete'!$F$6,IF(L444="EU",'Impostos e Frete'!$I$3,IF(L444="CN",'Impostos e Frete'!$I$4,IF(L444="JP",'Impostos e Frete'!$I$5,IF(L444="RU",'Impostos e Frete'!$I$7,"ERRO")))))</f>
        <v>0.1410816</v>
      </c>
      <c r="CA444" s="210">
        <f>VLOOKUP(L444,'Impostos e Frete'!$A$3:$B$7,2,0)*'Preços e Condições'!BY444</f>
        <v>1.9175</v>
      </c>
      <c r="CB444" s="147">
        <f t="shared" si="80"/>
        <v>0</v>
      </c>
      <c r="CC444" s="147">
        <f>IF(X444="BRL",'Impostos e Frete'!$B$11,'Impostos e Frete'!$B$12)</f>
        <v>9.1999999999999998E-2</v>
      </c>
      <c r="CD444" s="211">
        <f t="shared" ca="1" si="81"/>
        <v>16.900581599999999</v>
      </c>
      <c r="CE444" s="212">
        <f t="shared" ca="1" si="82"/>
        <v>1.1830407119999999</v>
      </c>
      <c r="CF444" s="213">
        <f>VLOOKUP(L444,'Impostos e Frete'!$A$3:$C$7,3,0)</f>
        <v>105</v>
      </c>
      <c r="CG444" s="213">
        <f t="shared" si="83"/>
        <v>120</v>
      </c>
      <c r="CH444" s="213">
        <f t="shared" si="84"/>
        <v>15</v>
      </c>
      <c r="CI444" s="214">
        <f t="shared" ca="1" si="85"/>
        <v>-0.12534596942424159</v>
      </c>
      <c r="CJ444" s="215">
        <f t="shared" ca="1" si="86"/>
        <v>16.775235630575757</v>
      </c>
      <c r="CK444" s="216">
        <f t="shared" ca="1" si="87"/>
        <v>1.1742664941403032</v>
      </c>
    </row>
    <row r="445" spans="1:89">
      <c r="A445" s="217">
        <v>7004320</v>
      </c>
      <c r="B445" s="177">
        <v>380</v>
      </c>
      <c r="C445" s="178">
        <v>70</v>
      </c>
      <c r="D445" s="178"/>
      <c r="E445" s="178" t="s">
        <v>50</v>
      </c>
      <c r="F445" s="179" t="s">
        <v>47</v>
      </c>
      <c r="G445" s="185" t="s">
        <v>217</v>
      </c>
      <c r="H445" s="178" t="s">
        <v>63</v>
      </c>
      <c r="I445" s="178">
        <v>4478</v>
      </c>
      <c r="J445" s="178"/>
      <c r="K445" s="178"/>
      <c r="L445" s="178" t="s">
        <v>59</v>
      </c>
      <c r="M445" s="178">
        <v>120</v>
      </c>
      <c r="N445" s="178">
        <v>300</v>
      </c>
      <c r="O445" s="178"/>
      <c r="P445" s="178"/>
      <c r="Q445" s="178"/>
      <c r="R445" s="178" t="s">
        <v>19</v>
      </c>
      <c r="S445" s="181"/>
      <c r="T445" s="181"/>
      <c r="U445" s="182"/>
      <c r="V445" s="182" t="s">
        <v>35</v>
      </c>
      <c r="W445" s="183">
        <v>20</v>
      </c>
      <c r="X445" s="182" t="s">
        <v>51</v>
      </c>
      <c r="Y445" s="184"/>
      <c r="Z445" s="184"/>
      <c r="AA445" s="184"/>
      <c r="AB445" s="184"/>
      <c r="AC445" s="184"/>
      <c r="AD445" s="184"/>
      <c r="AE445" s="184"/>
      <c r="AF445" s="184"/>
      <c r="AG445" s="184"/>
      <c r="AH445" s="184"/>
      <c r="AI445" s="184"/>
      <c r="AJ445" s="184"/>
      <c r="AK445" s="184"/>
      <c r="AL445" s="184"/>
      <c r="AM445" s="184"/>
      <c r="AN445" s="184"/>
      <c r="AO445" s="184"/>
      <c r="AP445" s="184"/>
      <c r="AQ445" s="184"/>
      <c r="AR445" s="184"/>
      <c r="AS445" s="184"/>
      <c r="AT445" s="184"/>
      <c r="AU445" s="184"/>
      <c r="AV445" s="184"/>
      <c r="AW445" s="184"/>
      <c r="AX445" s="184"/>
      <c r="AY445" s="184"/>
      <c r="AZ445" s="184"/>
      <c r="BA445" s="184"/>
      <c r="BB445" s="184"/>
      <c r="BC445" s="184"/>
      <c r="BD445" s="184"/>
      <c r="BE445" s="184"/>
      <c r="BF445" s="184"/>
      <c r="BG445" s="184"/>
      <c r="BH445" s="184"/>
      <c r="BI445" s="184">
        <v>2370</v>
      </c>
      <c r="BJ445" s="184">
        <v>2370</v>
      </c>
      <c r="BK445" s="184">
        <v>2370</v>
      </c>
      <c r="BL445" s="184">
        <v>2470</v>
      </c>
      <c r="BM445" s="184">
        <v>2470</v>
      </c>
      <c r="BN445" s="184">
        <v>2470</v>
      </c>
      <c r="BO445" s="184">
        <v>2550</v>
      </c>
      <c r="BP445" s="184">
        <v>2550</v>
      </c>
      <c r="BQ445" s="184">
        <v>2550</v>
      </c>
      <c r="BR445" s="184"/>
      <c r="BS445" s="184"/>
      <c r="BT445" s="184"/>
      <c r="BU445" s="146" cm="1">
        <f t="array" ref="BU445">LOOKUP(2,1/(Y445:BT445&lt;&gt;""),Y445:BH445)</f>
        <v>2550</v>
      </c>
      <c r="BV445" s="145" cm="1">
        <f t="array" aca="1" ref="BV445" ca="1">_xlfn.LET(
    _xlpm.last_col_idx, LOOKUP(2, 1/(Y445:BT445&lt;&gt;""), COLUMN(Y445:BT445) - COLUMN(Y445) + 1),
    _xlpm.header_val, INDEX($Y$3:$BT$3, 1, _xlpm.last_col_idx),
    _xlpm.header_date, IF(ISNUMBER(_xlpm.header_val), _xlpm.header_val, DATEVALUE(_xlpm.header_val)),
    IF(_xlpm.header_date &gt; TODAY(), TODAY(), _xlpm.header_date)
)</f>
        <v>46212</v>
      </c>
      <c r="BW445" s="209" cm="1">
        <f t="array" ref="BW445">(LOOKUP(2,1/(BH445:BT445&lt;&gt;""),BH445:BT445))/(INDEX(BH445:BT445,MATCH(TRUE,INDEX((BH445:BT445&lt;&gt;0),0),0)))-1</f>
        <v>7.5949367088607556E-2</v>
      </c>
      <c r="BX445" s="210">
        <f t="shared" si="78"/>
        <v>2.5499999999999998</v>
      </c>
      <c r="BY445" s="210">
        <f t="shared" si="79"/>
        <v>15.045</v>
      </c>
      <c r="BZ445" s="210">
        <f ca="1">IF(L445="BR",'Impostos e Frete'!$F$6,IF(L445="EU",'Impostos e Frete'!$I$3,IF(L445="CN",'Impostos e Frete'!$I$4,IF(L445="JP",'Impostos e Frete'!$I$5,IF(L445="RU",'Impostos e Frete'!$I$7,"ERRO")))))</f>
        <v>0.1410816</v>
      </c>
      <c r="CA445" s="210">
        <f>VLOOKUP(L445,'Impostos e Frete'!$A$3:$B$7,2,0)*'Preços e Condições'!BY445</f>
        <v>1.9558500000000001</v>
      </c>
      <c r="CB445" s="147">
        <f t="shared" si="80"/>
        <v>0</v>
      </c>
      <c r="CC445" s="147">
        <f>IF(X445="BRL",'Impostos e Frete'!$B$11,'Impostos e Frete'!$B$12)</f>
        <v>9.1999999999999998E-2</v>
      </c>
      <c r="CD445" s="211">
        <f t="shared" ca="1" si="81"/>
        <v>17.233931599999998</v>
      </c>
      <c r="CE445" s="212">
        <f t="shared" ca="1" si="82"/>
        <v>1.206375212</v>
      </c>
      <c r="CF445" s="213">
        <f>VLOOKUP(L445,'Impostos e Frete'!$A$3:$C$7,3,0)</f>
        <v>105</v>
      </c>
      <c r="CG445" s="213">
        <f t="shared" si="83"/>
        <v>120</v>
      </c>
      <c r="CH445" s="213">
        <f t="shared" si="84"/>
        <v>15</v>
      </c>
      <c r="CI445" s="214">
        <f t="shared" ca="1" si="85"/>
        <v>-0.12781831504503316</v>
      </c>
      <c r="CJ445" s="215">
        <f t="shared" ca="1" si="86"/>
        <v>17.106113284954965</v>
      </c>
      <c r="CK445" s="216">
        <f t="shared" ca="1" si="87"/>
        <v>1.1974279299468475</v>
      </c>
    </row>
    <row r="446" spans="1:89">
      <c r="A446" s="217">
        <v>7004320</v>
      </c>
      <c r="B446" s="177">
        <v>380</v>
      </c>
      <c r="C446" s="178">
        <v>70</v>
      </c>
      <c r="D446" s="178"/>
      <c r="E446" s="178" t="s">
        <v>50</v>
      </c>
      <c r="F446" s="179" t="s">
        <v>47</v>
      </c>
      <c r="G446" s="185" t="s">
        <v>217</v>
      </c>
      <c r="H446" s="178" t="s">
        <v>63</v>
      </c>
      <c r="I446" s="178">
        <v>4478</v>
      </c>
      <c r="J446" s="178"/>
      <c r="K446" s="178"/>
      <c r="L446" s="178" t="s">
        <v>59</v>
      </c>
      <c r="M446" s="178">
        <v>120</v>
      </c>
      <c r="N446" s="178">
        <v>300</v>
      </c>
      <c r="O446" s="178"/>
      <c r="P446" s="178"/>
      <c r="Q446" s="178"/>
      <c r="R446" s="178" t="s">
        <v>19</v>
      </c>
      <c r="S446" s="181"/>
      <c r="T446" s="181"/>
      <c r="U446" s="182"/>
      <c r="V446" s="182" t="s">
        <v>35</v>
      </c>
      <c r="W446" s="183">
        <v>10</v>
      </c>
      <c r="X446" s="182" t="s">
        <v>51</v>
      </c>
      <c r="Y446" s="184"/>
      <c r="Z446" s="184"/>
      <c r="AA446" s="184"/>
      <c r="AB446" s="184"/>
      <c r="AC446" s="184"/>
      <c r="AD446" s="184"/>
      <c r="AE446" s="184"/>
      <c r="AF446" s="184"/>
      <c r="AG446" s="184"/>
      <c r="AH446" s="184"/>
      <c r="AI446" s="184"/>
      <c r="AJ446" s="184"/>
      <c r="AK446" s="184"/>
      <c r="AL446" s="184"/>
      <c r="AM446" s="184"/>
      <c r="AN446" s="184"/>
      <c r="AO446" s="184"/>
      <c r="AP446" s="184"/>
      <c r="AQ446" s="184"/>
      <c r="AR446" s="184"/>
      <c r="AS446" s="184"/>
      <c r="AT446" s="184"/>
      <c r="AU446" s="184"/>
      <c r="AV446" s="184"/>
      <c r="AW446" s="184"/>
      <c r="AX446" s="184"/>
      <c r="AY446" s="184"/>
      <c r="AZ446" s="184"/>
      <c r="BA446" s="184"/>
      <c r="BB446" s="184"/>
      <c r="BC446" s="184"/>
      <c r="BD446" s="184"/>
      <c r="BE446" s="184"/>
      <c r="BF446" s="184"/>
      <c r="BG446" s="184"/>
      <c r="BH446" s="184"/>
      <c r="BI446" s="184">
        <v>2450</v>
      </c>
      <c r="BJ446" s="184">
        <v>2450</v>
      </c>
      <c r="BK446" s="184">
        <v>2450</v>
      </c>
      <c r="BL446" s="184">
        <v>2550</v>
      </c>
      <c r="BM446" s="184">
        <v>2550</v>
      </c>
      <c r="BN446" s="184">
        <v>2550</v>
      </c>
      <c r="BO446" s="184">
        <v>2630</v>
      </c>
      <c r="BP446" s="184">
        <v>2630</v>
      </c>
      <c r="BQ446" s="184">
        <v>2630</v>
      </c>
      <c r="BR446" s="184"/>
      <c r="BS446" s="184"/>
      <c r="BT446" s="184"/>
      <c r="BU446" s="146" cm="1">
        <f t="array" ref="BU446">LOOKUP(2,1/(Y446:BT446&lt;&gt;""),Y446:BH446)</f>
        <v>2630</v>
      </c>
      <c r="BV446" s="145" cm="1">
        <f t="array" aca="1" ref="BV446" ca="1">_xlfn.LET(
    _xlpm.last_col_idx, LOOKUP(2, 1/(Y446:BT446&lt;&gt;""), COLUMN(Y446:BT446) - COLUMN(Y446) + 1),
    _xlpm.header_val, INDEX($Y$3:$BT$3, 1, _xlpm.last_col_idx),
    _xlpm.header_date, IF(ISNUMBER(_xlpm.header_val), _xlpm.header_val, DATEVALUE(_xlpm.header_val)),
    IF(_xlpm.header_date &gt; TODAY(), TODAY(), _xlpm.header_date)
)</f>
        <v>46212</v>
      </c>
      <c r="BW446" s="209" cm="1">
        <f t="array" ref="BW446">(LOOKUP(2,1/(BH446:BT446&lt;&gt;""),BH446:BT446))/(INDEX(BH446:BT446,MATCH(TRUE,INDEX((BH446:BT446&lt;&gt;0),0),0)))-1</f>
        <v>7.3469387755102034E-2</v>
      </c>
      <c r="BX446" s="210">
        <f t="shared" si="78"/>
        <v>2.63</v>
      </c>
      <c r="BY446" s="210">
        <f t="shared" si="79"/>
        <v>15.516999999999999</v>
      </c>
      <c r="BZ446" s="210">
        <f ca="1">IF(L446="BR",'Impostos e Frete'!$F$6,IF(L446="EU",'Impostos e Frete'!$I$3,IF(L446="CN",'Impostos e Frete'!$I$4,IF(L446="JP",'Impostos e Frete'!$I$5,IF(L446="RU",'Impostos e Frete'!$I$7,"ERRO")))))</f>
        <v>0.1410816</v>
      </c>
      <c r="CA446" s="210">
        <f>VLOOKUP(L446,'Impostos e Frete'!$A$3:$B$7,2,0)*'Preços e Condições'!BY446</f>
        <v>2.0172099999999999</v>
      </c>
      <c r="CB446" s="147">
        <f t="shared" si="80"/>
        <v>0</v>
      </c>
      <c r="CC446" s="147">
        <f>IF(X446="BRL",'Impostos e Frete'!$B$11,'Impostos e Frete'!$B$12)</f>
        <v>9.1999999999999998E-2</v>
      </c>
      <c r="CD446" s="211">
        <f t="shared" ca="1" si="81"/>
        <v>17.767291599999997</v>
      </c>
      <c r="CE446" s="212">
        <f t="shared" ca="1" si="82"/>
        <v>1.2437104119999998</v>
      </c>
      <c r="CF446" s="213">
        <f>VLOOKUP(L446,'Impostos e Frete'!$A$3:$C$7,3,0)</f>
        <v>105</v>
      </c>
      <c r="CG446" s="213">
        <f t="shared" si="83"/>
        <v>120</v>
      </c>
      <c r="CH446" s="213">
        <f t="shared" si="84"/>
        <v>15</v>
      </c>
      <c r="CI446" s="214">
        <f t="shared" ca="1" si="85"/>
        <v>-0.13177406803829683</v>
      </c>
      <c r="CJ446" s="215">
        <f t="shared" ca="1" si="86"/>
        <v>17.6355175319617</v>
      </c>
      <c r="CK446" s="216">
        <f t="shared" ca="1" si="87"/>
        <v>1.2344862272373189</v>
      </c>
    </row>
    <row r="447" spans="1:89">
      <c r="A447" s="217">
        <v>7004664</v>
      </c>
      <c r="B447" s="177">
        <v>248</v>
      </c>
      <c r="C447" s="178">
        <v>65</v>
      </c>
      <c r="D447" s="178"/>
      <c r="E447" s="178" t="s">
        <v>50</v>
      </c>
      <c r="F447" s="179" t="s">
        <v>67</v>
      </c>
      <c r="G447" s="221" t="s">
        <v>438</v>
      </c>
      <c r="H447" s="178" t="s">
        <v>63</v>
      </c>
      <c r="I447" s="178"/>
      <c r="J447" s="178"/>
      <c r="K447" s="178"/>
      <c r="L447" s="183" t="s">
        <v>59</v>
      </c>
      <c r="M447" s="183">
        <v>90</v>
      </c>
      <c r="N447" s="183"/>
      <c r="O447" s="178"/>
      <c r="P447" s="178"/>
      <c r="Q447" s="178"/>
      <c r="R447" s="178" t="s">
        <v>19</v>
      </c>
      <c r="S447" s="181"/>
      <c r="T447" s="181"/>
      <c r="U447" s="182"/>
      <c r="V447" s="182" t="s">
        <v>35</v>
      </c>
      <c r="W447" s="183"/>
      <c r="X447" s="182" t="s">
        <v>51</v>
      </c>
      <c r="Y447" s="184"/>
      <c r="Z447" s="184"/>
      <c r="AA447" s="184"/>
      <c r="AB447" s="184"/>
      <c r="AC447" s="184"/>
      <c r="AD447" s="184"/>
      <c r="AE447" s="184"/>
      <c r="AF447" s="184"/>
      <c r="AG447" s="184"/>
      <c r="AH447" s="184"/>
      <c r="AI447" s="184"/>
      <c r="AJ447" s="184"/>
      <c r="AK447" s="184"/>
      <c r="AL447" s="184"/>
      <c r="AM447" s="184"/>
      <c r="AN447" s="184"/>
      <c r="AO447" s="184"/>
      <c r="AP447" s="184"/>
      <c r="AQ447" s="184"/>
      <c r="AR447" s="184"/>
      <c r="AS447" s="184"/>
      <c r="AT447" s="184"/>
      <c r="AU447" s="184"/>
      <c r="AV447" s="184"/>
      <c r="AW447" s="184"/>
      <c r="AX447" s="184"/>
      <c r="AY447" s="184"/>
      <c r="AZ447" s="184"/>
      <c r="BA447" s="184"/>
      <c r="BB447" s="184"/>
      <c r="BC447" s="184"/>
      <c r="BD447" s="184"/>
      <c r="BE447" s="184"/>
      <c r="BF447" s="184"/>
      <c r="BG447" s="184"/>
      <c r="BH447" s="184"/>
      <c r="BI447" s="184">
        <v>2240</v>
      </c>
      <c r="BJ447" s="184"/>
      <c r="BK447" s="184"/>
      <c r="BL447" s="184"/>
      <c r="BM447" s="184"/>
      <c r="BN447" s="184"/>
      <c r="BO447" s="184"/>
      <c r="BP447" s="184"/>
      <c r="BQ447" s="184"/>
      <c r="BR447" s="184"/>
      <c r="BS447" s="184"/>
      <c r="BT447" s="184"/>
      <c r="BU447" s="146" cm="1">
        <f t="array" ref="BU447">LOOKUP(2,1/(Y447:BT447&lt;&gt;""),Y447:BH447)</f>
        <v>2240</v>
      </c>
      <c r="BV447" s="145" cm="1">
        <f t="array" aca="1" ref="BV447" ca="1">_xlfn.LET(
    _xlpm.last_col_idx, LOOKUP(2, 1/(Y447:BT447&lt;&gt;""), COLUMN(Y447:BT447) - COLUMN(Y447) + 1),
    _xlpm.header_val, INDEX($Y$3:$BT$3, 1, _xlpm.last_col_idx),
    _xlpm.header_date, IF(ISNUMBER(_xlpm.header_val), _xlpm.header_val, DATEVALUE(_xlpm.header_val)),
    IF(_xlpm.header_date &gt; TODAY(), TODAY(), _xlpm.header_date)
)</f>
        <v>46023</v>
      </c>
      <c r="BW447" s="209" cm="1">
        <f t="array" ref="BW447">(LOOKUP(2,1/(BH447:BT447&lt;&gt;""),BH447:BT447))/(INDEX(BH447:BT447,MATCH(TRUE,INDEX((BH447:BT447&lt;&gt;0),0),0)))-1</f>
        <v>0</v>
      </c>
      <c r="BX447" s="210">
        <f t="shared" si="78"/>
        <v>2.2400000000000002</v>
      </c>
      <c r="BY447" s="210">
        <f t="shared" si="79"/>
        <v>13.216000000000003</v>
      </c>
      <c r="BZ447" s="210">
        <f ca="1">IF(L447="BR",'Impostos e Frete'!$F$6,IF(L447="EU",'Impostos e Frete'!$I$3,IF(L447="CN",'Impostos e Frete'!$I$4,IF(L447="JP",'Impostos e Frete'!$I$5,IF(L447="RU",'Impostos e Frete'!$I$7,"ERRO")))))</f>
        <v>0.1410816</v>
      </c>
      <c r="CA447" s="210">
        <f>VLOOKUP(L447,'Impostos e Frete'!$A$3:$B$7,2,0)*'Preços e Condições'!BY447</f>
        <v>1.7180800000000005</v>
      </c>
      <c r="CB447" s="147">
        <f t="shared" si="80"/>
        <v>0</v>
      </c>
      <c r="CC447" s="147">
        <f>IF(X447="BRL",'Impostos e Frete'!$B$11,'Impostos e Frete'!$B$12)</f>
        <v>9.1999999999999998E-2</v>
      </c>
      <c r="CD447" s="211">
        <f t="shared" ca="1" si="81"/>
        <v>15.167161600000004</v>
      </c>
      <c r="CE447" s="212">
        <f t="shared" ca="1" si="82"/>
        <v>0.98586550400000017</v>
      </c>
      <c r="CF447" s="213">
        <f>VLOOKUP(L447,'Impostos e Frete'!$A$3:$C$7,3,0)</f>
        <v>105</v>
      </c>
      <c r="CG447" s="213">
        <f t="shared" si="83"/>
        <v>90</v>
      </c>
      <c r="CH447" s="213">
        <f t="shared" si="84"/>
        <v>-15</v>
      </c>
      <c r="CI447" s="214">
        <f t="shared" ca="1" si="85"/>
        <v>0.11333030522092713</v>
      </c>
      <c r="CJ447" s="215">
        <f t="shared" ca="1" si="86"/>
        <v>15.280491905220931</v>
      </c>
      <c r="CK447" s="216">
        <f t="shared" ca="1" si="87"/>
        <v>0.99323197383936057</v>
      </c>
    </row>
    <row r="448" spans="1:89">
      <c r="A448" s="217">
        <v>7004665</v>
      </c>
      <c r="B448" s="177">
        <v>248</v>
      </c>
      <c r="C448" s="178">
        <v>65</v>
      </c>
      <c r="D448" s="178"/>
      <c r="E448" s="178" t="s">
        <v>50</v>
      </c>
      <c r="F448" s="179" t="s">
        <v>2</v>
      </c>
      <c r="G448" s="189" t="s">
        <v>90</v>
      </c>
      <c r="H448" s="178" t="s">
        <v>63</v>
      </c>
      <c r="I448" s="178">
        <v>32153</v>
      </c>
      <c r="J448" s="178"/>
      <c r="K448" s="178"/>
      <c r="L448" s="178" t="s">
        <v>59</v>
      </c>
      <c r="M448" s="178">
        <v>120</v>
      </c>
      <c r="N448" s="178"/>
      <c r="O448" s="178"/>
      <c r="P448" s="178"/>
      <c r="Q448" s="178"/>
      <c r="R448" s="178" t="s">
        <v>126</v>
      </c>
      <c r="S448" s="181"/>
      <c r="T448" s="181"/>
      <c r="U448" s="182"/>
      <c r="V448" s="182" t="s">
        <v>35</v>
      </c>
      <c r="W448" s="183">
        <v>100</v>
      </c>
      <c r="X448" s="182" t="s">
        <v>51</v>
      </c>
      <c r="Y448" s="184"/>
      <c r="Z448" s="184"/>
      <c r="AA448" s="184"/>
      <c r="AB448" s="184"/>
      <c r="AC448" s="184"/>
      <c r="AD448" s="184"/>
      <c r="AE448" s="184"/>
      <c r="AF448" s="184"/>
      <c r="AG448" s="184"/>
      <c r="AH448" s="184"/>
      <c r="AI448" s="184"/>
      <c r="AJ448" s="184"/>
      <c r="AK448" s="184"/>
      <c r="AL448" s="184"/>
      <c r="AM448" s="184"/>
      <c r="AN448" s="184"/>
      <c r="AO448" s="184"/>
      <c r="AP448" s="184"/>
      <c r="AQ448" s="184"/>
      <c r="AR448" s="184"/>
      <c r="AS448" s="184"/>
      <c r="AT448" s="184"/>
      <c r="AU448" s="184"/>
      <c r="AV448" s="184"/>
      <c r="AW448" s="184"/>
      <c r="AX448" s="184"/>
      <c r="AY448" s="184"/>
      <c r="AZ448" s="184"/>
      <c r="BA448" s="184"/>
      <c r="BB448" s="184"/>
      <c r="BC448" s="184"/>
      <c r="BD448" s="184"/>
      <c r="BE448" s="184"/>
      <c r="BF448" s="184"/>
      <c r="BG448" s="184"/>
      <c r="BH448" s="184"/>
      <c r="BI448" s="184">
        <v>2270</v>
      </c>
      <c r="BJ448" s="184">
        <v>2270</v>
      </c>
      <c r="BK448" s="184">
        <v>2270</v>
      </c>
      <c r="BL448" s="184">
        <v>2350</v>
      </c>
      <c r="BM448" s="184">
        <v>2350</v>
      </c>
      <c r="BN448" s="184">
        <v>2350</v>
      </c>
      <c r="BO448" s="184"/>
      <c r="BP448" s="184"/>
      <c r="BQ448" s="184"/>
      <c r="BR448" s="184"/>
      <c r="BS448" s="184"/>
      <c r="BT448" s="184"/>
      <c r="BU448" s="146" cm="1">
        <f t="array" ref="BU448">LOOKUP(2,1/(Y448:BT448&lt;&gt;""),Y448:BH448)</f>
        <v>2350</v>
      </c>
      <c r="BV448" s="145" cm="1">
        <f t="array" aca="1" ref="BV448" ca="1">_xlfn.LET(
    _xlpm.last_col_idx, LOOKUP(2, 1/(Y448:BT448&lt;&gt;""), COLUMN(Y448:BT448) - COLUMN(Y448) + 1),
    _xlpm.header_val, INDEX($Y$3:$BT$3, 1, _xlpm.last_col_idx),
    _xlpm.header_date, IF(ISNUMBER(_xlpm.header_val), _xlpm.header_val, DATEVALUE(_xlpm.header_val)),
    IF(_xlpm.header_date &gt; TODAY(), TODAY(), _xlpm.header_date)
)</f>
        <v>46174</v>
      </c>
      <c r="BW448" s="209" cm="1">
        <f t="array" ref="BW448">(LOOKUP(2,1/(BH448:BT448&lt;&gt;""),BH448:BT448))/(INDEX(BH448:BT448,MATCH(TRUE,INDEX((BH448:BT448&lt;&gt;0),0),0)))-1</f>
        <v>3.524229074889873E-2</v>
      </c>
      <c r="BX448" s="210">
        <f t="shared" si="78"/>
        <v>2.35</v>
      </c>
      <c r="BY448" s="210">
        <f t="shared" si="79"/>
        <v>13.865000000000002</v>
      </c>
      <c r="BZ448" s="210">
        <f ca="1">IF(L448="BR",'Impostos e Frete'!$F$6,IF(L448="EU",'Impostos e Frete'!$I$3,IF(L448="CN",'Impostos e Frete'!$I$4,IF(L448="JP",'Impostos e Frete'!$I$5,IF(L448="RU",'Impostos e Frete'!$I$7,"ERRO")))))</f>
        <v>0.1410816</v>
      </c>
      <c r="CA448" s="210">
        <f>VLOOKUP(L448,'Impostos e Frete'!$A$3:$B$7,2,0)*'Preços e Condições'!BY448</f>
        <v>1.8024500000000003</v>
      </c>
      <c r="CB448" s="147">
        <f t="shared" si="80"/>
        <v>-0.17699999999999999</v>
      </c>
      <c r="CC448" s="147">
        <f>IF(X448="BRL",'Impostos e Frete'!$B$11,'Impostos e Frete'!$B$12)</f>
        <v>9.1999999999999998E-2</v>
      </c>
      <c r="CD448" s="211">
        <f t="shared" ca="1" si="81"/>
        <v>15.723531600000003</v>
      </c>
      <c r="CE448" s="212">
        <f t="shared" ca="1" si="82"/>
        <v>1.0220295540000002</v>
      </c>
      <c r="CF448" s="213">
        <f>VLOOKUP(L448,'Impostos e Frete'!$A$3:$C$7,3,0)</f>
        <v>105</v>
      </c>
      <c r="CG448" s="213">
        <f t="shared" si="83"/>
        <v>120</v>
      </c>
      <c r="CH448" s="213">
        <f t="shared" si="84"/>
        <v>15</v>
      </c>
      <c r="CI448" s="214">
        <f t="shared" ca="1" si="85"/>
        <v>-0.11661618267472562</v>
      </c>
      <c r="CJ448" s="215">
        <f t="shared" ca="1" si="86"/>
        <v>15.606915417325277</v>
      </c>
      <c r="CK448" s="216">
        <f t="shared" ca="1" si="87"/>
        <v>1.014449502126143</v>
      </c>
    </row>
    <row r="449" spans="1:89">
      <c r="A449" s="217">
        <v>7004665</v>
      </c>
      <c r="B449" s="177">
        <v>248</v>
      </c>
      <c r="C449" s="178">
        <v>65</v>
      </c>
      <c r="D449" s="178"/>
      <c r="E449" s="178" t="s">
        <v>50</v>
      </c>
      <c r="F449" s="179" t="s">
        <v>2</v>
      </c>
      <c r="G449" s="189" t="s">
        <v>90</v>
      </c>
      <c r="H449" s="178" t="s">
        <v>63</v>
      </c>
      <c r="I449" s="178">
        <v>32153</v>
      </c>
      <c r="J449" s="178"/>
      <c r="K449" s="178"/>
      <c r="L449" s="178" t="s">
        <v>59</v>
      </c>
      <c r="M449" s="178">
        <v>120</v>
      </c>
      <c r="N449" s="178"/>
      <c r="O449" s="178"/>
      <c r="P449" s="178"/>
      <c r="Q449" s="178"/>
      <c r="R449" s="178" t="s">
        <v>126</v>
      </c>
      <c r="S449" s="181"/>
      <c r="T449" s="181"/>
      <c r="U449" s="182"/>
      <c r="V449" s="182" t="s">
        <v>35</v>
      </c>
      <c r="W449" s="183">
        <v>70</v>
      </c>
      <c r="X449" s="182" t="s">
        <v>51</v>
      </c>
      <c r="Y449" s="184"/>
      <c r="Z449" s="184"/>
      <c r="AA449" s="184"/>
      <c r="AB449" s="184"/>
      <c r="AC449" s="184"/>
      <c r="AD449" s="184"/>
      <c r="AE449" s="184"/>
      <c r="AF449" s="184"/>
      <c r="AG449" s="184"/>
      <c r="AH449" s="184"/>
      <c r="AI449" s="184"/>
      <c r="AJ449" s="184"/>
      <c r="AK449" s="184"/>
      <c r="AL449" s="184"/>
      <c r="AM449" s="184"/>
      <c r="AN449" s="184"/>
      <c r="AO449" s="184"/>
      <c r="AP449" s="184"/>
      <c r="AQ449" s="184"/>
      <c r="AR449" s="184"/>
      <c r="AS449" s="184"/>
      <c r="AT449" s="184"/>
      <c r="AU449" s="184"/>
      <c r="AV449" s="184"/>
      <c r="AW449" s="184"/>
      <c r="AX449" s="184"/>
      <c r="AY449" s="184"/>
      <c r="AZ449" s="184"/>
      <c r="BA449" s="184"/>
      <c r="BB449" s="184"/>
      <c r="BC449" s="184"/>
      <c r="BD449" s="184"/>
      <c r="BE449" s="184"/>
      <c r="BF449" s="184"/>
      <c r="BG449" s="184"/>
      <c r="BH449" s="184"/>
      <c r="BI449" s="184">
        <v>2290</v>
      </c>
      <c r="BJ449" s="184">
        <v>2290</v>
      </c>
      <c r="BK449" s="184">
        <v>2290</v>
      </c>
      <c r="BL449" s="184">
        <v>2370</v>
      </c>
      <c r="BM449" s="184">
        <v>2370</v>
      </c>
      <c r="BN449" s="184">
        <v>2370</v>
      </c>
      <c r="BO449" s="184"/>
      <c r="BP449" s="184"/>
      <c r="BQ449" s="184"/>
      <c r="BR449" s="184"/>
      <c r="BS449" s="184"/>
      <c r="BT449" s="184"/>
      <c r="BU449" s="146" cm="1">
        <f t="array" ref="BU449">LOOKUP(2,1/(Y449:BT449&lt;&gt;""),Y449:BH449)</f>
        <v>2370</v>
      </c>
      <c r="BV449" s="145" cm="1">
        <f t="array" aca="1" ref="BV449" ca="1">_xlfn.LET(
    _xlpm.last_col_idx, LOOKUP(2, 1/(Y449:BT449&lt;&gt;""), COLUMN(Y449:BT449) - COLUMN(Y449) + 1),
    _xlpm.header_val, INDEX($Y$3:$BT$3, 1, _xlpm.last_col_idx),
    _xlpm.header_date, IF(ISNUMBER(_xlpm.header_val), _xlpm.header_val, DATEVALUE(_xlpm.header_val)),
    IF(_xlpm.header_date &gt; TODAY(), TODAY(), _xlpm.header_date)
)</f>
        <v>46174</v>
      </c>
      <c r="BW449" s="209" cm="1">
        <f t="array" ref="BW449">(LOOKUP(2,1/(BH449:BT449&lt;&gt;""),BH449:BT449))/(INDEX(BH449:BT449,MATCH(TRUE,INDEX((BH449:BT449&lt;&gt;0),0),0)))-1</f>
        <v>3.4934497816593968E-2</v>
      </c>
      <c r="BX449" s="210">
        <f t="shared" si="78"/>
        <v>2.37</v>
      </c>
      <c r="BY449" s="210">
        <f t="shared" si="79"/>
        <v>13.983000000000002</v>
      </c>
      <c r="BZ449" s="210">
        <f ca="1">IF(L449="BR",'Impostos e Frete'!$F$6,IF(L449="EU",'Impostos e Frete'!$I$3,IF(L449="CN",'Impostos e Frete'!$I$4,IF(L449="JP",'Impostos e Frete'!$I$5,IF(L449="RU",'Impostos e Frete'!$I$7,"ERRO")))))</f>
        <v>0.1410816</v>
      </c>
      <c r="CA449" s="210">
        <f>VLOOKUP(L449,'Impostos e Frete'!$A$3:$B$7,2,0)*'Preços e Condições'!BY449</f>
        <v>1.8177900000000005</v>
      </c>
      <c r="CB449" s="147">
        <f t="shared" si="80"/>
        <v>-0.17699999999999999</v>
      </c>
      <c r="CC449" s="147">
        <f>IF(X449="BRL",'Impostos e Frete'!$B$11,'Impostos e Frete'!$B$12)</f>
        <v>9.1999999999999998E-2</v>
      </c>
      <c r="CD449" s="211">
        <f t="shared" ca="1" si="81"/>
        <v>15.856871600000003</v>
      </c>
      <c r="CE449" s="212">
        <f t="shared" ca="1" si="82"/>
        <v>1.0306966540000002</v>
      </c>
      <c r="CF449" s="213">
        <f>VLOOKUP(L449,'Impostos e Frete'!$A$3:$C$7,3,0)</f>
        <v>105</v>
      </c>
      <c r="CG449" s="213">
        <f t="shared" si="83"/>
        <v>120</v>
      </c>
      <c r="CH449" s="213">
        <f t="shared" si="84"/>
        <v>15</v>
      </c>
      <c r="CI449" s="214">
        <f t="shared" ca="1" si="85"/>
        <v>-0.11760512092304154</v>
      </c>
      <c r="CJ449" s="215">
        <f t="shared" ca="1" si="86"/>
        <v>15.739266479076962</v>
      </c>
      <c r="CK449" s="216">
        <f t="shared" ca="1" si="87"/>
        <v>1.0230523211400024</v>
      </c>
    </row>
    <row r="450" spans="1:89">
      <c r="A450" s="203">
        <v>7004665</v>
      </c>
      <c r="B450" s="186">
        <v>248</v>
      </c>
      <c r="C450" s="196">
        <v>65</v>
      </c>
      <c r="D450" s="196"/>
      <c r="E450" s="196" t="s">
        <v>50</v>
      </c>
      <c r="F450" s="179" t="s">
        <v>2</v>
      </c>
      <c r="G450" s="189" t="s">
        <v>90</v>
      </c>
      <c r="H450" s="178" t="s">
        <v>63</v>
      </c>
      <c r="I450" s="178">
        <v>32153</v>
      </c>
      <c r="J450" s="178"/>
      <c r="K450" s="178"/>
      <c r="L450" s="178" t="s">
        <v>59</v>
      </c>
      <c r="M450" s="178">
        <v>120</v>
      </c>
      <c r="N450" s="178"/>
      <c r="O450" s="178"/>
      <c r="P450" s="178"/>
      <c r="Q450" s="178"/>
      <c r="R450" s="178" t="s">
        <v>126</v>
      </c>
      <c r="S450" s="181"/>
      <c r="T450" s="181"/>
      <c r="U450" s="182"/>
      <c r="V450" s="182" t="s">
        <v>35</v>
      </c>
      <c r="W450" s="183">
        <v>50</v>
      </c>
      <c r="X450" s="182" t="s">
        <v>51</v>
      </c>
      <c r="Y450" s="202"/>
      <c r="Z450" s="202"/>
      <c r="AA450" s="202"/>
      <c r="AB450" s="202"/>
      <c r="AC450" s="202"/>
      <c r="AD450" s="202"/>
      <c r="AE450" s="202"/>
      <c r="AF450" s="202"/>
      <c r="AG450" s="202"/>
      <c r="AH450" s="202"/>
      <c r="AI450" s="202"/>
      <c r="AJ450" s="202"/>
      <c r="AK450" s="202"/>
      <c r="AL450" s="202"/>
      <c r="AM450" s="202"/>
      <c r="AN450" s="202"/>
      <c r="AO450" s="202"/>
      <c r="AP450" s="202"/>
      <c r="AQ450" s="202"/>
      <c r="AR450" s="202"/>
      <c r="AS450" s="202"/>
      <c r="AT450" s="202"/>
      <c r="AU450" s="202"/>
      <c r="AV450" s="202"/>
      <c r="AW450" s="202"/>
      <c r="AX450" s="202"/>
      <c r="AY450" s="202"/>
      <c r="AZ450" s="202"/>
      <c r="BA450" s="202"/>
      <c r="BB450" s="202"/>
      <c r="BC450" s="202"/>
      <c r="BD450" s="202"/>
      <c r="BE450" s="202"/>
      <c r="BF450" s="202"/>
      <c r="BG450" s="202"/>
      <c r="BH450" s="202"/>
      <c r="BI450" s="184">
        <v>2320</v>
      </c>
      <c r="BJ450" s="184">
        <v>2320</v>
      </c>
      <c r="BK450" s="184">
        <v>2320</v>
      </c>
      <c r="BL450" s="202">
        <v>2400</v>
      </c>
      <c r="BM450" s="202">
        <v>2400</v>
      </c>
      <c r="BN450" s="202">
        <v>2400</v>
      </c>
      <c r="BO450" s="202"/>
      <c r="BP450" s="202"/>
      <c r="BQ450" s="202"/>
      <c r="BR450" s="202"/>
      <c r="BS450" s="202"/>
      <c r="BT450" s="202"/>
      <c r="BU450" s="146" cm="1">
        <f t="array" ref="BU450">LOOKUP(2,1/(Y450:BT450&lt;&gt;""),Y450:BH450)</f>
        <v>2400</v>
      </c>
      <c r="BV450" s="145" cm="1">
        <f t="array" aca="1" ref="BV450" ca="1">_xlfn.LET(
    _xlpm.last_col_idx, LOOKUP(2, 1/(Y450:BT450&lt;&gt;""), COLUMN(Y450:BT450) - COLUMN(Y450) + 1),
    _xlpm.header_val, INDEX($Y$3:$BT$3, 1, _xlpm.last_col_idx),
    _xlpm.header_date, IF(ISNUMBER(_xlpm.header_val), _xlpm.header_val, DATEVALUE(_xlpm.header_val)),
    IF(_xlpm.header_date &gt; TODAY(), TODAY(), _xlpm.header_date)
)</f>
        <v>46174</v>
      </c>
      <c r="BW450" s="209" cm="1">
        <f t="array" ref="BW450">(LOOKUP(2,1/(BH450:BT450&lt;&gt;""),BH450:BT450))/(INDEX(BH450:BT450,MATCH(TRUE,INDEX((BH450:BT450&lt;&gt;0),0),0)))-1</f>
        <v>3.4482758620689724E-2</v>
      </c>
      <c r="BX450" s="210">
        <f t="shared" si="78"/>
        <v>2.4</v>
      </c>
      <c r="BY450" s="210">
        <f t="shared" si="79"/>
        <v>14.16</v>
      </c>
      <c r="BZ450" s="210">
        <f ca="1">IF(L450="BR",'Impostos e Frete'!$F$6,IF(L450="EU",'Impostos e Frete'!$I$3,IF(L450="CN",'Impostos e Frete'!$I$4,IF(L450="JP",'Impostos e Frete'!$I$5,IF(L450="RU",'Impostos e Frete'!$I$7,"ERRO")))))</f>
        <v>0.1410816</v>
      </c>
      <c r="CA450" s="210">
        <f>VLOOKUP(L450,'Impostos e Frete'!$A$3:$B$7,2,0)*'Preços e Condições'!BY450</f>
        <v>1.8408</v>
      </c>
      <c r="CB450" s="147">
        <f t="shared" si="80"/>
        <v>-0.17699999999999999</v>
      </c>
      <c r="CC450" s="147">
        <f>IF(X450="BRL",'Impostos e Frete'!$B$11,'Impostos e Frete'!$B$12)</f>
        <v>9.1999999999999998E-2</v>
      </c>
      <c r="CD450" s="211">
        <f t="shared" ca="1" si="81"/>
        <v>16.056881600000001</v>
      </c>
      <c r="CE450" s="212">
        <f t="shared" ca="1" si="82"/>
        <v>1.0436973039999999</v>
      </c>
      <c r="CF450" s="213">
        <f>VLOOKUP(L450,'Impostos e Frete'!$A$3:$C$7,3,0)</f>
        <v>105</v>
      </c>
      <c r="CG450" s="213">
        <f t="shared" si="83"/>
        <v>120</v>
      </c>
      <c r="CH450" s="213">
        <f t="shared" si="84"/>
        <v>15</v>
      </c>
      <c r="CI450" s="214">
        <f t="shared" ca="1" si="85"/>
        <v>-0.11908852829551542</v>
      </c>
      <c r="CJ450" s="215">
        <f t="shared" ca="1" si="86"/>
        <v>15.937793071704485</v>
      </c>
      <c r="CK450" s="216">
        <f t="shared" ca="1" si="87"/>
        <v>1.0359565496607914</v>
      </c>
    </row>
    <row r="451" spans="1:89">
      <c r="A451" s="203">
        <v>7004665</v>
      </c>
      <c r="B451" s="186">
        <v>248</v>
      </c>
      <c r="C451" s="196">
        <v>65</v>
      </c>
      <c r="D451" s="196"/>
      <c r="E451" s="196" t="s">
        <v>50</v>
      </c>
      <c r="F451" s="179" t="s">
        <v>2</v>
      </c>
      <c r="G451" s="189" t="s">
        <v>90</v>
      </c>
      <c r="H451" s="178" t="s">
        <v>63</v>
      </c>
      <c r="I451" s="178">
        <v>32153</v>
      </c>
      <c r="J451" s="178"/>
      <c r="K451" s="178"/>
      <c r="L451" s="178" t="s">
        <v>59</v>
      </c>
      <c r="M451" s="178">
        <v>120</v>
      </c>
      <c r="N451" s="178"/>
      <c r="O451" s="178"/>
      <c r="P451" s="178"/>
      <c r="Q451" s="178"/>
      <c r="R451" s="178" t="s">
        <v>126</v>
      </c>
      <c r="S451" s="181"/>
      <c r="T451" s="181"/>
      <c r="U451" s="182"/>
      <c r="V451" s="182" t="s">
        <v>35</v>
      </c>
      <c r="W451" s="183">
        <v>30</v>
      </c>
      <c r="X451" s="182" t="s">
        <v>51</v>
      </c>
      <c r="Y451" s="202"/>
      <c r="Z451" s="202"/>
      <c r="AA451" s="202"/>
      <c r="AB451" s="202"/>
      <c r="AC451" s="202"/>
      <c r="AD451" s="202"/>
      <c r="AE451" s="202"/>
      <c r="AF451" s="202"/>
      <c r="AG451" s="202"/>
      <c r="AH451" s="202"/>
      <c r="AI451" s="202"/>
      <c r="AJ451" s="202"/>
      <c r="AK451" s="202"/>
      <c r="AL451" s="202"/>
      <c r="AM451" s="202"/>
      <c r="AN451" s="202"/>
      <c r="AO451" s="202"/>
      <c r="AP451" s="202"/>
      <c r="AQ451" s="202"/>
      <c r="AR451" s="202"/>
      <c r="AS451" s="202"/>
      <c r="AT451" s="202"/>
      <c r="AU451" s="202"/>
      <c r="AV451" s="202"/>
      <c r="AW451" s="202"/>
      <c r="AX451" s="202"/>
      <c r="AY451" s="202"/>
      <c r="AZ451" s="202"/>
      <c r="BA451" s="202"/>
      <c r="BB451" s="202"/>
      <c r="BC451" s="202"/>
      <c r="BD451" s="202"/>
      <c r="BE451" s="202"/>
      <c r="BF451" s="202"/>
      <c r="BG451" s="202"/>
      <c r="BH451" s="202"/>
      <c r="BI451" s="184">
        <v>2370</v>
      </c>
      <c r="BJ451" s="184">
        <v>2370</v>
      </c>
      <c r="BK451" s="184">
        <v>2370</v>
      </c>
      <c r="BL451" s="202">
        <v>2450</v>
      </c>
      <c r="BM451" s="202">
        <v>2450</v>
      </c>
      <c r="BN451" s="202">
        <v>2450</v>
      </c>
      <c r="BO451" s="202"/>
      <c r="BP451" s="202"/>
      <c r="BQ451" s="202"/>
      <c r="BR451" s="202"/>
      <c r="BS451" s="202"/>
      <c r="BT451" s="202"/>
      <c r="BU451" s="146" cm="1">
        <f t="array" ref="BU451">LOOKUP(2,1/(Y451:BT451&lt;&gt;""),Y451:BH451)</f>
        <v>2450</v>
      </c>
      <c r="BV451" s="145" cm="1">
        <f t="array" aca="1" ref="BV451" ca="1">_xlfn.LET(
    _xlpm.last_col_idx, LOOKUP(2, 1/(Y451:BT451&lt;&gt;""), COLUMN(Y451:BT451) - COLUMN(Y451) + 1),
    _xlpm.header_val, INDEX($Y$3:$BT$3, 1, _xlpm.last_col_idx),
    _xlpm.header_date, IF(ISNUMBER(_xlpm.header_val), _xlpm.header_val, DATEVALUE(_xlpm.header_val)),
    IF(_xlpm.header_date &gt; TODAY(), TODAY(), _xlpm.header_date)
)</f>
        <v>46174</v>
      </c>
      <c r="BW451" s="209" cm="1">
        <f t="array" ref="BW451">(LOOKUP(2,1/(BH451:BT451&lt;&gt;""),BH451:BT451))/(INDEX(BH451:BT451,MATCH(TRUE,INDEX((BH451:BT451&lt;&gt;0),0),0)))-1</f>
        <v>3.3755274261603407E-2</v>
      </c>
      <c r="BX451" s="210">
        <f t="shared" si="78"/>
        <v>2.4500000000000002</v>
      </c>
      <c r="BY451" s="210">
        <f t="shared" si="79"/>
        <v>14.455000000000002</v>
      </c>
      <c r="BZ451" s="210">
        <f ca="1">IF(L451="BR",'Impostos e Frete'!$F$6,IF(L451="EU",'Impostos e Frete'!$I$3,IF(L451="CN",'Impostos e Frete'!$I$4,IF(L451="JP",'Impostos e Frete'!$I$5,IF(L451="RU",'Impostos e Frete'!$I$7,"ERRO")))))</f>
        <v>0.1410816</v>
      </c>
      <c r="CA451" s="210">
        <f>VLOOKUP(L451,'Impostos e Frete'!$A$3:$B$7,2,0)*'Preços e Condições'!BY451</f>
        <v>1.8791500000000003</v>
      </c>
      <c r="CB451" s="147">
        <f t="shared" si="80"/>
        <v>-0.17699999999999999</v>
      </c>
      <c r="CC451" s="147">
        <f>IF(X451="BRL",'Impostos e Frete'!$B$11,'Impostos e Frete'!$B$12)</f>
        <v>9.1999999999999998E-2</v>
      </c>
      <c r="CD451" s="211">
        <f t="shared" ca="1" si="81"/>
        <v>16.3902316</v>
      </c>
      <c r="CE451" s="212">
        <f t="shared" ca="1" si="82"/>
        <v>1.0653650539999999</v>
      </c>
      <c r="CF451" s="213">
        <f>VLOOKUP(L451,'Impostos e Frete'!$A$3:$C$7,3,0)</f>
        <v>105</v>
      </c>
      <c r="CG451" s="213">
        <f t="shared" si="83"/>
        <v>120</v>
      </c>
      <c r="CH451" s="213">
        <f t="shared" si="84"/>
        <v>15</v>
      </c>
      <c r="CI451" s="214">
        <f t="shared" ca="1" si="85"/>
        <v>-0.12156087391630521</v>
      </c>
      <c r="CJ451" s="215">
        <f t="shared" ca="1" si="86"/>
        <v>16.268670726083695</v>
      </c>
      <c r="CK451" s="216">
        <f t="shared" ca="1" si="87"/>
        <v>1.0574635971954403</v>
      </c>
    </row>
    <row r="452" spans="1:89">
      <c r="A452" s="195">
        <v>7004737</v>
      </c>
      <c r="B452" s="186" t="s">
        <v>123</v>
      </c>
      <c r="C452" s="196">
        <v>50</v>
      </c>
      <c r="D452" s="196"/>
      <c r="E452" s="196"/>
      <c r="F452" s="179" t="s">
        <v>67</v>
      </c>
      <c r="G452" s="189" t="s">
        <v>465</v>
      </c>
      <c r="H452" s="178" t="s">
        <v>61</v>
      </c>
      <c r="I452" s="178"/>
      <c r="J452" s="178"/>
      <c r="K452" s="178"/>
      <c r="L452" s="178" t="s">
        <v>59</v>
      </c>
      <c r="M452" s="178">
        <v>90</v>
      </c>
      <c r="N452" s="178"/>
      <c r="O452" s="178"/>
      <c r="P452" s="178"/>
      <c r="Q452" s="178"/>
      <c r="R452" s="178" t="s">
        <v>19</v>
      </c>
      <c r="S452" s="181"/>
      <c r="T452" s="181"/>
      <c r="U452" s="182"/>
      <c r="V452" s="182" t="s">
        <v>35</v>
      </c>
      <c r="W452" s="183">
        <v>100</v>
      </c>
      <c r="X452" s="182" t="s">
        <v>51</v>
      </c>
      <c r="Y452" s="202"/>
      <c r="Z452" s="202"/>
      <c r="AA452" s="202"/>
      <c r="AB452" s="202"/>
      <c r="AC452" s="202"/>
      <c r="AD452" s="202"/>
      <c r="AE452" s="202"/>
      <c r="AF452" s="202"/>
      <c r="AG452" s="202"/>
      <c r="AH452" s="202"/>
      <c r="AI452" s="202"/>
      <c r="AJ452" s="202"/>
      <c r="AK452" s="202"/>
      <c r="AL452" s="202"/>
      <c r="AM452" s="202"/>
      <c r="AN452" s="202"/>
      <c r="AO452" s="202"/>
      <c r="AP452" s="202"/>
      <c r="AQ452" s="202"/>
      <c r="AR452" s="202"/>
      <c r="AS452" s="202"/>
      <c r="AT452" s="202"/>
      <c r="AU452" s="202"/>
      <c r="AV452" s="202"/>
      <c r="AW452" s="202"/>
      <c r="AX452" s="202"/>
      <c r="AY452" s="202"/>
      <c r="AZ452" s="202"/>
      <c r="BA452" s="202"/>
      <c r="BB452" s="202"/>
      <c r="BC452" s="202"/>
      <c r="BD452" s="202"/>
      <c r="BE452" s="202"/>
      <c r="BF452" s="202"/>
      <c r="BG452" s="202"/>
      <c r="BH452" s="202"/>
      <c r="BI452" s="184"/>
      <c r="BJ452" s="184"/>
      <c r="BK452" s="184"/>
      <c r="BL452" s="184"/>
      <c r="BM452" s="184">
        <v>1100</v>
      </c>
      <c r="BN452" s="184"/>
      <c r="BO452" s="202"/>
      <c r="BP452" s="202"/>
      <c r="BQ452" s="202"/>
      <c r="BR452" s="202"/>
      <c r="BS452" s="202"/>
      <c r="BT452" s="202"/>
      <c r="BU452" s="146" cm="1">
        <f t="array" ref="BU452">LOOKUP(2,1/(Y452:BT452&lt;&gt;""),Y452:BH452)</f>
        <v>1100</v>
      </c>
      <c r="BV452" s="145" cm="1">
        <f t="array" aca="1" ref="BV452" ca="1">_xlfn.LET(
    _xlpm.last_col_idx, LOOKUP(2, 1/(Y452:BT452&lt;&gt;""), COLUMN(Y452:BT452) - COLUMN(Y452) + 1),
    _xlpm.header_val, INDEX($Y$3:$BT$3, 1, _xlpm.last_col_idx),
    _xlpm.header_date, IF(ISNUMBER(_xlpm.header_val), _xlpm.header_val, DATEVALUE(_xlpm.header_val)),
    IF(_xlpm.header_date &gt; TODAY(), TODAY(), _xlpm.header_date)
)</f>
        <v>46143</v>
      </c>
      <c r="BW452" s="209" cm="1">
        <f t="array" ref="BW452">(LOOKUP(2,1/(BH452:BT452&lt;&gt;""),BH452:BT452))/(INDEX(BH452:BT452,MATCH(TRUE,INDEX((BH452:BT452&lt;&gt;0),0),0)))-1</f>
        <v>0</v>
      </c>
      <c r="BX452" s="210">
        <f t="shared" ref="BX452:BX512" si="88">BU452/1000</f>
        <v>1.1000000000000001</v>
      </c>
      <c r="BY452" s="210">
        <f t="shared" ref="BY452:BY512" si="89">IF(X452="BRL",BX452,IF(X452="EUR",BX452*$CK$2,IF(X452="USD",BX452*$CK$1,IF(X452="CNY",BX452*$CM$1,IF(X452="RUB",BX452*$CM$2,"CRRY#")))))</f>
        <v>6.4900000000000011</v>
      </c>
      <c r="BZ452" s="210">
        <f ca="1">IF(L452="BR",'Impostos e Frete'!$F$6,IF(L452="EU",'Impostos e Frete'!$I$3,IF(L452="CN",'Impostos e Frete'!$I$4,IF(L452="JP",'Impostos e Frete'!$I$5,IF(L452="RU",'Impostos e Frete'!$I$7,"ERRO")))))</f>
        <v>0.1410816</v>
      </c>
      <c r="CA452" s="210">
        <f>VLOOKUP(L452,'Impostos e Frete'!$A$3:$B$7,2,0)*'Preços e Condições'!BY452</f>
        <v>0.84370000000000012</v>
      </c>
      <c r="CB452" s="147">
        <f t="shared" ref="CB452:CB512" si="90">IF(R452="CFR",$CB$2,IF(R452="FOB",0,IF(R452="EXW",$CB$1,"ERRO")))</f>
        <v>0</v>
      </c>
      <c r="CC452" s="147">
        <f>IF(X452="BRL",'Impostos e Frete'!$B$11,'Impostos e Frete'!$B$12)</f>
        <v>9.1999999999999998E-2</v>
      </c>
      <c r="CD452" s="211">
        <f t="shared" ref="CD452:CD512" ca="1" si="91">SUM(BY452:CC452)</f>
        <v>7.5667816000000006</v>
      </c>
      <c r="CE452" s="212">
        <f t="shared" ref="CE452:CE512" ca="1" si="92">IF(C452="","erro",(CD452/1000)*C452)</f>
        <v>0.37833908000000005</v>
      </c>
      <c r="CF452" s="213">
        <f>VLOOKUP(L452,'Impostos e Frete'!$A$3:$C$7,3,0)</f>
        <v>105</v>
      </c>
      <c r="CG452" s="213">
        <f t="shared" ref="CG452:CG512" si="93">M452</f>
        <v>90</v>
      </c>
      <c r="CH452" s="213">
        <f t="shared" ref="CH452:CH512" si="94">CG452-CF452</f>
        <v>-15</v>
      </c>
      <c r="CI452" s="214">
        <f t="shared" ref="CI452:CI512" ca="1" si="95">CD452*(1+VALUE($CI$2))^((CH452*-1)/30)-CD452</f>
        <v>5.65396275772585E-2</v>
      </c>
      <c r="CJ452" s="215">
        <f t="shared" ref="CJ452:CJ512" ca="1" si="96">CD452+CI452</f>
        <v>7.6233212275772591</v>
      </c>
      <c r="CK452" s="216">
        <f t="shared" ref="CK452:CK512" ca="1" si="97">IF(C452="","erro",(CJ452/1000)*C452)</f>
        <v>0.38116606137886294</v>
      </c>
    </row>
    <row r="453" spans="1:89">
      <c r="A453" s="195">
        <v>7004738</v>
      </c>
      <c r="B453" s="186" t="s">
        <v>123</v>
      </c>
      <c r="C453" s="196">
        <v>60</v>
      </c>
      <c r="D453" s="196"/>
      <c r="E453" s="196"/>
      <c r="F453" s="179" t="s">
        <v>67</v>
      </c>
      <c r="G453" s="189" t="s">
        <v>465</v>
      </c>
      <c r="H453" s="178" t="s">
        <v>61</v>
      </c>
      <c r="I453" s="178"/>
      <c r="J453" s="178"/>
      <c r="K453" s="178"/>
      <c r="L453" s="178" t="s">
        <v>59</v>
      </c>
      <c r="M453" s="178">
        <v>90</v>
      </c>
      <c r="N453" s="178"/>
      <c r="O453" s="178"/>
      <c r="P453" s="178"/>
      <c r="Q453" s="178"/>
      <c r="R453" s="178" t="s">
        <v>19</v>
      </c>
      <c r="S453" s="181"/>
      <c r="T453" s="181"/>
      <c r="U453" s="182"/>
      <c r="V453" s="182" t="s">
        <v>35</v>
      </c>
      <c r="W453" s="183">
        <v>100</v>
      </c>
      <c r="X453" s="182" t="s">
        <v>51</v>
      </c>
      <c r="Y453" s="202"/>
      <c r="Z453" s="202"/>
      <c r="AA453" s="202"/>
      <c r="AB453" s="202"/>
      <c r="AC453" s="202"/>
      <c r="AD453" s="202"/>
      <c r="AE453" s="202"/>
      <c r="AF453" s="202"/>
      <c r="AG453" s="202"/>
      <c r="AH453" s="202"/>
      <c r="AI453" s="202"/>
      <c r="AJ453" s="202"/>
      <c r="AK453" s="202"/>
      <c r="AL453" s="202"/>
      <c r="AM453" s="202"/>
      <c r="AN453" s="202"/>
      <c r="AO453" s="202"/>
      <c r="AP453" s="202"/>
      <c r="AQ453" s="202"/>
      <c r="AR453" s="202"/>
      <c r="AS453" s="202"/>
      <c r="AT453" s="202"/>
      <c r="AU453" s="202"/>
      <c r="AV453" s="202"/>
      <c r="AW453" s="202"/>
      <c r="AX453" s="202"/>
      <c r="AY453" s="202"/>
      <c r="AZ453" s="202"/>
      <c r="BA453" s="202"/>
      <c r="BB453" s="202"/>
      <c r="BC453" s="202"/>
      <c r="BD453" s="202"/>
      <c r="BE453" s="202"/>
      <c r="BF453" s="202"/>
      <c r="BG453" s="202"/>
      <c r="BH453" s="202"/>
      <c r="BI453" s="184"/>
      <c r="BJ453" s="184"/>
      <c r="BK453" s="184"/>
      <c r="BL453" s="184">
        <v>1100</v>
      </c>
      <c r="BM453" s="184">
        <v>1100</v>
      </c>
      <c r="BN453" s="184">
        <v>1100</v>
      </c>
      <c r="BO453" s="202"/>
      <c r="BP453" s="202"/>
      <c r="BQ453" s="202"/>
      <c r="BR453" s="202"/>
      <c r="BS453" s="202"/>
      <c r="BT453" s="202"/>
      <c r="BU453" s="146" cm="1">
        <f t="array" ref="BU453">LOOKUP(2,1/(Y453:BT453&lt;&gt;""),Y453:BH453)</f>
        <v>1100</v>
      </c>
      <c r="BV453" s="145" cm="1">
        <f t="array" aca="1" ref="BV453" ca="1">_xlfn.LET(
    _xlpm.last_col_idx, LOOKUP(2, 1/(Y453:BT453&lt;&gt;""), COLUMN(Y453:BT453) - COLUMN(Y453) + 1),
    _xlpm.header_val, INDEX($Y$3:$BT$3, 1, _xlpm.last_col_idx),
    _xlpm.header_date, IF(ISNUMBER(_xlpm.header_val), _xlpm.header_val, DATEVALUE(_xlpm.header_val)),
    IF(_xlpm.header_date &gt; TODAY(), TODAY(), _xlpm.header_date)
)</f>
        <v>46174</v>
      </c>
      <c r="BW453" s="209" cm="1">
        <f t="array" ref="BW453">(LOOKUP(2,1/(BH453:BT453&lt;&gt;""),BH453:BT453))/(INDEX(BH453:BT453,MATCH(TRUE,INDEX((BH453:BT453&lt;&gt;0),0),0)))-1</f>
        <v>0</v>
      </c>
      <c r="BX453" s="210">
        <f t="shared" si="88"/>
        <v>1.1000000000000001</v>
      </c>
      <c r="BY453" s="210">
        <f t="shared" si="89"/>
        <v>6.4900000000000011</v>
      </c>
      <c r="BZ453" s="210">
        <f ca="1">IF(L453="BR",'Impostos e Frete'!$F$6,IF(L453="EU",'Impostos e Frete'!$I$3,IF(L453="CN",'Impostos e Frete'!$I$4,IF(L453="JP",'Impostos e Frete'!$I$5,IF(L453="RU",'Impostos e Frete'!$I$7,"ERRO")))))</f>
        <v>0.1410816</v>
      </c>
      <c r="CA453" s="210">
        <f>VLOOKUP(L453,'Impostos e Frete'!$A$3:$B$7,2,0)*'Preços e Condições'!BY453</f>
        <v>0.84370000000000012</v>
      </c>
      <c r="CB453" s="147">
        <f t="shared" si="90"/>
        <v>0</v>
      </c>
      <c r="CC453" s="147">
        <f>IF(X453="BRL",'Impostos e Frete'!$B$11,'Impostos e Frete'!$B$12)</f>
        <v>9.1999999999999998E-2</v>
      </c>
      <c r="CD453" s="211">
        <f t="shared" ca="1" si="91"/>
        <v>7.5667816000000006</v>
      </c>
      <c r="CE453" s="212">
        <f t="shared" ca="1" si="92"/>
        <v>0.45400689600000005</v>
      </c>
      <c r="CF453" s="213">
        <f>VLOOKUP(L453,'Impostos e Frete'!$A$3:$C$7,3,0)</f>
        <v>105</v>
      </c>
      <c r="CG453" s="213">
        <f t="shared" si="93"/>
        <v>90</v>
      </c>
      <c r="CH453" s="213">
        <f t="shared" si="94"/>
        <v>-15</v>
      </c>
      <c r="CI453" s="214">
        <f t="shared" ca="1" si="95"/>
        <v>5.65396275772585E-2</v>
      </c>
      <c r="CJ453" s="215">
        <f t="shared" ca="1" si="96"/>
        <v>7.6233212275772591</v>
      </c>
      <c r="CK453" s="216">
        <f t="shared" ca="1" si="97"/>
        <v>0.45739927365463551</v>
      </c>
    </row>
    <row r="454" spans="1:89">
      <c r="A454" s="203">
        <v>7004755</v>
      </c>
      <c r="B454" s="186">
        <v>483</v>
      </c>
      <c r="C454" s="196">
        <v>70</v>
      </c>
      <c r="D454" s="196">
        <v>1870</v>
      </c>
      <c r="E454" s="178" t="s">
        <v>50</v>
      </c>
      <c r="F454" s="179" t="s">
        <v>67</v>
      </c>
      <c r="G454" s="185" t="s">
        <v>374</v>
      </c>
      <c r="H454" s="178" t="s">
        <v>63</v>
      </c>
      <c r="I454" s="178"/>
      <c r="J454" s="178"/>
      <c r="K454" s="178"/>
      <c r="L454" s="178" t="s">
        <v>59</v>
      </c>
      <c r="M454" s="178">
        <v>90</v>
      </c>
      <c r="N454" s="178"/>
      <c r="O454" s="178"/>
      <c r="P454" s="178"/>
      <c r="Q454" s="178"/>
      <c r="R454" s="178" t="s">
        <v>19</v>
      </c>
      <c r="S454" s="181"/>
      <c r="T454" s="181"/>
      <c r="U454" s="182"/>
      <c r="V454" s="182" t="s">
        <v>35</v>
      </c>
      <c r="W454" s="183">
        <v>300</v>
      </c>
      <c r="X454" s="182" t="s">
        <v>51</v>
      </c>
      <c r="Y454" s="202"/>
      <c r="Z454" s="202"/>
      <c r="AA454" s="202"/>
      <c r="AB454" s="202"/>
      <c r="AC454" s="202"/>
      <c r="AD454" s="202"/>
      <c r="AE454" s="202"/>
      <c r="AF454" s="202"/>
      <c r="AG454" s="202"/>
      <c r="AH454" s="202"/>
      <c r="AI454" s="202"/>
      <c r="AJ454" s="202"/>
      <c r="AK454" s="202"/>
      <c r="AL454" s="202"/>
      <c r="AM454" s="202"/>
      <c r="AN454" s="202"/>
      <c r="AO454" s="202"/>
      <c r="AP454" s="202"/>
      <c r="AQ454" s="202"/>
      <c r="AR454" s="202"/>
      <c r="AS454" s="202"/>
      <c r="AT454" s="202"/>
      <c r="AU454" s="202"/>
      <c r="AV454" s="202"/>
      <c r="AW454" s="202"/>
      <c r="AX454" s="202"/>
      <c r="AY454" s="202"/>
      <c r="AZ454" s="202"/>
      <c r="BA454" s="202"/>
      <c r="BB454" s="202"/>
      <c r="BC454" s="202"/>
      <c r="BD454" s="202"/>
      <c r="BE454" s="202"/>
      <c r="BF454" s="202"/>
      <c r="BG454" s="202"/>
      <c r="BH454" s="202"/>
      <c r="BI454" s="184">
        <v>1750</v>
      </c>
      <c r="BJ454" s="184">
        <v>1750</v>
      </c>
      <c r="BK454" s="184">
        <v>1750</v>
      </c>
      <c r="BL454" s="184">
        <v>1850</v>
      </c>
      <c r="BM454" s="184">
        <v>1850</v>
      </c>
      <c r="BN454" s="184">
        <v>1850</v>
      </c>
      <c r="BO454" s="202"/>
      <c r="BP454" s="202"/>
      <c r="BQ454" s="202"/>
      <c r="BR454" s="202"/>
      <c r="BS454" s="202"/>
      <c r="BT454" s="202"/>
      <c r="BU454" s="146" cm="1">
        <f t="array" ref="BU454">LOOKUP(2,1/(Y454:BT454&lt;&gt;""),Y454:BH454)</f>
        <v>1850</v>
      </c>
      <c r="BV454" s="145" cm="1">
        <f t="array" aca="1" ref="BV454" ca="1">_xlfn.LET(
    _xlpm.last_col_idx, LOOKUP(2, 1/(Y454:BT454&lt;&gt;""), COLUMN(Y454:BT454) - COLUMN(Y454) + 1),
    _xlpm.header_val, INDEX($Y$3:$BT$3, 1, _xlpm.last_col_idx),
    _xlpm.header_date, IF(ISNUMBER(_xlpm.header_val), _xlpm.header_val, DATEVALUE(_xlpm.header_val)),
    IF(_xlpm.header_date &gt; TODAY(), TODAY(), _xlpm.header_date)
)</f>
        <v>46174</v>
      </c>
      <c r="BW454" s="209" cm="1">
        <f t="array" ref="BW454">(LOOKUP(2,1/(BH454:BT454&lt;&gt;""),BH454:BT454))/(INDEX(BH454:BT454,MATCH(TRUE,INDEX((BH454:BT454&lt;&gt;0),0),0)))-1</f>
        <v>5.7142857142857162E-2</v>
      </c>
      <c r="BX454" s="210">
        <f t="shared" si="88"/>
        <v>1.85</v>
      </c>
      <c r="BY454" s="210">
        <f t="shared" si="89"/>
        <v>10.915000000000001</v>
      </c>
      <c r="BZ454" s="210">
        <f ca="1">IF(L454="BR",'Impostos e Frete'!$F$6,IF(L454="EU",'Impostos e Frete'!$I$3,IF(L454="CN",'Impostos e Frete'!$I$4,IF(L454="JP",'Impostos e Frete'!$I$5,IF(L454="RU",'Impostos e Frete'!$I$7,"ERRO")))))</f>
        <v>0.1410816</v>
      </c>
      <c r="CA454" s="210">
        <f>VLOOKUP(L454,'Impostos e Frete'!$A$3:$B$7,2,0)*'Preços e Condições'!BY454</f>
        <v>1.4189500000000002</v>
      </c>
      <c r="CB454" s="147">
        <f t="shared" si="90"/>
        <v>0</v>
      </c>
      <c r="CC454" s="147">
        <f>IF(X454="BRL",'Impostos e Frete'!$B$11,'Impostos e Frete'!$B$12)</f>
        <v>9.1999999999999998E-2</v>
      </c>
      <c r="CD454" s="211">
        <f t="shared" ca="1" si="91"/>
        <v>12.567031600000002</v>
      </c>
      <c r="CE454" s="212">
        <f t="shared" ca="1" si="92"/>
        <v>0.87969221200000014</v>
      </c>
      <c r="CF454" s="213">
        <f>VLOOKUP(L454,'Impostos e Frete'!$A$3:$C$7,3,0)</f>
        <v>105</v>
      </c>
      <c r="CG454" s="213">
        <f t="shared" si="93"/>
        <v>90</v>
      </c>
      <c r="CH454" s="213">
        <f t="shared" si="94"/>
        <v>-15</v>
      </c>
      <c r="CI454" s="214">
        <f t="shared" ca="1" si="95"/>
        <v>9.3901915500724797E-2</v>
      </c>
      <c r="CJ454" s="215">
        <f t="shared" ca="1" si="96"/>
        <v>12.660933515500727</v>
      </c>
      <c r="CK454" s="216">
        <f t="shared" ca="1" si="97"/>
        <v>0.88626534608505081</v>
      </c>
    </row>
    <row r="455" spans="1:89">
      <c r="A455" s="203">
        <v>7004755</v>
      </c>
      <c r="B455" s="186">
        <v>483</v>
      </c>
      <c r="C455" s="196">
        <v>70</v>
      </c>
      <c r="D455" s="196">
        <v>1870</v>
      </c>
      <c r="E455" s="178" t="s">
        <v>50</v>
      </c>
      <c r="F455" s="179" t="s">
        <v>67</v>
      </c>
      <c r="G455" s="185" t="s">
        <v>374</v>
      </c>
      <c r="H455" s="178" t="s">
        <v>63</v>
      </c>
      <c r="I455" s="178"/>
      <c r="J455" s="178"/>
      <c r="K455" s="178"/>
      <c r="L455" s="178" t="s">
        <v>59</v>
      </c>
      <c r="M455" s="178">
        <v>90</v>
      </c>
      <c r="N455" s="178"/>
      <c r="O455" s="178"/>
      <c r="P455" s="178"/>
      <c r="Q455" s="178"/>
      <c r="R455" s="178" t="s">
        <v>19</v>
      </c>
      <c r="S455" s="181"/>
      <c r="T455" s="181"/>
      <c r="U455" s="182"/>
      <c r="V455" s="182" t="s">
        <v>35</v>
      </c>
      <c r="W455" s="183">
        <v>150</v>
      </c>
      <c r="X455" s="182" t="s">
        <v>51</v>
      </c>
      <c r="Y455" s="202"/>
      <c r="Z455" s="202"/>
      <c r="AA455" s="202"/>
      <c r="AB455" s="202"/>
      <c r="AC455" s="202"/>
      <c r="AD455" s="202"/>
      <c r="AE455" s="202"/>
      <c r="AF455" s="202"/>
      <c r="AG455" s="202"/>
      <c r="AH455" s="202"/>
      <c r="AI455" s="202"/>
      <c r="AJ455" s="202"/>
      <c r="AK455" s="202"/>
      <c r="AL455" s="202"/>
      <c r="AM455" s="202"/>
      <c r="AN455" s="202"/>
      <c r="AO455" s="202"/>
      <c r="AP455" s="202"/>
      <c r="AQ455" s="202"/>
      <c r="AR455" s="202"/>
      <c r="AS455" s="202"/>
      <c r="AT455" s="202"/>
      <c r="AU455" s="202"/>
      <c r="AV455" s="202"/>
      <c r="AW455" s="202"/>
      <c r="AX455" s="202"/>
      <c r="AY455" s="202"/>
      <c r="AZ455" s="202"/>
      <c r="BA455" s="202"/>
      <c r="BB455" s="202"/>
      <c r="BC455" s="202"/>
      <c r="BD455" s="202"/>
      <c r="BE455" s="202"/>
      <c r="BF455" s="202"/>
      <c r="BG455" s="202"/>
      <c r="BH455" s="202"/>
      <c r="BI455" s="184"/>
      <c r="BJ455" s="184"/>
      <c r="BK455" s="184"/>
      <c r="BL455" s="184">
        <v>2040</v>
      </c>
      <c r="BM455" s="184">
        <v>2040</v>
      </c>
      <c r="BN455" s="184">
        <v>2040</v>
      </c>
      <c r="BO455" s="202"/>
      <c r="BP455" s="202"/>
      <c r="BQ455" s="202"/>
      <c r="BR455" s="202"/>
      <c r="BS455" s="202"/>
      <c r="BT455" s="202"/>
      <c r="BU455" s="146" cm="1">
        <f t="array" ref="BU455">LOOKUP(2,1/(Y455:BT455&lt;&gt;""),Y455:BH455)</f>
        <v>2040</v>
      </c>
      <c r="BV455" s="145" cm="1">
        <f t="array" aca="1" ref="BV455" ca="1">_xlfn.LET(
    _xlpm.last_col_idx, LOOKUP(2, 1/(Y455:BT455&lt;&gt;""), COLUMN(Y455:BT455) - COLUMN(Y455) + 1),
    _xlpm.header_val, INDEX($Y$3:$BT$3, 1, _xlpm.last_col_idx),
    _xlpm.header_date, IF(ISNUMBER(_xlpm.header_val), _xlpm.header_val, DATEVALUE(_xlpm.header_val)),
    IF(_xlpm.header_date &gt; TODAY(), TODAY(), _xlpm.header_date)
)</f>
        <v>46174</v>
      </c>
      <c r="BW455" s="209" cm="1">
        <f t="array" ref="BW455">(LOOKUP(2,1/(BH455:BT455&lt;&gt;""),BH455:BT455))/(INDEX(BH455:BT455,MATCH(TRUE,INDEX((BH455:BT455&lt;&gt;0),0),0)))-1</f>
        <v>0</v>
      </c>
      <c r="BX455" s="210">
        <f t="shared" si="88"/>
        <v>2.04</v>
      </c>
      <c r="BY455" s="210">
        <f t="shared" si="89"/>
        <v>12.036000000000001</v>
      </c>
      <c r="BZ455" s="210">
        <f ca="1">IF(L455="BR",'Impostos e Frete'!$F$6,IF(L455="EU",'Impostos e Frete'!$I$3,IF(L455="CN",'Impostos e Frete'!$I$4,IF(L455="JP",'Impostos e Frete'!$I$5,IF(L455="RU",'Impostos e Frete'!$I$7,"ERRO")))))</f>
        <v>0.1410816</v>
      </c>
      <c r="CA455" s="210">
        <f>VLOOKUP(L455,'Impostos e Frete'!$A$3:$B$7,2,0)*'Preços e Condições'!BY455</f>
        <v>1.5646800000000003</v>
      </c>
      <c r="CB455" s="147">
        <f t="shared" si="90"/>
        <v>0</v>
      </c>
      <c r="CC455" s="147">
        <f>IF(X455="BRL",'Impostos e Frete'!$B$11,'Impostos e Frete'!$B$12)</f>
        <v>9.1999999999999998E-2</v>
      </c>
      <c r="CD455" s="211">
        <f t="shared" ca="1" si="91"/>
        <v>13.833761600000003</v>
      </c>
      <c r="CE455" s="212">
        <f t="shared" ca="1" si="92"/>
        <v>0.96836331200000014</v>
      </c>
      <c r="CF455" s="213">
        <f>VLOOKUP(L455,'Impostos e Frete'!$A$3:$C$7,3,0)</f>
        <v>105</v>
      </c>
      <c r="CG455" s="213">
        <f t="shared" si="93"/>
        <v>90</v>
      </c>
      <c r="CH455" s="213">
        <f t="shared" si="94"/>
        <v>-15</v>
      </c>
      <c r="CI455" s="214">
        <f t="shared" ca="1" si="95"/>
        <v>0.10336702844133683</v>
      </c>
      <c r="CJ455" s="215">
        <f t="shared" ca="1" si="96"/>
        <v>13.937128628441339</v>
      </c>
      <c r="CK455" s="216">
        <f t="shared" ca="1" si="97"/>
        <v>0.97559900399089372</v>
      </c>
    </row>
    <row r="456" spans="1:89">
      <c r="A456" s="203">
        <v>7004755</v>
      </c>
      <c r="B456" s="186">
        <v>483</v>
      </c>
      <c r="C456" s="196">
        <v>70</v>
      </c>
      <c r="D456" s="196">
        <v>1870</v>
      </c>
      <c r="E456" s="178" t="s">
        <v>50</v>
      </c>
      <c r="F456" s="179" t="s">
        <v>67</v>
      </c>
      <c r="G456" s="185" t="s">
        <v>374</v>
      </c>
      <c r="H456" s="178" t="s">
        <v>63</v>
      </c>
      <c r="I456" s="178"/>
      <c r="J456" s="178"/>
      <c r="K456" s="178"/>
      <c r="L456" s="178" t="s">
        <v>59</v>
      </c>
      <c r="M456" s="178">
        <v>90</v>
      </c>
      <c r="N456" s="178"/>
      <c r="O456" s="178"/>
      <c r="P456" s="178"/>
      <c r="Q456" s="178"/>
      <c r="R456" s="178" t="s">
        <v>19</v>
      </c>
      <c r="S456" s="181"/>
      <c r="T456" s="181"/>
      <c r="U456" s="182"/>
      <c r="V456" s="182" t="s">
        <v>35</v>
      </c>
      <c r="W456" s="183">
        <v>100</v>
      </c>
      <c r="X456" s="182" t="s">
        <v>51</v>
      </c>
      <c r="Y456" s="202"/>
      <c r="Z456" s="202"/>
      <c r="AA456" s="202"/>
      <c r="AB456" s="202"/>
      <c r="AC456" s="202"/>
      <c r="AD456" s="202"/>
      <c r="AE456" s="202"/>
      <c r="AF456" s="202"/>
      <c r="AG456" s="202"/>
      <c r="AH456" s="202"/>
      <c r="AI456" s="202"/>
      <c r="AJ456" s="202"/>
      <c r="AK456" s="202"/>
      <c r="AL456" s="202"/>
      <c r="AM456" s="202"/>
      <c r="AN456" s="202"/>
      <c r="AO456" s="202"/>
      <c r="AP456" s="202"/>
      <c r="AQ456" s="202"/>
      <c r="AR456" s="202"/>
      <c r="AS456" s="202"/>
      <c r="AT456" s="202"/>
      <c r="AU456" s="202"/>
      <c r="AV456" s="202"/>
      <c r="AW456" s="202"/>
      <c r="AX456" s="202"/>
      <c r="AY456" s="202"/>
      <c r="AZ456" s="202"/>
      <c r="BA456" s="202"/>
      <c r="BB456" s="202"/>
      <c r="BC456" s="202"/>
      <c r="BD456" s="202"/>
      <c r="BE456" s="202"/>
      <c r="BF456" s="202"/>
      <c r="BG456" s="202"/>
      <c r="BH456" s="202"/>
      <c r="BI456" s="184"/>
      <c r="BJ456" s="184"/>
      <c r="BK456" s="184"/>
      <c r="BL456" s="184">
        <v>2090</v>
      </c>
      <c r="BM456" s="184">
        <v>2090</v>
      </c>
      <c r="BN456" s="184">
        <v>2090</v>
      </c>
      <c r="BO456" s="202"/>
      <c r="BP456" s="202"/>
      <c r="BQ456" s="202"/>
      <c r="BR456" s="202"/>
      <c r="BS456" s="202"/>
      <c r="BT456" s="202"/>
      <c r="BU456" s="146" cm="1">
        <f t="array" ref="BU456">LOOKUP(2,1/(Y456:BT456&lt;&gt;""),Y456:BH456)</f>
        <v>2090</v>
      </c>
      <c r="BV456" s="145" cm="1">
        <f t="array" aca="1" ref="BV456" ca="1">_xlfn.LET(
    _xlpm.last_col_idx, LOOKUP(2, 1/(Y456:BT456&lt;&gt;""), COLUMN(Y456:BT456) - COLUMN(Y456) + 1),
    _xlpm.header_val, INDEX($Y$3:$BT$3, 1, _xlpm.last_col_idx),
    _xlpm.header_date, IF(ISNUMBER(_xlpm.header_val), _xlpm.header_val, DATEVALUE(_xlpm.header_val)),
    IF(_xlpm.header_date &gt; TODAY(), TODAY(), _xlpm.header_date)
)</f>
        <v>46174</v>
      </c>
      <c r="BW456" s="209" cm="1">
        <f t="array" ref="BW456">(LOOKUP(2,1/(BH456:BT456&lt;&gt;""),BH456:BT456))/(INDEX(BH456:BT456,MATCH(TRUE,INDEX((BH456:BT456&lt;&gt;0),0),0)))-1</f>
        <v>0</v>
      </c>
      <c r="BX456" s="210">
        <f t="shared" si="88"/>
        <v>2.09</v>
      </c>
      <c r="BY456" s="210">
        <f t="shared" si="89"/>
        <v>12.331</v>
      </c>
      <c r="BZ456" s="210">
        <f ca="1">IF(L456="BR",'Impostos e Frete'!$F$6,IF(L456="EU",'Impostos e Frete'!$I$3,IF(L456="CN",'Impostos e Frete'!$I$4,IF(L456="JP",'Impostos e Frete'!$I$5,IF(L456="RU",'Impostos e Frete'!$I$7,"ERRO")))))</f>
        <v>0.1410816</v>
      </c>
      <c r="CA456" s="210">
        <f>VLOOKUP(L456,'Impostos e Frete'!$A$3:$B$7,2,0)*'Preços e Condições'!BY456</f>
        <v>1.60303</v>
      </c>
      <c r="CB456" s="147">
        <f t="shared" si="90"/>
        <v>0</v>
      </c>
      <c r="CC456" s="147">
        <f>IF(X456="BRL",'Impostos e Frete'!$B$11,'Impostos e Frete'!$B$12)</f>
        <v>9.1999999999999998E-2</v>
      </c>
      <c r="CD456" s="211">
        <f t="shared" ca="1" si="91"/>
        <v>14.1671116</v>
      </c>
      <c r="CE456" s="212">
        <f t="shared" ca="1" si="92"/>
        <v>0.99169781200000007</v>
      </c>
      <c r="CF456" s="213">
        <f>VLOOKUP(L456,'Impostos e Frete'!$A$3:$C$7,3,0)</f>
        <v>105</v>
      </c>
      <c r="CG456" s="213">
        <f t="shared" si="93"/>
        <v>90</v>
      </c>
      <c r="CH456" s="213">
        <f t="shared" si="94"/>
        <v>-15</v>
      </c>
      <c r="CI456" s="214">
        <f t="shared" ca="1" si="95"/>
        <v>0.10585784763623352</v>
      </c>
      <c r="CJ456" s="215">
        <f t="shared" ca="1" si="96"/>
        <v>14.272969447636234</v>
      </c>
      <c r="CK456" s="216">
        <f t="shared" ca="1" si="97"/>
        <v>0.99910786133453633</v>
      </c>
    </row>
    <row r="457" spans="1:89">
      <c r="A457" s="203">
        <v>7004755</v>
      </c>
      <c r="B457" s="186">
        <v>483</v>
      </c>
      <c r="C457" s="196">
        <v>70</v>
      </c>
      <c r="D457" s="196">
        <v>1870</v>
      </c>
      <c r="E457" s="178" t="s">
        <v>50</v>
      </c>
      <c r="F457" s="179" t="s">
        <v>67</v>
      </c>
      <c r="G457" s="185" t="s">
        <v>374</v>
      </c>
      <c r="H457" s="178" t="s">
        <v>63</v>
      </c>
      <c r="I457" s="178"/>
      <c r="J457" s="178"/>
      <c r="K457" s="178"/>
      <c r="L457" s="178" t="s">
        <v>59</v>
      </c>
      <c r="M457" s="178">
        <v>90</v>
      </c>
      <c r="N457" s="178"/>
      <c r="O457" s="178"/>
      <c r="P457" s="178"/>
      <c r="Q457" s="178"/>
      <c r="R457" s="178" t="s">
        <v>19</v>
      </c>
      <c r="S457" s="181"/>
      <c r="T457" s="181"/>
      <c r="U457" s="182"/>
      <c r="V457" s="182" t="s">
        <v>35</v>
      </c>
      <c r="W457" s="183">
        <v>50</v>
      </c>
      <c r="X457" s="182" t="s">
        <v>51</v>
      </c>
      <c r="Y457" s="202"/>
      <c r="Z457" s="202"/>
      <c r="AA457" s="202"/>
      <c r="AB457" s="202"/>
      <c r="AC457" s="202"/>
      <c r="AD457" s="202"/>
      <c r="AE457" s="202"/>
      <c r="AF457" s="202"/>
      <c r="AG457" s="202"/>
      <c r="AH457" s="202"/>
      <c r="AI457" s="202"/>
      <c r="AJ457" s="202"/>
      <c r="AK457" s="202"/>
      <c r="AL457" s="202"/>
      <c r="AM457" s="202"/>
      <c r="AN457" s="202"/>
      <c r="AO457" s="202"/>
      <c r="AP457" s="202"/>
      <c r="AQ457" s="202"/>
      <c r="AR457" s="202"/>
      <c r="AS457" s="202"/>
      <c r="AT457" s="202"/>
      <c r="AU457" s="202"/>
      <c r="AV457" s="202"/>
      <c r="AW457" s="202"/>
      <c r="AX457" s="202"/>
      <c r="AY457" s="202"/>
      <c r="AZ457" s="202"/>
      <c r="BA457" s="202"/>
      <c r="BB457" s="202"/>
      <c r="BC457" s="202"/>
      <c r="BD457" s="202"/>
      <c r="BE457" s="184"/>
      <c r="BF457" s="202"/>
      <c r="BG457" s="202"/>
      <c r="BH457" s="202"/>
      <c r="BI457" s="202"/>
      <c r="BJ457" s="202"/>
      <c r="BK457" s="202"/>
      <c r="BL457" s="202">
        <v>2220</v>
      </c>
      <c r="BM457" s="202">
        <v>2220</v>
      </c>
      <c r="BN457" s="202">
        <v>2220</v>
      </c>
      <c r="BO457" s="202"/>
      <c r="BP457" s="202"/>
      <c r="BQ457" s="202"/>
      <c r="BR457" s="202"/>
      <c r="BS457" s="202"/>
      <c r="BT457" s="202"/>
      <c r="BU457" s="146" cm="1">
        <f t="array" ref="BU457">LOOKUP(2,1/(Y457:BT457&lt;&gt;""),Y457:BH457)</f>
        <v>2220</v>
      </c>
      <c r="BV457" s="145" cm="1">
        <f t="array" aca="1" ref="BV457" ca="1">_xlfn.LET(
    _xlpm.last_col_idx, LOOKUP(2, 1/(Y457:BT457&lt;&gt;""), COLUMN(Y457:BT457) - COLUMN(Y457) + 1),
    _xlpm.header_val, INDEX($Y$3:$BT$3, 1, _xlpm.last_col_idx),
    _xlpm.header_date, IF(ISNUMBER(_xlpm.header_val), _xlpm.header_val, DATEVALUE(_xlpm.header_val)),
    IF(_xlpm.header_date &gt; TODAY(), TODAY(), _xlpm.header_date)
)</f>
        <v>46174</v>
      </c>
      <c r="BW457" s="209" cm="1">
        <f t="array" ref="BW457">(LOOKUP(2,1/(BH457:BT457&lt;&gt;""),BH457:BT457))/(INDEX(BH457:BT457,MATCH(TRUE,INDEX((BH457:BT457&lt;&gt;0),0),0)))-1</f>
        <v>0</v>
      </c>
      <c r="BX457" s="210">
        <f t="shared" si="88"/>
        <v>2.2200000000000002</v>
      </c>
      <c r="BY457" s="210">
        <f t="shared" si="89"/>
        <v>13.098000000000003</v>
      </c>
      <c r="BZ457" s="210">
        <f ca="1">IF(L457="BR",'Impostos e Frete'!$F$6,IF(L457="EU",'Impostos e Frete'!$I$3,IF(L457="CN",'Impostos e Frete'!$I$4,IF(L457="JP",'Impostos e Frete'!$I$5,IF(L457="RU",'Impostos e Frete'!$I$7,"ERRO")))))</f>
        <v>0.1410816</v>
      </c>
      <c r="CA457" s="210">
        <f>VLOOKUP(L457,'Impostos e Frete'!$A$3:$B$7,2,0)*'Preços e Condições'!BY457</f>
        <v>1.7027400000000004</v>
      </c>
      <c r="CB457" s="147">
        <f t="shared" si="90"/>
        <v>0</v>
      </c>
      <c r="CC457" s="147">
        <f>IF(X457="BRL",'Impostos e Frete'!$B$11,'Impostos e Frete'!$B$12)</f>
        <v>9.1999999999999998E-2</v>
      </c>
      <c r="CD457" s="211">
        <f t="shared" ca="1" si="91"/>
        <v>15.033821600000003</v>
      </c>
      <c r="CE457" s="212">
        <f t="shared" ca="1" si="92"/>
        <v>1.0523675120000002</v>
      </c>
      <c r="CF457" s="213">
        <f>VLOOKUP(L457,'Impostos e Frete'!$A$3:$C$7,3,0)</f>
        <v>105</v>
      </c>
      <c r="CG457" s="213">
        <f t="shared" si="93"/>
        <v>90</v>
      </c>
      <c r="CH457" s="213">
        <f t="shared" si="94"/>
        <v>-15</v>
      </c>
      <c r="CI457" s="214">
        <f t="shared" ca="1" si="95"/>
        <v>0.11233397754296881</v>
      </c>
      <c r="CJ457" s="215">
        <f t="shared" ca="1" si="96"/>
        <v>15.146155577542972</v>
      </c>
      <c r="CK457" s="216">
        <f t="shared" ca="1" si="97"/>
        <v>1.060230890428008</v>
      </c>
    </row>
    <row r="458" spans="1:89">
      <c r="A458" s="203">
        <v>7004755</v>
      </c>
      <c r="B458" s="186">
        <v>483</v>
      </c>
      <c r="C458" s="196">
        <v>70</v>
      </c>
      <c r="D458" s="196">
        <v>1870</v>
      </c>
      <c r="E458" s="178" t="s">
        <v>50</v>
      </c>
      <c r="F458" s="179" t="s">
        <v>67</v>
      </c>
      <c r="G458" s="185" t="s">
        <v>374</v>
      </c>
      <c r="H458" s="178" t="s">
        <v>63</v>
      </c>
      <c r="I458" s="178"/>
      <c r="J458" s="178"/>
      <c r="K458" s="178"/>
      <c r="L458" s="178" t="s">
        <v>59</v>
      </c>
      <c r="M458" s="178">
        <v>90</v>
      </c>
      <c r="N458" s="178"/>
      <c r="O458" s="178"/>
      <c r="P458" s="178"/>
      <c r="Q458" s="178"/>
      <c r="R458" s="178" t="s">
        <v>19</v>
      </c>
      <c r="S458" s="181"/>
      <c r="T458" s="181"/>
      <c r="U458" s="182"/>
      <c r="V458" s="182" t="s">
        <v>35</v>
      </c>
      <c r="W458" s="183">
        <v>25</v>
      </c>
      <c r="X458" s="182" t="s">
        <v>51</v>
      </c>
      <c r="Y458" s="202"/>
      <c r="Z458" s="202"/>
      <c r="AA458" s="202"/>
      <c r="AB458" s="202"/>
      <c r="AC458" s="202"/>
      <c r="AD458" s="202"/>
      <c r="AE458" s="202"/>
      <c r="AF458" s="202"/>
      <c r="AG458" s="202"/>
      <c r="AH458" s="202"/>
      <c r="AI458" s="202"/>
      <c r="AJ458" s="202"/>
      <c r="AK458" s="202"/>
      <c r="AL458" s="202"/>
      <c r="AM458" s="202"/>
      <c r="AN458" s="202"/>
      <c r="AO458" s="202"/>
      <c r="AP458" s="202"/>
      <c r="AQ458" s="202"/>
      <c r="AR458" s="202"/>
      <c r="AS458" s="202"/>
      <c r="AT458" s="202"/>
      <c r="AU458" s="202"/>
      <c r="AV458" s="202"/>
      <c r="AW458" s="202"/>
      <c r="AX458" s="202"/>
      <c r="AY458" s="202"/>
      <c r="AZ458" s="202"/>
      <c r="BA458" s="202"/>
      <c r="BB458" s="202"/>
      <c r="BC458" s="202"/>
      <c r="BD458" s="202"/>
      <c r="BE458" s="184"/>
      <c r="BF458" s="202"/>
      <c r="BG458" s="202"/>
      <c r="BH458" s="202"/>
      <c r="BI458" s="202"/>
      <c r="BJ458" s="202"/>
      <c r="BK458" s="202"/>
      <c r="BL458" s="202">
        <v>2590</v>
      </c>
      <c r="BM458" s="202">
        <v>2590</v>
      </c>
      <c r="BN458" s="202">
        <v>2590</v>
      </c>
      <c r="BO458" s="202"/>
      <c r="BP458" s="202"/>
      <c r="BQ458" s="202"/>
      <c r="BR458" s="202"/>
      <c r="BS458" s="202"/>
      <c r="BT458" s="202"/>
      <c r="BU458" s="146" cm="1">
        <f t="array" ref="BU458">LOOKUP(2,1/(Y458:BT458&lt;&gt;""),Y458:BH458)</f>
        <v>2590</v>
      </c>
      <c r="BV458" s="145" cm="1">
        <f t="array" aca="1" ref="BV458" ca="1">_xlfn.LET(
    _xlpm.last_col_idx, LOOKUP(2, 1/(Y458:BT458&lt;&gt;""), COLUMN(Y458:BT458) - COLUMN(Y458) + 1),
    _xlpm.header_val, INDEX($Y$3:$BT$3, 1, _xlpm.last_col_idx),
    _xlpm.header_date, IF(ISNUMBER(_xlpm.header_val), _xlpm.header_val, DATEVALUE(_xlpm.header_val)),
    IF(_xlpm.header_date &gt; TODAY(), TODAY(), _xlpm.header_date)
)</f>
        <v>46174</v>
      </c>
      <c r="BW458" s="209" cm="1">
        <f t="array" ref="BW458">(LOOKUP(2,1/(BH458:BT458&lt;&gt;""),BH458:BT458))/(INDEX(BH458:BT458,MATCH(TRUE,INDEX((BH458:BT458&lt;&gt;0),0),0)))-1</f>
        <v>0</v>
      </c>
      <c r="BX458" s="210">
        <f t="shared" si="88"/>
        <v>2.59</v>
      </c>
      <c r="BY458" s="210">
        <f t="shared" si="89"/>
        <v>15.281000000000001</v>
      </c>
      <c r="BZ458" s="210">
        <f ca="1">IF(L458="BR",'Impostos e Frete'!$F$6,IF(L458="EU",'Impostos e Frete'!$I$3,IF(L458="CN",'Impostos e Frete'!$I$4,IF(L458="JP",'Impostos e Frete'!$I$5,IF(L458="RU",'Impostos e Frete'!$I$7,"ERRO")))))</f>
        <v>0.1410816</v>
      </c>
      <c r="CA458" s="210">
        <f>VLOOKUP(L458,'Impostos e Frete'!$A$3:$B$7,2,0)*'Preços e Condições'!BY458</f>
        <v>1.9865300000000001</v>
      </c>
      <c r="CB458" s="147">
        <f t="shared" si="90"/>
        <v>0</v>
      </c>
      <c r="CC458" s="147">
        <f>IF(X458="BRL",'Impostos e Frete'!$B$11,'Impostos e Frete'!$B$12)</f>
        <v>9.1999999999999998E-2</v>
      </c>
      <c r="CD458" s="211">
        <f t="shared" ca="1" si="91"/>
        <v>17.500611599999999</v>
      </c>
      <c r="CE458" s="212">
        <f t="shared" ca="1" si="92"/>
        <v>1.2250428120000001</v>
      </c>
      <c r="CF458" s="213">
        <f>VLOOKUP(L458,'Impostos e Frete'!$A$3:$C$7,3,0)</f>
        <v>105</v>
      </c>
      <c r="CG458" s="213">
        <f t="shared" si="93"/>
        <v>90</v>
      </c>
      <c r="CH458" s="213">
        <f t="shared" si="94"/>
        <v>-15</v>
      </c>
      <c r="CI458" s="214">
        <f t="shared" ca="1" si="95"/>
        <v>0.13076603958521105</v>
      </c>
      <c r="CJ458" s="215">
        <f t="shared" ca="1" si="96"/>
        <v>17.63137763958521</v>
      </c>
      <c r="CK458" s="216">
        <f t="shared" ca="1" si="97"/>
        <v>1.2341964347709649</v>
      </c>
    </row>
    <row r="459" spans="1:89">
      <c r="A459" s="203">
        <v>7004756</v>
      </c>
      <c r="B459" s="186">
        <v>689</v>
      </c>
      <c r="C459" s="196">
        <v>70</v>
      </c>
      <c r="D459" s="196"/>
      <c r="E459" s="178" t="s">
        <v>50</v>
      </c>
      <c r="F459" s="197" t="s">
        <v>67</v>
      </c>
      <c r="G459" s="198" t="s">
        <v>375</v>
      </c>
      <c r="H459" s="178" t="s">
        <v>63</v>
      </c>
      <c r="I459" s="196"/>
      <c r="J459" s="196"/>
      <c r="K459" s="196"/>
      <c r="L459" s="196" t="s">
        <v>59</v>
      </c>
      <c r="M459" s="196">
        <v>90</v>
      </c>
      <c r="N459" s="196"/>
      <c r="O459" s="196"/>
      <c r="P459" s="196"/>
      <c r="Q459" s="196"/>
      <c r="R459" s="196" t="s">
        <v>19</v>
      </c>
      <c r="S459" s="200"/>
      <c r="T459" s="200"/>
      <c r="U459" s="201"/>
      <c r="V459" s="201" t="s">
        <v>35</v>
      </c>
      <c r="W459" s="199">
        <v>100</v>
      </c>
      <c r="X459" s="182" t="s">
        <v>51</v>
      </c>
      <c r="Y459" s="202"/>
      <c r="Z459" s="202"/>
      <c r="AA459" s="202"/>
      <c r="AB459" s="202"/>
      <c r="AC459" s="202"/>
      <c r="AD459" s="202"/>
      <c r="AE459" s="202"/>
      <c r="AF459" s="202"/>
      <c r="AG459" s="202"/>
      <c r="AH459" s="202"/>
      <c r="AI459" s="202"/>
      <c r="AJ459" s="202"/>
      <c r="AK459" s="202"/>
      <c r="AL459" s="202"/>
      <c r="AM459" s="202"/>
      <c r="AN459" s="202"/>
      <c r="AO459" s="202"/>
      <c r="AP459" s="202"/>
      <c r="AQ459" s="202"/>
      <c r="AR459" s="202"/>
      <c r="AS459" s="202"/>
      <c r="AT459" s="202"/>
      <c r="AU459" s="202"/>
      <c r="AV459" s="202"/>
      <c r="AW459" s="202"/>
      <c r="AX459" s="202"/>
      <c r="AY459" s="202"/>
      <c r="AZ459" s="202"/>
      <c r="BA459" s="202"/>
      <c r="BB459" s="202"/>
      <c r="BC459" s="202"/>
      <c r="BD459" s="202"/>
      <c r="BE459" s="202"/>
      <c r="BF459" s="202"/>
      <c r="BG459" s="202"/>
      <c r="BH459" s="202"/>
      <c r="BI459" s="202">
        <v>1790</v>
      </c>
      <c r="BJ459" s="202">
        <v>1790</v>
      </c>
      <c r="BK459" s="202">
        <v>1790</v>
      </c>
      <c r="BL459" s="202">
        <v>1920</v>
      </c>
      <c r="BM459" s="202">
        <v>1920</v>
      </c>
      <c r="BN459" s="202">
        <v>1920</v>
      </c>
      <c r="BO459" s="202"/>
      <c r="BP459" s="202"/>
      <c r="BQ459" s="202"/>
      <c r="BR459" s="202"/>
      <c r="BS459" s="202"/>
      <c r="BT459" s="202"/>
      <c r="BU459" s="146" cm="1">
        <f t="array" ref="BU459">LOOKUP(2,1/(Y459:BT459&lt;&gt;""),Y459:BH459)</f>
        <v>1920</v>
      </c>
      <c r="BV459" s="145" cm="1">
        <f t="array" aca="1" ref="BV459" ca="1">_xlfn.LET(
    _xlpm.last_col_idx, LOOKUP(2, 1/(Y459:BT459&lt;&gt;""), COLUMN(Y459:BT459) - COLUMN(Y459) + 1),
    _xlpm.header_val, INDEX($Y$3:$BT$3, 1, _xlpm.last_col_idx),
    _xlpm.header_date, IF(ISNUMBER(_xlpm.header_val), _xlpm.header_val, DATEVALUE(_xlpm.header_val)),
    IF(_xlpm.header_date &gt; TODAY(), TODAY(), _xlpm.header_date)
)</f>
        <v>46174</v>
      </c>
      <c r="BW459" s="209" cm="1">
        <f t="array" ref="BW459">(LOOKUP(2,1/(BH459:BT459&lt;&gt;""),BH459:BT459))/(INDEX(BH459:BT459,MATCH(TRUE,INDEX((BH459:BT459&lt;&gt;0),0),0)))-1</f>
        <v>7.2625698324022325E-2</v>
      </c>
      <c r="BX459" s="210">
        <f t="shared" si="88"/>
        <v>1.92</v>
      </c>
      <c r="BY459" s="210">
        <f t="shared" si="89"/>
        <v>11.327999999999999</v>
      </c>
      <c r="BZ459" s="210">
        <f ca="1">IF(L459="BR",'Impostos e Frete'!$F$6,IF(L459="EU",'Impostos e Frete'!$I$3,IF(L459="CN",'Impostos e Frete'!$I$4,IF(L459="JP",'Impostos e Frete'!$I$5,IF(L459="RU",'Impostos e Frete'!$I$7,"ERRO")))))</f>
        <v>0.1410816</v>
      </c>
      <c r="CA459" s="210">
        <f>VLOOKUP(L459,'Impostos e Frete'!$A$3:$B$7,2,0)*'Preços e Condições'!BY459</f>
        <v>1.4726399999999999</v>
      </c>
      <c r="CB459" s="147">
        <f t="shared" si="90"/>
        <v>0</v>
      </c>
      <c r="CC459" s="147">
        <f>IF(X459="BRL",'Impostos e Frete'!$B$11,'Impostos e Frete'!$B$12)</f>
        <v>9.1999999999999998E-2</v>
      </c>
      <c r="CD459" s="211">
        <f t="shared" ca="1" si="91"/>
        <v>13.0337216</v>
      </c>
      <c r="CE459" s="212">
        <f t="shared" ca="1" si="92"/>
        <v>0.9123605119999999</v>
      </c>
      <c r="CF459" s="213">
        <f>VLOOKUP(L459,'Impostos e Frete'!$A$3:$C$7,3,0)</f>
        <v>105</v>
      </c>
      <c r="CG459" s="213">
        <f t="shared" si="93"/>
        <v>90</v>
      </c>
      <c r="CH459" s="213">
        <f t="shared" si="94"/>
        <v>-15</v>
      </c>
      <c r="CI459" s="214">
        <f t="shared" ca="1" si="95"/>
        <v>9.7389062373581581E-2</v>
      </c>
      <c r="CJ459" s="215">
        <f t="shared" ca="1" si="96"/>
        <v>13.131110662373581</v>
      </c>
      <c r="CK459" s="216">
        <f t="shared" ca="1" si="97"/>
        <v>0.91917774636615068</v>
      </c>
    </row>
    <row r="460" spans="1:89">
      <c r="A460" s="203">
        <v>7004757</v>
      </c>
      <c r="B460" s="186">
        <v>9370</v>
      </c>
      <c r="C460" s="196">
        <v>65</v>
      </c>
      <c r="D460" s="196">
        <v>1880</v>
      </c>
      <c r="E460" s="178" t="s">
        <v>209</v>
      </c>
      <c r="F460" s="197" t="s">
        <v>240</v>
      </c>
      <c r="G460" s="180" t="s">
        <v>305</v>
      </c>
      <c r="H460" s="178" t="s">
        <v>43</v>
      </c>
      <c r="I460" s="178" t="s">
        <v>241</v>
      </c>
      <c r="J460" s="178"/>
      <c r="K460" s="178"/>
      <c r="L460" s="178" t="s">
        <v>60</v>
      </c>
      <c r="M460" s="178">
        <v>90</v>
      </c>
      <c r="N460" s="178">
        <v>3300</v>
      </c>
      <c r="O460" s="178"/>
      <c r="P460" s="178"/>
      <c r="Q460" s="178"/>
      <c r="R460" s="178" t="s">
        <v>19</v>
      </c>
      <c r="S460" s="181"/>
      <c r="T460" s="181"/>
      <c r="U460" s="182"/>
      <c r="V460" s="182" t="s">
        <v>35</v>
      </c>
      <c r="W460" s="183">
        <v>100</v>
      </c>
      <c r="X460" s="182" t="s">
        <v>267</v>
      </c>
      <c r="Y460" s="202"/>
      <c r="Z460" s="202"/>
      <c r="AA460" s="202"/>
      <c r="AB460" s="202"/>
      <c r="AC460" s="202"/>
      <c r="AD460" s="202"/>
      <c r="AE460" s="202"/>
      <c r="AF460" s="202"/>
      <c r="AG460" s="202"/>
      <c r="AH460" s="202"/>
      <c r="AI460" s="202"/>
      <c r="AJ460" s="202"/>
      <c r="AK460" s="202"/>
      <c r="AL460" s="202"/>
      <c r="AM460" s="202"/>
      <c r="AN460" s="202"/>
      <c r="AO460" s="202"/>
      <c r="AP460" s="202"/>
      <c r="AQ460" s="202"/>
      <c r="AR460" s="202"/>
      <c r="AS460" s="202"/>
      <c r="AT460" s="202"/>
      <c r="AU460" s="202"/>
      <c r="AV460" s="202"/>
      <c r="AW460" s="202"/>
      <c r="AX460" s="202"/>
      <c r="AY460" s="202"/>
      <c r="AZ460" s="202"/>
      <c r="BA460" s="202"/>
      <c r="BB460" s="202"/>
      <c r="BC460" s="202"/>
      <c r="BD460" s="202"/>
      <c r="BE460" s="202"/>
      <c r="BF460" s="202"/>
      <c r="BG460" s="202"/>
      <c r="BH460" s="202"/>
      <c r="BI460" s="184">
        <v>19500</v>
      </c>
      <c r="BJ460" s="184">
        <v>19500</v>
      </c>
      <c r="BK460" s="184">
        <v>19500</v>
      </c>
      <c r="BL460" s="202">
        <v>19500</v>
      </c>
      <c r="BM460" s="202">
        <v>19500</v>
      </c>
      <c r="BN460" s="202">
        <v>19500</v>
      </c>
      <c r="BO460" s="202"/>
      <c r="BP460" s="202"/>
      <c r="BQ460" s="202"/>
      <c r="BR460" s="202"/>
      <c r="BS460" s="202"/>
      <c r="BT460" s="202"/>
      <c r="BU460" s="146" cm="1">
        <f t="array" ref="BU460">LOOKUP(2,1/(Y460:BT460&lt;&gt;""),Y460:BH460)</f>
        <v>19500</v>
      </c>
      <c r="BV460" s="145" cm="1">
        <f t="array" aca="1" ref="BV460" ca="1">_xlfn.LET(
    _xlpm.last_col_idx, LOOKUP(2, 1/(Y460:BT460&lt;&gt;""), COLUMN(Y460:BT460) - COLUMN(Y460) + 1),
    _xlpm.header_val, INDEX($Y$3:$BT$3, 1, _xlpm.last_col_idx),
    _xlpm.header_date, IF(ISNUMBER(_xlpm.header_val), _xlpm.header_val, DATEVALUE(_xlpm.header_val)),
    IF(_xlpm.header_date &gt; TODAY(), TODAY(), _xlpm.header_date)
)</f>
        <v>46174</v>
      </c>
      <c r="BW460" s="209" cm="1">
        <f t="array" ref="BW460">(LOOKUP(2,1/(BH460:BT460&lt;&gt;""),BH460:BT460))/(INDEX(BH460:BT460,MATCH(TRUE,INDEX((BH460:BT460&lt;&gt;0),0),0)))-1</f>
        <v>0</v>
      </c>
      <c r="BX460" s="210">
        <f t="shared" si="88"/>
        <v>19.5</v>
      </c>
      <c r="BY460" s="210">
        <f t="shared" si="89"/>
        <v>14.625</v>
      </c>
      <c r="BZ460" s="210">
        <f ca="1">IF(L460="BR",'Impostos e Frete'!$F$6,IF(L460="EU",'Impostos e Frete'!$I$3,IF(L460="CN",'Impostos e Frete'!$I$4,IF(L460="JP",'Impostos e Frete'!$I$5,IF(L460="RU",'Impostos e Frete'!$I$7,"ERRO")))))</f>
        <v>1.1330439999999999</v>
      </c>
      <c r="CA460" s="210">
        <f>VLOOKUP(L460,'Impostos e Frete'!$A$3:$B$7,2,0)*'Preços e Condições'!BY460</f>
        <v>2.0475000000000003</v>
      </c>
      <c r="CB460" s="147">
        <f t="shared" si="90"/>
        <v>0</v>
      </c>
      <c r="CC460" s="147">
        <f>IF(X460="BRL",'Impostos e Frete'!$B$11,'Impostos e Frete'!$B$12)</f>
        <v>9.1999999999999998E-2</v>
      </c>
      <c r="CD460" s="211">
        <f t="shared" ca="1" si="91"/>
        <v>17.897544</v>
      </c>
      <c r="CE460" s="212">
        <f t="shared" ca="1" si="92"/>
        <v>1.1633403600000001</v>
      </c>
      <c r="CF460" s="213">
        <f>VLOOKUP(L460,'Impostos e Frete'!$A$3:$C$7,3,0)</f>
        <v>120</v>
      </c>
      <c r="CG460" s="213">
        <f t="shared" si="93"/>
        <v>90</v>
      </c>
      <c r="CH460" s="213">
        <f t="shared" si="94"/>
        <v>-30</v>
      </c>
      <c r="CI460" s="214">
        <f t="shared" ca="1" si="95"/>
        <v>0.26846315999999959</v>
      </c>
      <c r="CJ460" s="215">
        <f t="shared" ca="1" si="96"/>
        <v>18.166007159999999</v>
      </c>
      <c r="CK460" s="216">
        <f t="shared" ca="1" si="97"/>
        <v>1.1807904654000001</v>
      </c>
    </row>
    <row r="461" spans="1:89">
      <c r="A461" s="203">
        <v>7004758</v>
      </c>
      <c r="B461" s="186">
        <v>104</v>
      </c>
      <c r="C461" s="196">
        <v>70</v>
      </c>
      <c r="D461" s="196"/>
      <c r="E461" s="178" t="s">
        <v>50</v>
      </c>
      <c r="F461" s="197" t="s">
        <v>3</v>
      </c>
      <c r="G461" s="185" t="s">
        <v>297</v>
      </c>
      <c r="H461" s="178" t="s">
        <v>43</v>
      </c>
      <c r="I461" s="178" t="s">
        <v>448</v>
      </c>
      <c r="J461" s="178"/>
      <c r="K461" s="178"/>
      <c r="L461" s="178" t="s">
        <v>60</v>
      </c>
      <c r="M461" s="178">
        <v>90</v>
      </c>
      <c r="N461" s="178">
        <v>400</v>
      </c>
      <c r="O461" s="178"/>
      <c r="P461" s="178">
        <v>90</v>
      </c>
      <c r="Q461" s="178"/>
      <c r="R461" s="178" t="s">
        <v>19</v>
      </c>
      <c r="S461" s="181"/>
      <c r="T461" s="181"/>
      <c r="U461" s="182"/>
      <c r="V461" s="182" t="s">
        <v>35</v>
      </c>
      <c r="W461" s="183">
        <v>100</v>
      </c>
      <c r="X461" s="182" t="s">
        <v>267</v>
      </c>
      <c r="Y461" s="202"/>
      <c r="Z461" s="202"/>
      <c r="AA461" s="202"/>
      <c r="AB461" s="202"/>
      <c r="AC461" s="202"/>
      <c r="AD461" s="202"/>
      <c r="AE461" s="202"/>
      <c r="AF461" s="202"/>
      <c r="AG461" s="202"/>
      <c r="AH461" s="202"/>
      <c r="AI461" s="202"/>
      <c r="AJ461" s="202"/>
      <c r="AK461" s="202"/>
      <c r="AL461" s="202"/>
      <c r="AM461" s="202"/>
      <c r="AN461" s="202"/>
      <c r="AO461" s="202"/>
      <c r="AP461" s="202"/>
      <c r="AQ461" s="202"/>
      <c r="AR461" s="202"/>
      <c r="AS461" s="202"/>
      <c r="AT461" s="202"/>
      <c r="AU461" s="202"/>
      <c r="AV461" s="202"/>
      <c r="AW461" s="202"/>
      <c r="AX461" s="202"/>
      <c r="AY461" s="202"/>
      <c r="AZ461" s="202"/>
      <c r="BA461" s="202"/>
      <c r="BB461" s="202"/>
      <c r="BC461" s="202"/>
      <c r="BD461" s="202"/>
      <c r="BE461" s="202"/>
      <c r="BF461" s="202"/>
      <c r="BG461" s="202"/>
      <c r="BH461" s="202"/>
      <c r="BI461" s="184">
        <v>11700</v>
      </c>
      <c r="BJ461" s="184">
        <v>11700</v>
      </c>
      <c r="BK461" s="184">
        <v>11700</v>
      </c>
      <c r="BL461" s="184">
        <v>11700</v>
      </c>
      <c r="BM461" s="184">
        <v>11700</v>
      </c>
      <c r="BN461" s="184">
        <v>11700</v>
      </c>
      <c r="BO461" s="202"/>
      <c r="BP461" s="202"/>
      <c r="BQ461" s="202"/>
      <c r="BR461" s="202"/>
      <c r="BS461" s="202"/>
      <c r="BT461" s="202"/>
      <c r="BU461" s="146" cm="1">
        <f t="array" ref="BU461">LOOKUP(2,1/(Y461:BT461&lt;&gt;""),Y461:BH461)</f>
        <v>11700</v>
      </c>
      <c r="BV461" s="145" cm="1">
        <f t="array" aca="1" ref="BV461" ca="1">_xlfn.LET(
    _xlpm.last_col_idx, LOOKUP(2, 1/(Y461:BT461&lt;&gt;""), COLUMN(Y461:BT461) - COLUMN(Y461) + 1),
    _xlpm.header_val, INDEX($Y$3:$BT$3, 1, _xlpm.last_col_idx),
    _xlpm.header_date, IF(ISNUMBER(_xlpm.header_val), _xlpm.header_val, DATEVALUE(_xlpm.header_val)),
    IF(_xlpm.header_date &gt; TODAY(), TODAY(), _xlpm.header_date)
)</f>
        <v>46174</v>
      </c>
      <c r="BW461" s="209" cm="1">
        <f t="array" ref="BW461">(LOOKUP(2,1/(BH461:BT461&lt;&gt;""),BH461:BT461))/(INDEX(BH461:BT461,MATCH(TRUE,INDEX((BH461:BT461&lt;&gt;0),0),0)))-1</f>
        <v>0</v>
      </c>
      <c r="BX461" s="210">
        <f t="shared" si="88"/>
        <v>11.7</v>
      </c>
      <c r="BY461" s="210">
        <f t="shared" si="89"/>
        <v>8.7749999999999986</v>
      </c>
      <c r="BZ461" s="210">
        <f ca="1">IF(L461="BR",'Impostos e Frete'!$F$6,IF(L461="EU",'Impostos e Frete'!$I$3,IF(L461="CN",'Impostos e Frete'!$I$4,IF(L461="JP",'Impostos e Frete'!$I$5,IF(L461="RU",'Impostos e Frete'!$I$7,"ERRO")))))</f>
        <v>1.1330439999999999</v>
      </c>
      <c r="CA461" s="210">
        <f>VLOOKUP(L461,'Impostos e Frete'!$A$3:$B$7,2,0)*'Preços e Condições'!BY461</f>
        <v>1.2284999999999999</v>
      </c>
      <c r="CB461" s="147">
        <f t="shared" si="90"/>
        <v>0</v>
      </c>
      <c r="CC461" s="147">
        <f>IF(X461="BRL",'Impostos e Frete'!$B$11,'Impostos e Frete'!$B$12)</f>
        <v>9.1999999999999998E-2</v>
      </c>
      <c r="CD461" s="211">
        <f t="shared" ca="1" si="91"/>
        <v>11.228543999999999</v>
      </c>
      <c r="CE461" s="212">
        <f t="shared" ca="1" si="92"/>
        <v>0.78599808000000004</v>
      </c>
      <c r="CF461" s="213">
        <f>VLOOKUP(L461,'Impostos e Frete'!$A$3:$C$7,3,0)</f>
        <v>120</v>
      </c>
      <c r="CG461" s="213">
        <f t="shared" si="93"/>
        <v>90</v>
      </c>
      <c r="CH461" s="213">
        <f t="shared" si="94"/>
        <v>-30</v>
      </c>
      <c r="CI461" s="214">
        <f t="shared" ca="1" si="95"/>
        <v>0.16842815999999949</v>
      </c>
      <c r="CJ461" s="215">
        <f t="shared" ca="1" si="96"/>
        <v>11.396972159999999</v>
      </c>
      <c r="CK461" s="216">
        <f t="shared" ca="1" si="97"/>
        <v>0.79778805119999996</v>
      </c>
    </row>
    <row r="462" spans="1:89">
      <c r="A462" s="203">
        <v>7004759</v>
      </c>
      <c r="B462" s="186">
        <v>104</v>
      </c>
      <c r="C462" s="196">
        <v>80</v>
      </c>
      <c r="D462" s="196"/>
      <c r="E462" s="178" t="s">
        <v>49</v>
      </c>
      <c r="F462" s="197" t="s">
        <v>3</v>
      </c>
      <c r="G462" s="185" t="s">
        <v>297</v>
      </c>
      <c r="H462" s="178" t="s">
        <v>43</v>
      </c>
      <c r="I462" s="178" t="s">
        <v>448</v>
      </c>
      <c r="J462" s="178"/>
      <c r="K462" s="178"/>
      <c r="L462" s="178" t="s">
        <v>60</v>
      </c>
      <c r="M462" s="178">
        <v>90</v>
      </c>
      <c r="N462" s="178">
        <v>400</v>
      </c>
      <c r="O462" s="178"/>
      <c r="P462" s="178">
        <v>90</v>
      </c>
      <c r="Q462" s="178"/>
      <c r="R462" s="178" t="s">
        <v>19</v>
      </c>
      <c r="S462" s="181"/>
      <c r="T462" s="181"/>
      <c r="U462" s="182"/>
      <c r="V462" s="182" t="s">
        <v>35</v>
      </c>
      <c r="W462" s="183">
        <v>100</v>
      </c>
      <c r="X462" s="182" t="s">
        <v>267</v>
      </c>
      <c r="Y462" s="202"/>
      <c r="Z462" s="202"/>
      <c r="AA462" s="202"/>
      <c r="AB462" s="202"/>
      <c r="AC462" s="202"/>
      <c r="AD462" s="202"/>
      <c r="AE462" s="202"/>
      <c r="AF462" s="202"/>
      <c r="AG462" s="202"/>
      <c r="AH462" s="202"/>
      <c r="AI462" s="202"/>
      <c r="AJ462" s="202"/>
      <c r="AK462" s="202"/>
      <c r="AL462" s="202"/>
      <c r="AM462" s="202"/>
      <c r="AN462" s="202"/>
      <c r="AO462" s="202"/>
      <c r="AP462" s="202"/>
      <c r="AQ462" s="202"/>
      <c r="AR462" s="202"/>
      <c r="AS462" s="202"/>
      <c r="AT462" s="202"/>
      <c r="AU462" s="202"/>
      <c r="AV462" s="202"/>
      <c r="AW462" s="202"/>
      <c r="AX462" s="202"/>
      <c r="AY462" s="202"/>
      <c r="AZ462" s="202"/>
      <c r="BA462" s="202"/>
      <c r="BB462" s="202"/>
      <c r="BC462" s="202"/>
      <c r="BD462" s="202"/>
      <c r="BE462" s="202"/>
      <c r="BF462" s="202"/>
      <c r="BG462" s="202"/>
      <c r="BH462" s="202"/>
      <c r="BI462" s="184">
        <v>11700</v>
      </c>
      <c r="BJ462" s="184">
        <v>11700</v>
      </c>
      <c r="BK462" s="184">
        <v>11700</v>
      </c>
      <c r="BL462" s="184">
        <v>11700</v>
      </c>
      <c r="BM462" s="184">
        <v>11700</v>
      </c>
      <c r="BN462" s="184">
        <v>11700</v>
      </c>
      <c r="BO462" s="202"/>
      <c r="BP462" s="202"/>
      <c r="BQ462" s="202"/>
      <c r="BR462" s="202"/>
      <c r="BS462" s="202"/>
      <c r="BT462" s="202"/>
      <c r="BU462" s="146" cm="1">
        <f t="array" ref="BU462">LOOKUP(2,1/(Y462:BT462&lt;&gt;""),Y462:BH462)</f>
        <v>11700</v>
      </c>
      <c r="BV462" s="145" cm="1">
        <f t="array" aca="1" ref="BV462" ca="1">_xlfn.LET(
    _xlpm.last_col_idx, LOOKUP(2, 1/(Y462:BT462&lt;&gt;""), COLUMN(Y462:BT462) - COLUMN(Y462) + 1),
    _xlpm.header_val, INDEX($Y$3:$BT$3, 1, _xlpm.last_col_idx),
    _xlpm.header_date, IF(ISNUMBER(_xlpm.header_val), _xlpm.header_val, DATEVALUE(_xlpm.header_val)),
    IF(_xlpm.header_date &gt; TODAY(), TODAY(), _xlpm.header_date)
)</f>
        <v>46174</v>
      </c>
      <c r="BW462" s="209" cm="1">
        <f t="array" ref="BW462">(LOOKUP(2,1/(BH462:BT462&lt;&gt;""),BH462:BT462))/(INDEX(BH462:BT462,MATCH(TRUE,INDEX((BH462:BT462&lt;&gt;0),0),0)))-1</f>
        <v>0</v>
      </c>
      <c r="BX462" s="210">
        <f t="shared" si="88"/>
        <v>11.7</v>
      </c>
      <c r="BY462" s="210">
        <f t="shared" si="89"/>
        <v>8.7749999999999986</v>
      </c>
      <c r="BZ462" s="210">
        <f ca="1">IF(L462="BR",'Impostos e Frete'!$F$6,IF(L462="EU",'Impostos e Frete'!$I$3,IF(L462="CN",'Impostos e Frete'!$I$4,IF(L462="JP",'Impostos e Frete'!$I$5,IF(L462="RU",'Impostos e Frete'!$I$7,"ERRO")))))</f>
        <v>1.1330439999999999</v>
      </c>
      <c r="CA462" s="210">
        <f>VLOOKUP(L462,'Impostos e Frete'!$A$3:$B$7,2,0)*'Preços e Condições'!BY462</f>
        <v>1.2284999999999999</v>
      </c>
      <c r="CB462" s="147">
        <f t="shared" si="90"/>
        <v>0</v>
      </c>
      <c r="CC462" s="147">
        <f>IF(X462="BRL",'Impostos e Frete'!$B$11,'Impostos e Frete'!$B$12)</f>
        <v>9.1999999999999998E-2</v>
      </c>
      <c r="CD462" s="211">
        <f t="shared" ca="1" si="91"/>
        <v>11.228543999999999</v>
      </c>
      <c r="CE462" s="212">
        <f t="shared" ca="1" si="92"/>
        <v>0.89828352</v>
      </c>
      <c r="CF462" s="213">
        <f>VLOOKUP(L462,'Impostos e Frete'!$A$3:$C$7,3,0)</f>
        <v>120</v>
      </c>
      <c r="CG462" s="213">
        <f t="shared" si="93"/>
        <v>90</v>
      </c>
      <c r="CH462" s="213">
        <f t="shared" si="94"/>
        <v>-30</v>
      </c>
      <c r="CI462" s="214">
        <f t="shared" ca="1" si="95"/>
        <v>0.16842815999999949</v>
      </c>
      <c r="CJ462" s="215">
        <f t="shared" ca="1" si="96"/>
        <v>11.396972159999999</v>
      </c>
      <c r="CK462" s="216">
        <f t="shared" ca="1" si="97"/>
        <v>0.91175777279999992</v>
      </c>
    </row>
    <row r="463" spans="1:89">
      <c r="A463" s="203">
        <v>7004777</v>
      </c>
      <c r="B463" s="186">
        <v>128</v>
      </c>
      <c r="C463" s="196">
        <v>65</v>
      </c>
      <c r="D463" s="196"/>
      <c r="E463" s="178" t="s">
        <v>50</v>
      </c>
      <c r="F463" s="197" t="s">
        <v>272</v>
      </c>
      <c r="G463" s="185" t="s">
        <v>452</v>
      </c>
      <c r="H463" s="178" t="s">
        <v>43</v>
      </c>
      <c r="I463" s="178">
        <v>128</v>
      </c>
      <c r="J463" s="178"/>
      <c r="K463" s="178"/>
      <c r="L463" s="183" t="s">
        <v>455</v>
      </c>
      <c r="M463" s="183">
        <v>45</v>
      </c>
      <c r="N463" s="183"/>
      <c r="O463" s="178"/>
      <c r="P463" s="178"/>
      <c r="Q463" s="178"/>
      <c r="R463" s="178" t="s">
        <v>126</v>
      </c>
      <c r="S463" s="181"/>
      <c r="T463" s="181"/>
      <c r="U463" s="182"/>
      <c r="V463" s="182" t="s">
        <v>35</v>
      </c>
      <c r="W463" s="183"/>
      <c r="X463" s="182" t="s">
        <v>453</v>
      </c>
      <c r="Y463" s="202"/>
      <c r="Z463" s="202"/>
      <c r="AA463" s="202"/>
      <c r="AB463" s="202"/>
      <c r="AC463" s="202"/>
      <c r="AD463" s="202"/>
      <c r="AE463" s="202"/>
      <c r="AF463" s="202"/>
      <c r="AG463" s="202"/>
      <c r="AH463" s="202"/>
      <c r="AI463" s="202"/>
      <c r="AJ463" s="202"/>
      <c r="AK463" s="202"/>
      <c r="AL463" s="202"/>
      <c r="AM463" s="202"/>
      <c r="AN463" s="202"/>
      <c r="AO463" s="202"/>
      <c r="AP463" s="202"/>
      <c r="AQ463" s="202"/>
      <c r="AR463" s="202"/>
      <c r="AS463" s="202"/>
      <c r="AT463" s="202"/>
      <c r="AU463" s="202"/>
      <c r="AV463" s="202"/>
      <c r="AW463" s="202"/>
      <c r="AX463" s="202"/>
      <c r="AY463" s="202"/>
      <c r="AZ463" s="202"/>
      <c r="BA463" s="202"/>
      <c r="BB463" s="202"/>
      <c r="BC463" s="202"/>
      <c r="BD463" s="202"/>
      <c r="BE463" s="202"/>
      <c r="BF463" s="202"/>
      <c r="BG463" s="202"/>
      <c r="BH463" s="202"/>
      <c r="BI463" s="184">
        <v>210000</v>
      </c>
      <c r="BJ463" s="184">
        <v>210000</v>
      </c>
      <c r="BK463" s="184">
        <v>210000</v>
      </c>
      <c r="BL463" s="184"/>
      <c r="BM463" s="184"/>
      <c r="BN463" s="184"/>
      <c r="BO463" s="202"/>
      <c r="BP463" s="202"/>
      <c r="BQ463" s="202"/>
      <c r="BR463" s="202"/>
      <c r="BS463" s="202"/>
      <c r="BT463" s="202"/>
      <c r="BU463" s="146" cm="1">
        <f t="array" ref="BU463">LOOKUP(2,1/(Y463:BT463&lt;&gt;""),Y463:BH463)</f>
        <v>210000</v>
      </c>
      <c r="BV463" s="145" cm="1">
        <f t="array" aca="1" ref="BV463" ca="1">_xlfn.LET(
    _xlpm.last_col_idx, LOOKUP(2, 1/(Y463:BT463&lt;&gt;""), COLUMN(Y463:BT463) - COLUMN(Y463) + 1),
    _xlpm.header_val, INDEX($Y$3:$BT$3, 1, _xlpm.last_col_idx),
    _xlpm.header_date, IF(ISNUMBER(_xlpm.header_val), _xlpm.header_val, DATEVALUE(_xlpm.header_val)),
    IF(_xlpm.header_date &gt; TODAY(), TODAY(), _xlpm.header_date)
)</f>
        <v>46082</v>
      </c>
      <c r="BW463" s="209" cm="1">
        <f t="array" ref="BW463">(LOOKUP(2,1/(BH463:BT463&lt;&gt;""),BH463:BT463))/(INDEX(BH463:BT463,MATCH(TRUE,INDEX((BH463:BT463&lt;&gt;0),0),0)))-1</f>
        <v>0</v>
      </c>
      <c r="BX463" s="210">
        <f t="shared" si="88"/>
        <v>210</v>
      </c>
      <c r="BY463" s="210">
        <f t="shared" si="89"/>
        <v>13.9377</v>
      </c>
      <c r="BZ463" s="210">
        <f>IF(L463="BR",'Impostos e Frete'!$F$6,IF(L463="EU",'Impostos e Frete'!$I$3,IF(L463="CN",'Impostos e Frete'!$I$4,IF(L463="JP",'Impostos e Frete'!$I$5,IF(L463="RU",'Impostos e Frete'!$I$7,"ERRO")))))</f>
        <v>0</v>
      </c>
      <c r="CA463" s="210">
        <f>VLOOKUP(L463,'Impostos e Frete'!$A$3:$B$7,2,0)*'Preços e Condições'!BY463</f>
        <v>1.811901</v>
      </c>
      <c r="CB463" s="147">
        <f t="shared" si="90"/>
        <v>-0.17699999999999999</v>
      </c>
      <c r="CC463" s="147">
        <f>IF(X463="BRL",'Impostos e Frete'!$B$11,'Impostos e Frete'!$B$12)</f>
        <v>9.1999999999999998E-2</v>
      </c>
      <c r="CD463" s="211">
        <f t="shared" si="91"/>
        <v>15.664601000000001</v>
      </c>
      <c r="CE463" s="212">
        <f t="shared" si="92"/>
        <v>1.0181990650000001</v>
      </c>
      <c r="CF463" s="213">
        <f>VLOOKUP(L463,'Impostos e Frete'!$A$3:$C$7,3,0)</f>
        <v>105</v>
      </c>
      <c r="CG463" s="213">
        <f t="shared" si="93"/>
        <v>45</v>
      </c>
      <c r="CH463" s="213">
        <f t="shared" si="94"/>
        <v>-60</v>
      </c>
      <c r="CI463" s="214">
        <f t="shared" si="95"/>
        <v>0.4734625652249953</v>
      </c>
      <c r="CJ463" s="215">
        <f t="shared" si="96"/>
        <v>16.138063565224996</v>
      </c>
      <c r="CK463" s="216">
        <f t="shared" si="97"/>
        <v>1.0489741317396248</v>
      </c>
    </row>
    <row r="464" spans="1:89">
      <c r="A464" s="203">
        <v>7004848</v>
      </c>
      <c r="B464" s="186">
        <v>104</v>
      </c>
      <c r="C464" s="196">
        <v>70</v>
      </c>
      <c r="D464" s="196"/>
      <c r="E464" s="196" t="s">
        <v>50</v>
      </c>
      <c r="F464" s="197" t="s">
        <v>240</v>
      </c>
      <c r="G464" s="185" t="s">
        <v>451</v>
      </c>
      <c r="H464" s="178" t="s">
        <v>43</v>
      </c>
      <c r="I464" s="178" t="s">
        <v>449</v>
      </c>
      <c r="J464" s="178"/>
      <c r="K464" s="178"/>
      <c r="L464" s="178" t="s">
        <v>60</v>
      </c>
      <c r="M464" s="178">
        <v>90</v>
      </c>
      <c r="N464" s="178">
        <v>3300</v>
      </c>
      <c r="O464" s="178"/>
      <c r="P464" s="178"/>
      <c r="Q464" s="178"/>
      <c r="R464" s="178" t="s">
        <v>19</v>
      </c>
      <c r="S464" s="181"/>
      <c r="T464" s="181"/>
      <c r="U464" s="182"/>
      <c r="V464" s="182" t="s">
        <v>35</v>
      </c>
      <c r="W464" s="183"/>
      <c r="X464" s="182" t="s">
        <v>267</v>
      </c>
      <c r="Y464" s="202"/>
      <c r="Z464" s="202"/>
      <c r="AA464" s="202"/>
      <c r="AB464" s="202"/>
      <c r="AC464" s="202"/>
      <c r="AD464" s="202"/>
      <c r="AE464" s="202"/>
      <c r="AF464" s="202"/>
      <c r="AG464" s="202"/>
      <c r="AH464" s="202"/>
      <c r="AI464" s="202"/>
      <c r="AJ464" s="202"/>
      <c r="AK464" s="202"/>
      <c r="AL464" s="202"/>
      <c r="AM464" s="202"/>
      <c r="AN464" s="202"/>
      <c r="AO464" s="202"/>
      <c r="AP464" s="202"/>
      <c r="AQ464" s="202"/>
      <c r="AR464" s="202"/>
      <c r="AS464" s="202"/>
      <c r="AT464" s="202"/>
      <c r="AU464" s="202"/>
      <c r="AV464" s="202"/>
      <c r="AW464" s="202"/>
      <c r="AX464" s="202"/>
      <c r="AY464" s="202"/>
      <c r="AZ464" s="202"/>
      <c r="BA464" s="202"/>
      <c r="BB464" s="202"/>
      <c r="BC464" s="202"/>
      <c r="BD464" s="202"/>
      <c r="BE464" s="202"/>
      <c r="BF464" s="202"/>
      <c r="BG464" s="202"/>
      <c r="BH464" s="202"/>
      <c r="BI464" s="184">
        <v>12000</v>
      </c>
      <c r="BJ464" s="184">
        <v>12000</v>
      </c>
      <c r="BK464" s="184">
        <v>12000</v>
      </c>
      <c r="BL464" s="184">
        <v>12000</v>
      </c>
      <c r="BM464" s="184">
        <v>12000</v>
      </c>
      <c r="BN464" s="184">
        <v>12000</v>
      </c>
      <c r="BO464" s="202"/>
      <c r="BP464" s="202"/>
      <c r="BQ464" s="202"/>
      <c r="BR464" s="202"/>
      <c r="BS464" s="202"/>
      <c r="BT464" s="202"/>
      <c r="BU464" s="146" cm="1">
        <f t="array" ref="BU464">LOOKUP(2,1/(Y464:BT464&lt;&gt;""),Y464:BH464)</f>
        <v>12000</v>
      </c>
      <c r="BV464" s="145" cm="1">
        <f t="array" aca="1" ref="BV464" ca="1">_xlfn.LET(
    _xlpm.last_col_idx, LOOKUP(2, 1/(Y464:BT464&lt;&gt;""), COLUMN(Y464:BT464) - COLUMN(Y464) + 1),
    _xlpm.header_val, INDEX($Y$3:$BT$3, 1, _xlpm.last_col_idx),
    _xlpm.header_date, IF(ISNUMBER(_xlpm.header_val), _xlpm.header_val, DATEVALUE(_xlpm.header_val)),
    IF(_xlpm.header_date &gt; TODAY(), TODAY(), _xlpm.header_date)
)</f>
        <v>46174</v>
      </c>
      <c r="BW464" s="209" cm="1">
        <f t="array" ref="BW464">(LOOKUP(2,1/(BH464:BT464&lt;&gt;""),BH464:BT464))/(INDEX(BH464:BT464,MATCH(TRUE,INDEX((BH464:BT464&lt;&gt;0),0),0)))-1</f>
        <v>0</v>
      </c>
      <c r="BX464" s="210">
        <f t="shared" si="88"/>
        <v>12</v>
      </c>
      <c r="BY464" s="210">
        <f t="shared" si="89"/>
        <v>9</v>
      </c>
      <c r="BZ464" s="210">
        <f ca="1">IF(L464="BR",'Impostos e Frete'!$F$6,IF(L464="EU",'Impostos e Frete'!$I$3,IF(L464="CN",'Impostos e Frete'!$I$4,IF(L464="JP",'Impostos e Frete'!$I$5,IF(L464="RU",'Impostos e Frete'!$I$7,"ERRO")))))</f>
        <v>1.1330439999999999</v>
      </c>
      <c r="CA464" s="210">
        <f>VLOOKUP(L464,'Impostos e Frete'!$A$3:$B$7,2,0)*'Preços e Condições'!BY464</f>
        <v>1.2600000000000002</v>
      </c>
      <c r="CB464" s="147">
        <f t="shared" si="90"/>
        <v>0</v>
      </c>
      <c r="CC464" s="147">
        <f>IF(X464="BRL",'Impostos e Frete'!$B$11,'Impostos e Frete'!$B$12)</f>
        <v>9.1999999999999998E-2</v>
      </c>
      <c r="CD464" s="211">
        <f t="shared" ca="1" si="91"/>
        <v>11.485044</v>
      </c>
      <c r="CE464" s="212">
        <f t="shared" ca="1" si="92"/>
        <v>0.80395307999999999</v>
      </c>
      <c r="CF464" s="213">
        <f>VLOOKUP(L464,'Impostos e Frete'!$A$3:$C$7,3,0)</f>
        <v>120</v>
      </c>
      <c r="CG464" s="213">
        <f t="shared" si="93"/>
        <v>90</v>
      </c>
      <c r="CH464" s="213">
        <f t="shared" si="94"/>
        <v>-30</v>
      </c>
      <c r="CI464" s="214">
        <f t="shared" ca="1" si="95"/>
        <v>0.17227565999999861</v>
      </c>
      <c r="CJ464" s="215">
        <f t="shared" ca="1" si="96"/>
        <v>11.657319659999999</v>
      </c>
      <c r="CK464" s="216">
        <f t="shared" ca="1" si="97"/>
        <v>0.81601237619999989</v>
      </c>
    </row>
    <row r="465" spans="1:89">
      <c r="A465" s="195">
        <v>7004990</v>
      </c>
      <c r="B465" s="186">
        <v>9370</v>
      </c>
      <c r="C465" s="196">
        <v>70</v>
      </c>
      <c r="D465" s="196"/>
      <c r="E465" s="196" t="s">
        <v>209</v>
      </c>
      <c r="F465" s="197" t="s">
        <v>457</v>
      </c>
      <c r="G465" s="189" t="s">
        <v>458</v>
      </c>
      <c r="H465" s="178" t="s">
        <v>43</v>
      </c>
      <c r="I465" s="178" t="s">
        <v>459</v>
      </c>
      <c r="J465" s="178"/>
      <c r="K465" s="178"/>
      <c r="L465" s="178" t="s">
        <v>60</v>
      </c>
      <c r="M465" s="178">
        <v>90</v>
      </c>
      <c r="N465" s="178">
        <v>3300</v>
      </c>
      <c r="O465" s="178"/>
      <c r="P465" s="178"/>
      <c r="Q465" s="178"/>
      <c r="R465" s="178" t="s">
        <v>19</v>
      </c>
      <c r="S465" s="181"/>
      <c r="T465" s="181"/>
      <c r="U465" s="182"/>
      <c r="V465" s="182" t="s">
        <v>35</v>
      </c>
      <c r="W465" s="183">
        <v>100</v>
      </c>
      <c r="X465" s="182" t="s">
        <v>267</v>
      </c>
      <c r="Y465" s="202"/>
      <c r="Z465" s="202"/>
      <c r="AA465" s="202"/>
      <c r="AB465" s="202"/>
      <c r="AC465" s="202"/>
      <c r="AD465" s="202"/>
      <c r="AE465" s="202"/>
      <c r="AF465" s="202"/>
      <c r="AG465" s="202"/>
      <c r="AH465" s="202"/>
      <c r="AI465" s="202"/>
      <c r="AJ465" s="202"/>
      <c r="AK465" s="202"/>
      <c r="AL465" s="202"/>
      <c r="AM465" s="202"/>
      <c r="AN465" s="202"/>
      <c r="AO465" s="202"/>
      <c r="AP465" s="202"/>
      <c r="AQ465" s="202"/>
      <c r="AR465" s="202"/>
      <c r="AS465" s="202"/>
      <c r="AT465" s="202"/>
      <c r="AU465" s="202"/>
      <c r="AV465" s="202"/>
      <c r="AW465" s="202"/>
      <c r="AX465" s="202"/>
      <c r="AY465" s="202"/>
      <c r="AZ465" s="202"/>
      <c r="BA465" s="202"/>
      <c r="BB465" s="202"/>
      <c r="BC465" s="202"/>
      <c r="BD465" s="202"/>
      <c r="BE465" s="202"/>
      <c r="BF465" s="202"/>
      <c r="BG465" s="202"/>
      <c r="BH465" s="202"/>
      <c r="BI465" s="184"/>
      <c r="BJ465" s="184"/>
      <c r="BK465" s="184"/>
      <c r="BL465" s="184"/>
      <c r="BM465" s="184">
        <v>19500</v>
      </c>
      <c r="BN465" s="184">
        <v>19500</v>
      </c>
      <c r="BO465" s="202"/>
      <c r="BP465" s="202"/>
      <c r="BQ465" s="202"/>
      <c r="BR465" s="202"/>
      <c r="BS465" s="202"/>
      <c r="BT465" s="202"/>
      <c r="BU465" s="146" cm="1">
        <f t="array" ref="BU465">LOOKUP(2,1/(Y465:BT465&lt;&gt;""),Y465:BH465)</f>
        <v>19500</v>
      </c>
      <c r="BV465" s="145" cm="1">
        <f t="array" aca="1" ref="BV465" ca="1">_xlfn.LET(
    _xlpm.last_col_idx, LOOKUP(2, 1/(Y465:BT465&lt;&gt;""), COLUMN(Y465:BT465) - COLUMN(Y465) + 1),
    _xlpm.header_val, INDEX($Y$3:$BT$3, 1, _xlpm.last_col_idx),
    _xlpm.header_date, IF(ISNUMBER(_xlpm.header_val), _xlpm.header_val, DATEVALUE(_xlpm.header_val)),
    IF(_xlpm.header_date &gt; TODAY(), TODAY(), _xlpm.header_date)
)</f>
        <v>46174</v>
      </c>
      <c r="BW465" s="209" cm="1">
        <f t="array" ref="BW465">(LOOKUP(2,1/(BH465:BT465&lt;&gt;""),BH465:BT465))/(INDEX(BH465:BT465,MATCH(TRUE,INDEX((BH465:BT465&lt;&gt;0),0),0)))-1</f>
        <v>0</v>
      </c>
      <c r="BX465" s="210">
        <f t="shared" si="88"/>
        <v>19.5</v>
      </c>
      <c r="BY465" s="210">
        <f t="shared" si="89"/>
        <v>14.625</v>
      </c>
      <c r="BZ465" s="210">
        <f ca="1">IF(L465="BR",'Impostos e Frete'!$F$6,IF(L465="EU",'Impostos e Frete'!$I$3,IF(L465="CN",'Impostos e Frete'!$I$4,IF(L465="JP",'Impostos e Frete'!$I$5,IF(L465="RU",'Impostos e Frete'!$I$7,"ERRO")))))</f>
        <v>1.1330439999999999</v>
      </c>
      <c r="CA465" s="210">
        <f>VLOOKUP(L465,'Impostos e Frete'!$A$3:$B$7,2,0)*'Preços e Condições'!BY465</f>
        <v>2.0475000000000003</v>
      </c>
      <c r="CB465" s="147">
        <f t="shared" si="90"/>
        <v>0</v>
      </c>
      <c r="CC465" s="147">
        <f>IF(X465="BRL",'Impostos e Frete'!$B$11,'Impostos e Frete'!$B$12)</f>
        <v>9.1999999999999998E-2</v>
      </c>
      <c r="CD465" s="211">
        <f t="shared" ca="1" si="91"/>
        <v>17.897544</v>
      </c>
      <c r="CE465" s="212">
        <f t="shared" ca="1" si="92"/>
        <v>1.25282808</v>
      </c>
      <c r="CF465" s="213">
        <f>VLOOKUP(L465,'Impostos e Frete'!$A$3:$C$7,3,0)</f>
        <v>120</v>
      </c>
      <c r="CG465" s="213">
        <f t="shared" si="93"/>
        <v>90</v>
      </c>
      <c r="CH465" s="213">
        <f t="shared" si="94"/>
        <v>-30</v>
      </c>
      <c r="CI465" s="214">
        <f t="shared" ca="1" si="95"/>
        <v>0.26846315999999959</v>
      </c>
      <c r="CJ465" s="215">
        <f t="shared" ca="1" si="96"/>
        <v>18.166007159999999</v>
      </c>
      <c r="CK465" s="216">
        <f t="shared" ca="1" si="97"/>
        <v>1.2716205012000001</v>
      </c>
    </row>
    <row r="466" spans="1:89">
      <c r="A466" s="203" t="s">
        <v>480</v>
      </c>
      <c r="B466" s="186">
        <v>399</v>
      </c>
      <c r="C466" s="196">
        <v>68</v>
      </c>
      <c r="D466" s="196"/>
      <c r="E466" s="196" t="s">
        <v>50</v>
      </c>
      <c r="F466" s="197" t="s">
        <v>1</v>
      </c>
      <c r="G466" s="185" t="s">
        <v>12</v>
      </c>
      <c r="H466" s="178" t="s">
        <v>42</v>
      </c>
      <c r="I466" s="178">
        <v>751</v>
      </c>
      <c r="J466" s="178"/>
      <c r="K466" s="178"/>
      <c r="L466" s="183" t="s">
        <v>58</v>
      </c>
      <c r="M466" s="183">
        <v>0</v>
      </c>
      <c r="N466" s="183"/>
      <c r="O466" s="178"/>
      <c r="P466" s="183">
        <v>3</v>
      </c>
      <c r="Q466" s="183" t="s">
        <v>27</v>
      </c>
      <c r="R466" s="183" t="s">
        <v>19</v>
      </c>
      <c r="S466" s="181">
        <v>0.12</v>
      </c>
      <c r="T466" s="181" t="s">
        <v>210</v>
      </c>
      <c r="U466" s="182">
        <v>9.2499999999999999E-2</v>
      </c>
      <c r="V466" s="182" t="s">
        <v>35</v>
      </c>
      <c r="W466" s="183">
        <v>50</v>
      </c>
      <c r="X466" s="182" t="s">
        <v>46</v>
      </c>
      <c r="Y466" s="202"/>
      <c r="Z466" s="202"/>
      <c r="AA466" s="202"/>
      <c r="AB466" s="202"/>
      <c r="AC466" s="202"/>
      <c r="AD466" s="202"/>
      <c r="AE466" s="202"/>
      <c r="AF466" s="202"/>
      <c r="AG466" s="202"/>
      <c r="AH466" s="202"/>
      <c r="AI466" s="202"/>
      <c r="AJ466" s="202"/>
      <c r="AK466" s="202"/>
      <c r="AL466" s="202"/>
      <c r="AM466" s="202"/>
      <c r="AN466" s="202"/>
      <c r="AO466" s="202"/>
      <c r="AP466" s="202"/>
      <c r="AQ466" s="202"/>
      <c r="AR466" s="202"/>
      <c r="AS466" s="202"/>
      <c r="AT466" s="202"/>
      <c r="AU466" s="202"/>
      <c r="AV466" s="202"/>
      <c r="AW466" s="202"/>
      <c r="AX466" s="202"/>
      <c r="AY466" s="202"/>
      <c r="AZ466" s="202"/>
      <c r="BA466" s="202"/>
      <c r="BB466" s="202"/>
      <c r="BC466" s="202"/>
      <c r="BD466" s="202"/>
      <c r="BE466" s="202"/>
      <c r="BF466" s="202"/>
      <c r="BG466" s="202"/>
      <c r="BH466" s="202"/>
      <c r="BI466" s="184">
        <v>16617</v>
      </c>
      <c r="BJ466" s="184">
        <v>16617</v>
      </c>
      <c r="BK466" s="184">
        <v>16617</v>
      </c>
      <c r="BL466" s="202">
        <v>17581</v>
      </c>
      <c r="BM466" s="202">
        <v>17581</v>
      </c>
      <c r="BN466" s="202">
        <v>17581</v>
      </c>
      <c r="BO466" s="202">
        <v>18337</v>
      </c>
      <c r="BP466" s="202">
        <v>18337</v>
      </c>
      <c r="BQ466" s="202">
        <v>18337</v>
      </c>
      <c r="BR466" s="202"/>
      <c r="BS466" s="202"/>
      <c r="BT466" s="202"/>
      <c r="BU466" s="146" cm="1">
        <f t="array" ref="BU466">LOOKUP(2,1/(Y466:BT466&lt;&gt;""),Y466:BH466)</f>
        <v>18337</v>
      </c>
      <c r="BV466" s="145" cm="1">
        <f t="array" aca="1" ref="BV466" ca="1">_xlfn.LET(
    _xlpm.last_col_idx, LOOKUP(2, 1/(Y466:BT466&lt;&gt;""), COLUMN(Y466:BT466) - COLUMN(Y466) + 1),
    _xlpm.header_val, INDEX($Y$3:$BT$3, 1, _xlpm.last_col_idx),
    _xlpm.header_date, IF(ISNUMBER(_xlpm.header_val), _xlpm.header_val, DATEVALUE(_xlpm.header_val)),
    IF(_xlpm.header_date &gt; TODAY(), TODAY(), _xlpm.header_date)
)</f>
        <v>46212</v>
      </c>
      <c r="BW466" s="209" cm="1">
        <f t="array" ref="BW466">(LOOKUP(2,1/(BH466:BT466&lt;&gt;""),BH466:BT466))/(INDEX(BH466:BT466,MATCH(TRUE,INDEX((BH466:BT466&lt;&gt;0),0),0)))-1</f>
        <v>0.10350845519648555</v>
      </c>
      <c r="BX466" s="210">
        <f t="shared" si="88"/>
        <v>18.337</v>
      </c>
      <c r="BY466" s="210">
        <f t="shared" si="89"/>
        <v>18.337</v>
      </c>
      <c r="BZ466" s="210">
        <f>IF(L466="BR",'Impostos e Frete'!$F$6,IF(L466="EU",'Impostos e Frete'!$I$3,IF(L466="CN",'Impostos e Frete'!$I$4,IF(L466="JP",'Impostos e Frete'!$I$5,IF(L466="RU",'Impostos e Frete'!$I$7,"ERRO")))))</f>
        <v>0</v>
      </c>
      <c r="CA466" s="210">
        <f>VLOOKUP(L466,'Impostos e Frete'!$A$3:$B$7,2,0)*'Preços e Condições'!BY466</f>
        <v>0</v>
      </c>
      <c r="CB466" s="147">
        <f t="shared" si="90"/>
        <v>0</v>
      </c>
      <c r="CC466" s="147">
        <f>IF(X466="BRL",'Impostos e Frete'!$B$11,'Impostos e Frete'!$B$12)</f>
        <v>0.2</v>
      </c>
      <c r="CD466" s="211">
        <f t="shared" si="91"/>
        <v>18.536999999999999</v>
      </c>
      <c r="CE466" s="212">
        <f t="shared" si="92"/>
        <v>1.260516</v>
      </c>
      <c r="CF466" s="213">
        <f>VLOOKUP(L466,'Impostos e Frete'!$A$3:$C$7,3,0)</f>
        <v>45</v>
      </c>
      <c r="CG466" s="213">
        <f t="shared" si="93"/>
        <v>0</v>
      </c>
      <c r="CH466" s="213">
        <f t="shared" si="94"/>
        <v>-45</v>
      </c>
      <c r="CI466" s="214">
        <f t="shared" si="95"/>
        <v>0.41864267105761499</v>
      </c>
      <c r="CJ466" s="215">
        <f t="shared" si="96"/>
        <v>18.955642671057614</v>
      </c>
      <c r="CK466" s="216">
        <f t="shared" si="97"/>
        <v>1.2889837016319177</v>
      </c>
    </row>
    <row r="467" spans="1:89">
      <c r="A467" s="203" t="s">
        <v>478</v>
      </c>
      <c r="B467" s="186">
        <v>497</v>
      </c>
      <c r="C467" s="196">
        <v>80</v>
      </c>
      <c r="D467" s="196"/>
      <c r="E467" s="196" t="s">
        <v>49</v>
      </c>
      <c r="F467" s="197" t="s">
        <v>1</v>
      </c>
      <c r="G467" s="221" t="s">
        <v>479</v>
      </c>
      <c r="H467" s="190" t="s">
        <v>64</v>
      </c>
      <c r="I467" s="178">
        <v>497</v>
      </c>
      <c r="J467" s="183"/>
      <c r="K467" s="190"/>
      <c r="L467" s="183" t="s">
        <v>58</v>
      </c>
      <c r="M467" s="183">
        <v>0</v>
      </c>
      <c r="N467" s="183"/>
      <c r="O467" s="183"/>
      <c r="P467" s="183">
        <v>3</v>
      </c>
      <c r="Q467" s="183" t="s">
        <v>27</v>
      </c>
      <c r="R467" s="183" t="s">
        <v>19</v>
      </c>
      <c r="S467" s="181">
        <v>0.12</v>
      </c>
      <c r="T467" s="181" t="s">
        <v>210</v>
      </c>
      <c r="U467" s="182">
        <v>9.2499999999999999E-2</v>
      </c>
      <c r="V467" s="182" t="s">
        <v>35</v>
      </c>
      <c r="W467" s="183">
        <v>20</v>
      </c>
      <c r="X467" s="182" t="s">
        <v>46</v>
      </c>
      <c r="Y467" s="202"/>
      <c r="Z467" s="202"/>
      <c r="AA467" s="202"/>
      <c r="AB467" s="202"/>
      <c r="AC467" s="202"/>
      <c r="AD467" s="202"/>
      <c r="AE467" s="202"/>
      <c r="AF467" s="202"/>
      <c r="AG467" s="202"/>
      <c r="AH467" s="202"/>
      <c r="AI467" s="202"/>
      <c r="AJ467" s="202"/>
      <c r="AK467" s="202"/>
      <c r="AL467" s="202"/>
      <c r="AM467" s="202"/>
      <c r="AN467" s="202"/>
      <c r="AO467" s="202"/>
      <c r="AP467" s="202"/>
      <c r="AQ467" s="202"/>
      <c r="AR467" s="202"/>
      <c r="AS467" s="202"/>
      <c r="AT467" s="202"/>
      <c r="AU467" s="202"/>
      <c r="AV467" s="202"/>
      <c r="AW467" s="202"/>
      <c r="AX467" s="202"/>
      <c r="AY467" s="202"/>
      <c r="AZ467" s="202"/>
      <c r="BA467" s="202"/>
      <c r="BB467" s="202"/>
      <c r="BC467" s="202"/>
      <c r="BD467" s="202"/>
      <c r="BE467" s="202"/>
      <c r="BF467" s="202"/>
      <c r="BG467" s="202"/>
      <c r="BH467" s="202"/>
      <c r="BI467" s="184">
        <v>23501</v>
      </c>
      <c r="BJ467" s="184">
        <v>23501</v>
      </c>
      <c r="BK467" s="184">
        <v>23501</v>
      </c>
      <c r="BL467" s="202">
        <v>24864</v>
      </c>
      <c r="BM467" s="202">
        <v>24864</v>
      </c>
      <c r="BN467" s="202">
        <v>24864</v>
      </c>
      <c r="BO467" s="202">
        <v>25933</v>
      </c>
      <c r="BP467" s="202">
        <v>25933</v>
      </c>
      <c r="BQ467" s="202">
        <v>25933</v>
      </c>
      <c r="BR467" s="202"/>
      <c r="BS467" s="202"/>
      <c r="BT467" s="202"/>
      <c r="BU467" s="146" cm="1">
        <f t="array" ref="BU467">LOOKUP(2,1/(Y467:BT467&lt;&gt;""),Y467:BH467)</f>
        <v>25933</v>
      </c>
      <c r="BV467" s="145" cm="1">
        <f t="array" aca="1" ref="BV467" ca="1">_xlfn.LET(
    _xlpm.last_col_idx, LOOKUP(2, 1/(Y467:BT467&lt;&gt;""), COLUMN(Y467:BT467) - COLUMN(Y467) + 1),
    _xlpm.header_val, INDEX($Y$3:$BT$3, 1, _xlpm.last_col_idx),
    _xlpm.header_date, IF(ISNUMBER(_xlpm.header_val), _xlpm.header_val, DATEVALUE(_xlpm.header_val)),
    IF(_xlpm.header_date &gt; TODAY(), TODAY(), _xlpm.header_date)
)</f>
        <v>46212</v>
      </c>
      <c r="BW467" s="209" cm="1">
        <f t="array" ref="BW467">(LOOKUP(2,1/(BH467:BT467&lt;&gt;""),BH467:BT467))/(INDEX(BH467:BT467,MATCH(TRUE,INDEX((BH467:BT467&lt;&gt;0),0),0)))-1</f>
        <v>0.10348495808688996</v>
      </c>
      <c r="BX467" s="210">
        <f t="shared" si="88"/>
        <v>25.933</v>
      </c>
      <c r="BY467" s="210">
        <f t="shared" si="89"/>
        <v>25.933</v>
      </c>
      <c r="BZ467" s="210">
        <f>IF(L467="BR",'Impostos e Frete'!$F$6,IF(L467="EU",'Impostos e Frete'!$I$3,IF(L467="CN",'Impostos e Frete'!$I$4,IF(L467="JP",'Impostos e Frete'!$I$5,IF(L467="RU",'Impostos e Frete'!$I$7,"ERRO")))))</f>
        <v>0</v>
      </c>
      <c r="CA467" s="210">
        <f>VLOOKUP(L467,'Impostos e Frete'!$A$3:$B$7,2,0)*'Preços e Condições'!BY467</f>
        <v>0</v>
      </c>
      <c r="CB467" s="147">
        <f t="shared" si="90"/>
        <v>0</v>
      </c>
      <c r="CC467" s="147">
        <f>IF(X467="BRL",'Impostos e Frete'!$B$11,'Impostos e Frete'!$B$12)</f>
        <v>0.2</v>
      </c>
      <c r="CD467" s="211">
        <f t="shared" si="91"/>
        <v>26.132999999999999</v>
      </c>
      <c r="CE467" s="212">
        <f t="shared" si="92"/>
        <v>2.0906400000000001</v>
      </c>
      <c r="CF467" s="213">
        <f>VLOOKUP(L467,'Impostos e Frete'!$A$3:$C$7,3,0)</f>
        <v>45</v>
      </c>
      <c r="CG467" s="213">
        <f t="shared" si="93"/>
        <v>0</v>
      </c>
      <c r="CH467" s="213">
        <f t="shared" si="94"/>
        <v>-45</v>
      </c>
      <c r="CI467" s="214">
        <f t="shared" si="95"/>
        <v>0.59019199022218416</v>
      </c>
      <c r="CJ467" s="215">
        <f t="shared" si="96"/>
        <v>26.723191990222183</v>
      </c>
      <c r="CK467" s="216">
        <f t="shared" si="97"/>
        <v>2.1378553592177747</v>
      </c>
    </row>
    <row r="468" spans="1:89">
      <c r="A468" s="203" t="s">
        <v>463</v>
      </c>
      <c r="B468" s="186">
        <v>932</v>
      </c>
      <c r="C468" s="196">
        <v>80</v>
      </c>
      <c r="D468" s="196"/>
      <c r="E468" s="196" t="s">
        <v>49</v>
      </c>
      <c r="F468" s="197" t="s">
        <v>67</v>
      </c>
      <c r="G468" s="221" t="s">
        <v>464</v>
      </c>
      <c r="H468" s="178" t="s">
        <v>42</v>
      </c>
      <c r="I468" s="178"/>
      <c r="J468" s="178"/>
      <c r="K468" s="178"/>
      <c r="L468" s="178" t="s">
        <v>59</v>
      </c>
      <c r="M468" s="178">
        <v>90</v>
      </c>
      <c r="N468" s="178"/>
      <c r="O468" s="178"/>
      <c r="P468" s="178"/>
      <c r="Q468" s="178"/>
      <c r="R468" s="178" t="s">
        <v>19</v>
      </c>
      <c r="S468" s="181"/>
      <c r="T468" s="181"/>
      <c r="U468" s="182"/>
      <c r="V468" s="182" t="s">
        <v>35</v>
      </c>
      <c r="W468" s="183">
        <v>25</v>
      </c>
      <c r="X468" s="182" t="s">
        <v>51</v>
      </c>
      <c r="Y468" s="202"/>
      <c r="Z468" s="202"/>
      <c r="AA468" s="202"/>
      <c r="AB468" s="202"/>
      <c r="AC468" s="202"/>
      <c r="AD468" s="202"/>
      <c r="AE468" s="202"/>
      <c r="AF468" s="202"/>
      <c r="AG468" s="202"/>
      <c r="AH468" s="202"/>
      <c r="AI468" s="202"/>
      <c r="AJ468" s="202"/>
      <c r="AK468" s="202"/>
      <c r="AL468" s="202"/>
      <c r="AM468" s="202"/>
      <c r="AN468" s="202"/>
      <c r="AO468" s="202"/>
      <c r="AP468" s="202"/>
      <c r="AQ468" s="202"/>
      <c r="AR468" s="202"/>
      <c r="AS468" s="202"/>
      <c r="AT468" s="202"/>
      <c r="AU468" s="202"/>
      <c r="AV468" s="202"/>
      <c r="AW468" s="202"/>
      <c r="AX468" s="202"/>
      <c r="AY468" s="202"/>
      <c r="AZ468" s="202"/>
      <c r="BA468" s="202"/>
      <c r="BB468" s="202"/>
      <c r="BC468" s="202"/>
      <c r="BD468" s="202"/>
      <c r="BE468" s="202"/>
      <c r="BF468" s="202"/>
      <c r="BG468" s="202"/>
      <c r="BH468" s="202"/>
      <c r="BI468" s="184"/>
      <c r="BJ468" s="184"/>
      <c r="BK468" s="184"/>
      <c r="BL468" s="202">
        <v>2900</v>
      </c>
      <c r="BM468" s="202">
        <v>2900</v>
      </c>
      <c r="BN468" s="202">
        <v>2900</v>
      </c>
      <c r="BO468" s="202"/>
      <c r="BP468" s="202"/>
      <c r="BQ468" s="202"/>
      <c r="BR468" s="202"/>
      <c r="BS468" s="202"/>
      <c r="BT468" s="202"/>
      <c r="BU468" s="146" cm="1">
        <f t="array" ref="BU468">LOOKUP(2,1/(Y468:BT468&lt;&gt;""),Y468:BH468)</f>
        <v>2900</v>
      </c>
      <c r="BV468" s="145" cm="1">
        <f t="array" aca="1" ref="BV468" ca="1">_xlfn.LET(
    _xlpm.last_col_idx, LOOKUP(2, 1/(Y468:BT468&lt;&gt;""), COLUMN(Y468:BT468) - COLUMN(Y468) + 1),
    _xlpm.header_val, INDEX($Y$3:$BT$3, 1, _xlpm.last_col_idx),
    _xlpm.header_date, IF(ISNUMBER(_xlpm.header_val), _xlpm.header_val, DATEVALUE(_xlpm.header_val)),
    IF(_xlpm.header_date &gt; TODAY(), TODAY(), _xlpm.header_date)
)</f>
        <v>46174</v>
      </c>
      <c r="BW468" s="209" cm="1">
        <f t="array" ref="BW468">(LOOKUP(2,1/(BH468:BT468&lt;&gt;""),BH468:BT468))/(INDEX(BH468:BT468,MATCH(TRUE,INDEX((BH468:BT468&lt;&gt;0),0),0)))-1</f>
        <v>0</v>
      </c>
      <c r="BX468" s="210">
        <f t="shared" si="88"/>
        <v>2.9</v>
      </c>
      <c r="BY468" s="210">
        <f t="shared" si="89"/>
        <v>17.11</v>
      </c>
      <c r="BZ468" s="210">
        <f ca="1">IF(L468="BR",'Impostos e Frete'!$F$6,IF(L468="EU",'Impostos e Frete'!$I$3,IF(L468="CN",'Impostos e Frete'!$I$4,IF(L468="JP",'Impostos e Frete'!$I$5,IF(L468="RU",'Impostos e Frete'!$I$7,"ERRO")))))</f>
        <v>0.1410816</v>
      </c>
      <c r="CA468" s="210">
        <f>VLOOKUP(L468,'Impostos e Frete'!$A$3:$B$7,2,0)*'Preços e Condições'!BY468</f>
        <v>2.2242999999999999</v>
      </c>
      <c r="CB468" s="147">
        <f t="shared" si="90"/>
        <v>0</v>
      </c>
      <c r="CC468" s="147">
        <f>IF(X468="BRL",'Impostos e Frete'!$B$11,'Impostos e Frete'!$B$12)</f>
        <v>9.1999999999999998E-2</v>
      </c>
      <c r="CD468" s="211">
        <f t="shared" ca="1" si="91"/>
        <v>19.567381599999997</v>
      </c>
      <c r="CE468" s="212">
        <f t="shared" ca="1" si="92"/>
        <v>1.5653905279999996</v>
      </c>
      <c r="CF468" s="213">
        <f>VLOOKUP(L468,'Impostos e Frete'!$A$3:$C$7,3,0)</f>
        <v>105</v>
      </c>
      <c r="CG468" s="213">
        <f t="shared" si="93"/>
        <v>90</v>
      </c>
      <c r="CH468" s="213">
        <f t="shared" si="94"/>
        <v>-15</v>
      </c>
      <c r="CI468" s="214">
        <f t="shared" ca="1" si="95"/>
        <v>0.14620911859357832</v>
      </c>
      <c r="CJ468" s="215">
        <f t="shared" ca="1" si="96"/>
        <v>19.713590718593576</v>
      </c>
      <c r="CK468" s="216">
        <f t="shared" ca="1" si="97"/>
        <v>1.5770872574874861</v>
      </c>
    </row>
    <row r="469" spans="1:89">
      <c r="A469" s="203" t="s">
        <v>463</v>
      </c>
      <c r="B469" s="186">
        <v>932</v>
      </c>
      <c r="C469" s="196">
        <v>80</v>
      </c>
      <c r="D469" s="196"/>
      <c r="E469" s="196" t="s">
        <v>49</v>
      </c>
      <c r="F469" s="197" t="s">
        <v>67</v>
      </c>
      <c r="G469" s="221" t="s">
        <v>464</v>
      </c>
      <c r="H469" s="178" t="s">
        <v>42</v>
      </c>
      <c r="I469" s="178"/>
      <c r="J469" s="178"/>
      <c r="K469" s="178"/>
      <c r="L469" s="178" t="s">
        <v>59</v>
      </c>
      <c r="M469" s="178">
        <v>90</v>
      </c>
      <c r="N469" s="178"/>
      <c r="O469" s="178"/>
      <c r="P469" s="178"/>
      <c r="Q469" s="178"/>
      <c r="R469" s="178" t="s">
        <v>19</v>
      </c>
      <c r="S469" s="181"/>
      <c r="T469" s="181"/>
      <c r="U469" s="182"/>
      <c r="V469" s="182" t="s">
        <v>35</v>
      </c>
      <c r="W469" s="183">
        <v>50</v>
      </c>
      <c r="X469" s="182" t="s">
        <v>51</v>
      </c>
      <c r="Y469" s="202"/>
      <c r="Z469" s="202"/>
      <c r="AA469" s="202"/>
      <c r="AB469" s="202"/>
      <c r="AC469" s="202"/>
      <c r="AD469" s="202"/>
      <c r="AE469" s="202"/>
      <c r="AF469" s="202"/>
      <c r="AG469" s="202"/>
      <c r="AH469" s="202"/>
      <c r="AI469" s="202"/>
      <c r="AJ469" s="202"/>
      <c r="AK469" s="202"/>
      <c r="AL469" s="202"/>
      <c r="AM469" s="202"/>
      <c r="AN469" s="202"/>
      <c r="AO469" s="202"/>
      <c r="AP469" s="202"/>
      <c r="AQ469" s="202"/>
      <c r="AR469" s="202"/>
      <c r="AS469" s="202"/>
      <c r="AT469" s="202"/>
      <c r="AU469" s="202"/>
      <c r="AV469" s="202"/>
      <c r="AW469" s="202"/>
      <c r="AX469" s="202"/>
      <c r="AY469" s="202"/>
      <c r="AZ469" s="202"/>
      <c r="BA469" s="202"/>
      <c r="BB469" s="202"/>
      <c r="BC469" s="202"/>
      <c r="BD469" s="202"/>
      <c r="BE469" s="202"/>
      <c r="BF469" s="202"/>
      <c r="BG469" s="202"/>
      <c r="BH469" s="202"/>
      <c r="BI469" s="184"/>
      <c r="BJ469" s="184"/>
      <c r="BK469" s="184"/>
      <c r="BL469" s="202">
        <v>2500</v>
      </c>
      <c r="BM469" s="202">
        <v>2500</v>
      </c>
      <c r="BN469" s="202">
        <v>2500</v>
      </c>
      <c r="BO469" s="202"/>
      <c r="BP469" s="202"/>
      <c r="BQ469" s="202"/>
      <c r="BR469" s="202"/>
      <c r="BS469" s="202"/>
      <c r="BT469" s="202"/>
      <c r="BU469" s="146" cm="1">
        <f t="array" ref="BU469">LOOKUP(2,1/(Y469:BT469&lt;&gt;""),Y469:BH469)</f>
        <v>2500</v>
      </c>
      <c r="BV469" s="145" cm="1">
        <f t="array" aca="1" ref="BV469" ca="1">_xlfn.LET(
    _xlpm.last_col_idx, LOOKUP(2, 1/(Y469:BT469&lt;&gt;""), COLUMN(Y469:BT469) - COLUMN(Y469) + 1),
    _xlpm.header_val, INDEX($Y$3:$BT$3, 1, _xlpm.last_col_idx),
    _xlpm.header_date, IF(ISNUMBER(_xlpm.header_val), _xlpm.header_val, DATEVALUE(_xlpm.header_val)),
    IF(_xlpm.header_date &gt; TODAY(), TODAY(), _xlpm.header_date)
)</f>
        <v>46174</v>
      </c>
      <c r="BW469" s="209" cm="1">
        <f t="array" ref="BW469">(LOOKUP(2,1/(BH469:BT469&lt;&gt;""),BH469:BT469))/(INDEX(BH469:BT469,MATCH(TRUE,INDEX((BH469:BT469&lt;&gt;0),0),0)))-1</f>
        <v>0</v>
      </c>
      <c r="BX469" s="210">
        <f t="shared" si="88"/>
        <v>2.5</v>
      </c>
      <c r="BY469" s="210">
        <f t="shared" si="89"/>
        <v>14.75</v>
      </c>
      <c r="BZ469" s="210">
        <f ca="1">IF(L469="BR",'Impostos e Frete'!$F$6,IF(L469="EU",'Impostos e Frete'!$I$3,IF(L469="CN",'Impostos e Frete'!$I$4,IF(L469="JP",'Impostos e Frete'!$I$5,IF(L469="RU",'Impostos e Frete'!$I$7,"ERRO")))))</f>
        <v>0.1410816</v>
      </c>
      <c r="CA469" s="210">
        <f>VLOOKUP(L469,'Impostos e Frete'!$A$3:$B$7,2,0)*'Preços e Condições'!BY469</f>
        <v>1.9175</v>
      </c>
      <c r="CB469" s="147">
        <f t="shared" si="90"/>
        <v>0</v>
      </c>
      <c r="CC469" s="147">
        <f>IF(X469="BRL",'Impostos e Frete'!$B$11,'Impostos e Frete'!$B$12)</f>
        <v>9.1999999999999998E-2</v>
      </c>
      <c r="CD469" s="211">
        <f t="shared" ca="1" si="91"/>
        <v>16.900581599999999</v>
      </c>
      <c r="CE469" s="212">
        <f t="shared" ca="1" si="92"/>
        <v>1.3520465279999998</v>
      </c>
      <c r="CF469" s="213">
        <f>VLOOKUP(L469,'Impostos e Frete'!$A$3:$C$7,3,0)</f>
        <v>105</v>
      </c>
      <c r="CG469" s="213">
        <f t="shared" si="93"/>
        <v>90</v>
      </c>
      <c r="CH469" s="213">
        <f t="shared" si="94"/>
        <v>-15</v>
      </c>
      <c r="CI469" s="214">
        <f t="shared" ca="1" si="95"/>
        <v>0.12628256503439772</v>
      </c>
      <c r="CJ469" s="215">
        <f t="shared" ca="1" si="96"/>
        <v>17.026864165034397</v>
      </c>
      <c r="CK469" s="216">
        <f t="shared" ca="1" si="97"/>
        <v>1.3621491332027515</v>
      </c>
    </row>
    <row r="470" spans="1:89">
      <c r="A470" s="203" t="s">
        <v>441</v>
      </c>
      <c r="B470" s="186">
        <v>204</v>
      </c>
      <c r="C470" s="196">
        <v>50</v>
      </c>
      <c r="D470" s="196"/>
      <c r="E470" s="196" t="s">
        <v>50</v>
      </c>
      <c r="F470" s="197" t="s">
        <v>108</v>
      </c>
      <c r="G470" s="185" t="s">
        <v>442</v>
      </c>
      <c r="H470" s="178" t="s">
        <v>42</v>
      </c>
      <c r="I470" s="178" t="s">
        <v>443</v>
      </c>
      <c r="J470" s="178"/>
      <c r="K470" s="178"/>
      <c r="L470" s="183" t="s">
        <v>59</v>
      </c>
      <c r="M470" s="183">
        <v>30</v>
      </c>
      <c r="N470" s="183">
        <v>500</v>
      </c>
      <c r="O470" s="178"/>
      <c r="P470" s="178"/>
      <c r="Q470" s="178"/>
      <c r="R470" s="178" t="s">
        <v>19</v>
      </c>
      <c r="S470" s="181"/>
      <c r="T470" s="181"/>
      <c r="U470" s="182"/>
      <c r="V470" s="182" t="s">
        <v>35</v>
      </c>
      <c r="W470" s="183">
        <v>80</v>
      </c>
      <c r="X470" s="182" t="s">
        <v>51</v>
      </c>
      <c r="Y470" s="202"/>
      <c r="Z470" s="202"/>
      <c r="AA470" s="202"/>
      <c r="AB470" s="202"/>
      <c r="AC470" s="202"/>
      <c r="AD470" s="202"/>
      <c r="AE470" s="202"/>
      <c r="AF470" s="202"/>
      <c r="AG470" s="202"/>
      <c r="AH470" s="202"/>
      <c r="AI470" s="202"/>
      <c r="AJ470" s="202"/>
      <c r="AK470" s="202"/>
      <c r="AL470" s="202"/>
      <c r="AM470" s="202"/>
      <c r="AN470" s="202"/>
      <c r="AO470" s="202"/>
      <c r="AP470" s="202"/>
      <c r="AQ470" s="202"/>
      <c r="AR470" s="202"/>
      <c r="AS470" s="202"/>
      <c r="AT470" s="202"/>
      <c r="AU470" s="202"/>
      <c r="AV470" s="202"/>
      <c r="AW470" s="202"/>
      <c r="AX470" s="202"/>
      <c r="AY470" s="202"/>
      <c r="AZ470" s="202"/>
      <c r="BA470" s="202"/>
      <c r="BB470" s="202"/>
      <c r="BC470" s="202"/>
      <c r="BD470" s="202"/>
      <c r="BE470" s="202"/>
      <c r="BF470" s="202"/>
      <c r="BG470" s="202"/>
      <c r="BH470" s="202"/>
      <c r="BI470" s="184">
        <v>2570</v>
      </c>
      <c r="BJ470" s="184">
        <v>2570</v>
      </c>
      <c r="BK470" s="184">
        <v>2570</v>
      </c>
      <c r="BL470" s="202">
        <v>2540</v>
      </c>
      <c r="BM470" s="202">
        <v>2540</v>
      </c>
      <c r="BN470" s="202">
        <v>2540</v>
      </c>
      <c r="BO470" s="202">
        <v>2620</v>
      </c>
      <c r="BP470" s="202">
        <v>2620</v>
      </c>
      <c r="BQ470" s="202">
        <v>2620</v>
      </c>
      <c r="BR470" s="202"/>
      <c r="BS470" s="202"/>
      <c r="BT470" s="202"/>
      <c r="BU470" s="146" cm="1">
        <f t="array" ref="BU470">LOOKUP(2,1/(Y470:BT470&lt;&gt;""),Y470:BH470)</f>
        <v>2620</v>
      </c>
      <c r="BV470" s="145" cm="1">
        <f t="array" aca="1" ref="BV470" ca="1">_xlfn.LET(
    _xlpm.last_col_idx, LOOKUP(2, 1/(Y470:BT470&lt;&gt;""), COLUMN(Y470:BT470) - COLUMN(Y470) + 1),
    _xlpm.header_val, INDEX($Y$3:$BT$3, 1, _xlpm.last_col_idx),
    _xlpm.header_date, IF(ISNUMBER(_xlpm.header_val), _xlpm.header_val, DATEVALUE(_xlpm.header_val)),
    IF(_xlpm.header_date &gt; TODAY(), TODAY(), _xlpm.header_date)
)</f>
        <v>46212</v>
      </c>
      <c r="BW470" s="209" cm="1">
        <f t="array" ref="BW470">(LOOKUP(2,1/(BH470:BT470&lt;&gt;""),BH470:BT470))/(INDEX(BH470:BT470,MATCH(TRUE,INDEX((BH470:BT470&lt;&gt;0),0),0)))-1</f>
        <v>1.9455252918287869E-2</v>
      </c>
      <c r="BX470" s="210">
        <f t="shared" si="88"/>
        <v>2.62</v>
      </c>
      <c r="BY470" s="210">
        <f t="shared" si="89"/>
        <v>15.458000000000002</v>
      </c>
      <c r="BZ470" s="210">
        <f ca="1">IF(L470="BR",'Impostos e Frete'!$F$6,IF(L470="EU",'Impostos e Frete'!$I$3,IF(L470="CN",'Impostos e Frete'!$I$4,IF(L470="JP",'Impostos e Frete'!$I$5,IF(L470="RU",'Impostos e Frete'!$I$7,"ERRO")))))</f>
        <v>0.1410816</v>
      </c>
      <c r="CA470" s="210">
        <f>VLOOKUP(L470,'Impostos e Frete'!$A$3:$B$7,2,0)*'Preços e Condições'!BY470</f>
        <v>2.0095400000000003</v>
      </c>
      <c r="CB470" s="147">
        <f t="shared" si="90"/>
        <v>0</v>
      </c>
      <c r="CC470" s="147">
        <f>IF(X470="BRL",'Impostos e Frete'!$B$11,'Impostos e Frete'!$B$12)</f>
        <v>9.1999999999999998E-2</v>
      </c>
      <c r="CD470" s="211">
        <f t="shared" ca="1" si="91"/>
        <v>17.700621600000002</v>
      </c>
      <c r="CE470" s="212">
        <f t="shared" ca="1" si="92"/>
        <v>0.88503108000000008</v>
      </c>
      <c r="CF470" s="213">
        <f>VLOOKUP(L470,'Impostos e Frete'!$A$3:$C$7,3,0)</f>
        <v>105</v>
      </c>
      <c r="CG470" s="213">
        <f t="shared" si="93"/>
        <v>30</v>
      </c>
      <c r="CH470" s="213">
        <f t="shared" si="94"/>
        <v>-75</v>
      </c>
      <c r="CI470" s="214">
        <f t="shared" ca="1" si="95"/>
        <v>0.67125939351470976</v>
      </c>
      <c r="CJ470" s="215">
        <f t="shared" ca="1" si="96"/>
        <v>18.371880993514711</v>
      </c>
      <c r="CK470" s="216">
        <f t="shared" ca="1" si="97"/>
        <v>0.91859404967573555</v>
      </c>
    </row>
    <row r="471" spans="1:89">
      <c r="A471" s="203" t="s">
        <v>460</v>
      </c>
      <c r="B471" s="186">
        <v>247</v>
      </c>
      <c r="C471" s="196">
        <v>70</v>
      </c>
      <c r="D471" s="196">
        <v>1870</v>
      </c>
      <c r="E471" s="196" t="s">
        <v>50</v>
      </c>
      <c r="F471" s="197" t="s">
        <v>0</v>
      </c>
      <c r="G471" s="180" t="s">
        <v>461</v>
      </c>
      <c r="H471" s="178" t="s">
        <v>63</v>
      </c>
      <c r="I471" s="178"/>
      <c r="J471" s="178"/>
      <c r="K471" s="178"/>
      <c r="L471" s="178" t="s">
        <v>60</v>
      </c>
      <c r="M471" s="178">
        <v>90</v>
      </c>
      <c r="N471" s="178">
        <v>3300</v>
      </c>
      <c r="O471" s="178"/>
      <c r="P471" s="178"/>
      <c r="Q471" s="178"/>
      <c r="R471" s="178" t="s">
        <v>19</v>
      </c>
      <c r="S471" s="181"/>
      <c r="T471" s="181"/>
      <c r="U471" s="182"/>
      <c r="V471" s="182" t="s">
        <v>35</v>
      </c>
      <c r="W471" s="183">
        <v>100</v>
      </c>
      <c r="X471" s="182" t="s">
        <v>267</v>
      </c>
      <c r="Y471" s="202"/>
      <c r="Z471" s="202"/>
      <c r="AA471" s="202"/>
      <c r="AB471" s="202"/>
      <c r="AC471" s="202"/>
      <c r="AD471" s="202"/>
      <c r="AE471" s="202"/>
      <c r="AF471" s="202"/>
      <c r="AG471" s="202"/>
      <c r="AH471" s="202"/>
      <c r="AI471" s="202"/>
      <c r="AJ471" s="202"/>
      <c r="AK471" s="202"/>
      <c r="AL471" s="202"/>
      <c r="AM471" s="202"/>
      <c r="AN471" s="202"/>
      <c r="AO471" s="202"/>
      <c r="AP471" s="202"/>
      <c r="AQ471" s="202"/>
      <c r="AR471" s="202"/>
      <c r="AS471" s="202"/>
      <c r="AT471" s="202"/>
      <c r="AU471" s="202"/>
      <c r="AV471" s="202"/>
      <c r="AW471" s="202"/>
      <c r="AX471" s="202"/>
      <c r="AY471" s="202"/>
      <c r="AZ471" s="202"/>
      <c r="BA471" s="202"/>
      <c r="BB471" s="202"/>
      <c r="BC471" s="202"/>
      <c r="BD471" s="202"/>
      <c r="BE471" s="202"/>
      <c r="BF471" s="202"/>
      <c r="BG471" s="202"/>
      <c r="BH471" s="202"/>
      <c r="BI471" s="184"/>
      <c r="BJ471" s="184"/>
      <c r="BK471" s="184"/>
      <c r="BL471" s="202"/>
      <c r="BM471" s="202">
        <v>8500</v>
      </c>
      <c r="BN471" s="202"/>
      <c r="BO471" s="202"/>
      <c r="BP471" s="202"/>
      <c r="BQ471" s="202"/>
      <c r="BR471" s="202"/>
      <c r="BS471" s="202"/>
      <c r="BT471" s="202"/>
      <c r="BU471" s="146" cm="1">
        <f t="array" ref="BU471">LOOKUP(2,1/(Y471:BT471&lt;&gt;""),Y471:BH471)</f>
        <v>8500</v>
      </c>
      <c r="BV471" s="145" cm="1">
        <f t="array" aca="1" ref="BV471" ca="1">_xlfn.LET(
    _xlpm.last_col_idx, LOOKUP(2, 1/(Y471:BT471&lt;&gt;""), COLUMN(Y471:BT471) - COLUMN(Y471) + 1),
    _xlpm.header_val, INDEX($Y$3:$BT$3, 1, _xlpm.last_col_idx),
    _xlpm.header_date, IF(ISNUMBER(_xlpm.header_val), _xlpm.header_val, DATEVALUE(_xlpm.header_val)),
    IF(_xlpm.header_date &gt; TODAY(), TODAY(), _xlpm.header_date)
)</f>
        <v>46143</v>
      </c>
      <c r="BW471" s="209" cm="1">
        <f t="array" ref="BW471">(LOOKUP(2,1/(BH471:BT471&lt;&gt;""),BH471:BT471))/(INDEX(BH471:BT471,MATCH(TRUE,INDEX((BH471:BT471&lt;&gt;0),0),0)))-1</f>
        <v>0</v>
      </c>
      <c r="BX471" s="210">
        <f t="shared" si="88"/>
        <v>8.5</v>
      </c>
      <c r="BY471" s="210">
        <f t="shared" si="89"/>
        <v>6.375</v>
      </c>
      <c r="BZ471" s="210">
        <f ca="1">IF(L471="BR",'Impostos e Frete'!$F$6,IF(L471="EU",'Impostos e Frete'!$I$3,IF(L471="CN",'Impostos e Frete'!$I$4,IF(L471="JP",'Impostos e Frete'!$I$5,IF(L471="RU",'Impostos e Frete'!$I$7,"ERRO")))))</f>
        <v>1.1330439999999999</v>
      </c>
      <c r="CA471" s="210">
        <f>VLOOKUP(L471,'Impostos e Frete'!$A$3:$B$7,2,0)*'Preços e Condições'!BY471</f>
        <v>0.89250000000000007</v>
      </c>
      <c r="CB471" s="147">
        <f t="shared" si="90"/>
        <v>0</v>
      </c>
      <c r="CC471" s="147">
        <f>IF(X471="BRL",'Impostos e Frete'!$B$11,'Impostos e Frete'!$B$12)</f>
        <v>9.1999999999999998E-2</v>
      </c>
      <c r="CD471" s="211">
        <f t="shared" ca="1" si="91"/>
        <v>8.4925440000000005</v>
      </c>
      <c r="CE471" s="212">
        <f t="shared" ca="1" si="92"/>
        <v>0.59447808000000013</v>
      </c>
      <c r="CF471" s="213">
        <f>VLOOKUP(L471,'Impostos e Frete'!$A$3:$C$7,3,0)</f>
        <v>120</v>
      </c>
      <c r="CG471" s="213">
        <f t="shared" si="93"/>
        <v>90</v>
      </c>
      <c r="CH471" s="213">
        <f t="shared" si="94"/>
        <v>-30</v>
      </c>
      <c r="CI471" s="214">
        <f t="shared" ca="1" si="95"/>
        <v>0.12738815999999886</v>
      </c>
      <c r="CJ471" s="215">
        <f t="shared" ca="1" si="96"/>
        <v>8.6199321599999994</v>
      </c>
      <c r="CK471" s="216">
        <f t="shared" ca="1" si="97"/>
        <v>0.60339525119999993</v>
      </c>
    </row>
    <row r="472" spans="1:89">
      <c r="A472" s="203" t="s">
        <v>477</v>
      </c>
      <c r="B472" s="186">
        <v>483</v>
      </c>
      <c r="C472" s="196">
        <v>68</v>
      </c>
      <c r="D472" s="196"/>
      <c r="E472" s="196" t="s">
        <v>50</v>
      </c>
      <c r="F472" s="197" t="s">
        <v>2</v>
      </c>
      <c r="G472" s="185" t="s">
        <v>88</v>
      </c>
      <c r="H472" s="178" t="s">
        <v>63</v>
      </c>
      <c r="I472" s="178">
        <v>32165</v>
      </c>
      <c r="J472" s="178"/>
      <c r="K472" s="178"/>
      <c r="L472" s="178" t="s">
        <v>59</v>
      </c>
      <c r="M472" s="178">
        <v>120</v>
      </c>
      <c r="N472" s="183"/>
      <c r="O472" s="178"/>
      <c r="P472" s="178"/>
      <c r="Q472" s="178"/>
      <c r="R472" s="178" t="s">
        <v>126</v>
      </c>
      <c r="S472" s="181"/>
      <c r="T472" s="181"/>
      <c r="U472" s="182"/>
      <c r="V472" s="182" t="s">
        <v>35</v>
      </c>
      <c r="W472" s="183">
        <v>100</v>
      </c>
      <c r="X472" s="201" t="s">
        <v>51</v>
      </c>
      <c r="Y472" s="202"/>
      <c r="Z472" s="202"/>
      <c r="AA472" s="202"/>
      <c r="AB472" s="202"/>
      <c r="AC472" s="202"/>
      <c r="AD472" s="202"/>
      <c r="AE472" s="202"/>
      <c r="AF472" s="202"/>
      <c r="AG472" s="202"/>
      <c r="AH472" s="202"/>
      <c r="AI472" s="202"/>
      <c r="AJ472" s="202"/>
      <c r="AK472" s="202"/>
      <c r="AL472" s="202"/>
      <c r="AM472" s="202"/>
      <c r="AN472" s="202"/>
      <c r="AO472" s="202"/>
      <c r="AP472" s="202"/>
      <c r="AQ472" s="202"/>
      <c r="AR472" s="202"/>
      <c r="AS472" s="202"/>
      <c r="AT472" s="202"/>
      <c r="AU472" s="202"/>
      <c r="AV472" s="202"/>
      <c r="AW472" s="202"/>
      <c r="AX472" s="202"/>
      <c r="AY472" s="202"/>
      <c r="AZ472" s="202"/>
      <c r="BA472" s="202"/>
      <c r="BB472" s="202"/>
      <c r="BC472" s="202"/>
      <c r="BD472" s="202"/>
      <c r="BE472" s="202"/>
      <c r="BF472" s="202"/>
      <c r="BG472" s="202"/>
      <c r="BH472" s="202"/>
      <c r="BI472" s="184"/>
      <c r="BJ472" s="202"/>
      <c r="BK472" s="202"/>
      <c r="BL472" s="184"/>
      <c r="BM472" s="184"/>
      <c r="BN472" s="184"/>
      <c r="BO472" s="202">
        <v>1730</v>
      </c>
      <c r="BP472" s="202">
        <v>1730</v>
      </c>
      <c r="BQ472" s="202">
        <v>1730</v>
      </c>
      <c r="BR472" s="202"/>
      <c r="BS472" s="202"/>
      <c r="BT472" s="202"/>
      <c r="BU472" s="146" cm="1">
        <f t="array" ref="BU472">LOOKUP(2,1/(Y472:BT472&lt;&gt;""),Y472:BH472)</f>
        <v>1730</v>
      </c>
      <c r="BV472" s="145" cm="1">
        <f t="array" aca="1" ref="BV472" ca="1">_xlfn.LET(
    _xlpm.last_col_idx, LOOKUP(2, 1/(Y472:BT472&lt;&gt;""), COLUMN(Y472:BT472) - COLUMN(Y472) + 1),
    _xlpm.header_val, INDEX($Y$3:$BT$3, 1, _xlpm.last_col_idx),
    _xlpm.header_date, IF(ISNUMBER(_xlpm.header_val), _xlpm.header_val, DATEVALUE(_xlpm.header_val)),
    IF(_xlpm.header_date &gt; TODAY(), TODAY(), _xlpm.header_date)
)</f>
        <v>46212</v>
      </c>
      <c r="BW472" s="209" cm="1">
        <f t="array" ref="BW472">(LOOKUP(2,1/(BH472:BT472&lt;&gt;""),BH472:BT472))/(INDEX(BH472:BT472,MATCH(TRUE,INDEX((BH472:BT472&lt;&gt;0),0),0)))-1</f>
        <v>0</v>
      </c>
      <c r="BX472" s="210">
        <f t="shared" si="88"/>
        <v>1.73</v>
      </c>
      <c r="BY472" s="210">
        <f t="shared" si="89"/>
        <v>10.207000000000001</v>
      </c>
      <c r="BZ472" s="210">
        <f ca="1">IF(L472="BR",'Impostos e Frete'!$F$6,IF(L472="EU",'Impostos e Frete'!$I$3,IF(L472="CN",'Impostos e Frete'!$I$4,IF(L472="JP",'Impostos e Frete'!$I$5,IF(L472="RU",'Impostos e Frete'!$I$7,"ERRO")))))</f>
        <v>0.1410816</v>
      </c>
      <c r="CA472" s="210">
        <f>VLOOKUP(L472,'Impostos e Frete'!$A$3:$B$7,2,0)*'Preços e Condições'!BY472</f>
        <v>1.32691</v>
      </c>
      <c r="CB472" s="147">
        <f t="shared" si="90"/>
        <v>-0.17699999999999999</v>
      </c>
      <c r="CC472" s="147">
        <f>IF(X472="BRL",'Impostos e Frete'!$B$11,'Impostos e Frete'!$B$12)</f>
        <v>9.1999999999999998E-2</v>
      </c>
      <c r="CD472" s="211">
        <f t="shared" ca="1" si="91"/>
        <v>11.589991600000001</v>
      </c>
      <c r="CE472" s="212">
        <f t="shared" ca="1" si="92"/>
        <v>0.78811942880000019</v>
      </c>
      <c r="CF472" s="213">
        <f>VLOOKUP(L472,'Impostos e Frete'!$A$3:$C$7,3,0)</f>
        <v>105</v>
      </c>
      <c r="CG472" s="213">
        <f t="shared" si="93"/>
        <v>120</v>
      </c>
      <c r="CH472" s="213">
        <f t="shared" si="94"/>
        <v>15</v>
      </c>
      <c r="CI472" s="214">
        <f t="shared" ca="1" si="95"/>
        <v>-8.5959096976923277E-2</v>
      </c>
      <c r="CJ472" s="215">
        <f t="shared" ca="1" si="96"/>
        <v>11.504032503023078</v>
      </c>
      <c r="CK472" s="216">
        <f t="shared" ca="1" si="97"/>
        <v>0.7822742102055692</v>
      </c>
    </row>
    <row r="473" spans="1:89">
      <c r="A473" s="203" t="s">
        <v>477</v>
      </c>
      <c r="B473" s="186">
        <v>483</v>
      </c>
      <c r="C473" s="196">
        <v>68</v>
      </c>
      <c r="D473" s="178"/>
      <c r="E473" s="196" t="s">
        <v>50</v>
      </c>
      <c r="F473" s="179" t="s">
        <v>2</v>
      </c>
      <c r="G473" s="185" t="s">
        <v>88</v>
      </c>
      <c r="H473" s="178" t="s">
        <v>63</v>
      </c>
      <c r="I473" s="178">
        <v>32165</v>
      </c>
      <c r="J473" s="178"/>
      <c r="K473" s="178"/>
      <c r="L473" s="178" t="s">
        <v>59</v>
      </c>
      <c r="M473" s="178">
        <v>120</v>
      </c>
      <c r="N473" s="183"/>
      <c r="O473" s="178"/>
      <c r="P473" s="178"/>
      <c r="Q473" s="178"/>
      <c r="R473" s="178" t="s">
        <v>126</v>
      </c>
      <c r="S473" s="181"/>
      <c r="T473" s="181"/>
      <c r="U473" s="182"/>
      <c r="V473" s="182" t="s">
        <v>35</v>
      </c>
      <c r="W473" s="183">
        <v>600</v>
      </c>
      <c r="X473" s="182" t="s">
        <v>51</v>
      </c>
      <c r="Y473" s="202"/>
      <c r="Z473" s="202"/>
      <c r="AA473" s="202"/>
      <c r="AB473" s="202"/>
      <c r="AC473" s="202"/>
      <c r="AD473" s="202"/>
      <c r="AE473" s="202"/>
      <c r="AF473" s="202"/>
      <c r="AG473" s="202"/>
      <c r="AH473" s="202"/>
      <c r="AI473" s="202"/>
      <c r="AJ473" s="202"/>
      <c r="AK473" s="202"/>
      <c r="AL473" s="202"/>
      <c r="AM473" s="202"/>
      <c r="AN473" s="202"/>
      <c r="AO473" s="202"/>
      <c r="AP473" s="202"/>
      <c r="AQ473" s="202"/>
      <c r="AR473" s="202"/>
      <c r="AS473" s="202"/>
      <c r="AT473" s="202"/>
      <c r="AU473" s="202"/>
      <c r="AV473" s="202"/>
      <c r="AW473" s="202"/>
      <c r="AX473" s="202"/>
      <c r="AY473" s="202"/>
      <c r="AZ473" s="202"/>
      <c r="BA473" s="202"/>
      <c r="BB473" s="202"/>
      <c r="BC473" s="202"/>
      <c r="BD473" s="202"/>
      <c r="BE473" s="202"/>
      <c r="BF473" s="202"/>
      <c r="BG473" s="202"/>
      <c r="BH473" s="202"/>
      <c r="BI473" s="184"/>
      <c r="BJ473" s="202"/>
      <c r="BK473" s="202"/>
      <c r="BL473" s="202"/>
      <c r="BM473" s="202"/>
      <c r="BN473" s="202"/>
      <c r="BO473" s="202">
        <v>1670</v>
      </c>
      <c r="BP473" s="202">
        <v>1670</v>
      </c>
      <c r="BQ473" s="202">
        <v>1670</v>
      </c>
      <c r="BR473" s="202"/>
      <c r="BS473" s="202"/>
      <c r="BT473" s="202"/>
      <c r="BU473" s="146" cm="1">
        <f t="array" ref="BU473">LOOKUP(2,1/(Y473:BT473&lt;&gt;""),Y473:BH473)</f>
        <v>1670</v>
      </c>
      <c r="BV473" s="145" cm="1">
        <f t="array" aca="1" ref="BV473" ca="1">_xlfn.LET(
    _xlpm.last_col_idx, LOOKUP(2, 1/(Y473:BT473&lt;&gt;""), COLUMN(Y473:BT473) - COLUMN(Y473) + 1),
    _xlpm.header_val, INDEX($Y$3:$BT$3, 1, _xlpm.last_col_idx),
    _xlpm.header_date, IF(ISNUMBER(_xlpm.header_val), _xlpm.header_val, DATEVALUE(_xlpm.header_val)),
    IF(_xlpm.header_date &gt; TODAY(), TODAY(), _xlpm.header_date)
)</f>
        <v>46212</v>
      </c>
      <c r="BW473" s="209" cm="1">
        <f t="array" ref="BW473">(LOOKUP(2,1/(BH473:BT473&lt;&gt;""),BH473:BT473))/(INDEX(BH473:BT473,MATCH(TRUE,INDEX((BH473:BT473&lt;&gt;0),0),0)))-1</f>
        <v>0</v>
      </c>
      <c r="BX473" s="210">
        <f t="shared" si="88"/>
        <v>1.67</v>
      </c>
      <c r="BY473" s="210">
        <f t="shared" si="89"/>
        <v>9.8529999999999998</v>
      </c>
      <c r="BZ473" s="210">
        <f ca="1">IF(L473="BR",'Impostos e Frete'!$F$6,IF(L473="EU",'Impostos e Frete'!$I$3,IF(L473="CN",'Impostos e Frete'!$I$4,IF(L473="JP",'Impostos e Frete'!$I$5,IF(L473="RU",'Impostos e Frete'!$I$7,"ERRO")))))</f>
        <v>0.1410816</v>
      </c>
      <c r="CA473" s="210">
        <f>VLOOKUP(L473,'Impostos e Frete'!$A$3:$B$7,2,0)*'Preços e Condições'!BY473</f>
        <v>1.2808900000000001</v>
      </c>
      <c r="CB473" s="147">
        <f t="shared" si="90"/>
        <v>-0.17699999999999999</v>
      </c>
      <c r="CC473" s="147">
        <f>IF(X473="BRL",'Impostos e Frete'!$B$11,'Impostos e Frete'!$B$12)</f>
        <v>9.1999999999999998E-2</v>
      </c>
      <c r="CD473" s="211">
        <f t="shared" ca="1" si="91"/>
        <v>11.1899716</v>
      </c>
      <c r="CE473" s="212">
        <f t="shared" ca="1" si="92"/>
        <v>0.7609180687999999</v>
      </c>
      <c r="CF473" s="213">
        <f>VLOOKUP(L473,'Impostos e Frete'!$A$3:$C$7,3,0)</f>
        <v>105</v>
      </c>
      <c r="CG473" s="213">
        <f t="shared" si="93"/>
        <v>120</v>
      </c>
      <c r="CH473" s="213">
        <f t="shared" si="94"/>
        <v>15</v>
      </c>
      <c r="CI473" s="214">
        <f t="shared" ca="1" si="95"/>
        <v>-8.2992282231975523E-2</v>
      </c>
      <c r="CJ473" s="215">
        <f t="shared" ca="1" si="96"/>
        <v>11.106979317768024</v>
      </c>
      <c r="CK473" s="216">
        <f t="shared" ca="1" si="97"/>
        <v>0.75527459360822569</v>
      </c>
    </row>
    <row r="474" spans="1:89">
      <c r="A474" s="203" t="s">
        <v>477</v>
      </c>
      <c r="B474" s="186">
        <v>483</v>
      </c>
      <c r="C474" s="196">
        <v>68</v>
      </c>
      <c r="D474" s="178"/>
      <c r="E474" s="196" t="s">
        <v>50</v>
      </c>
      <c r="F474" s="179" t="s">
        <v>2</v>
      </c>
      <c r="G474" s="185" t="s">
        <v>88</v>
      </c>
      <c r="H474" s="178" t="s">
        <v>63</v>
      </c>
      <c r="I474" s="178">
        <v>32165</v>
      </c>
      <c r="J474" s="178"/>
      <c r="K474" s="178"/>
      <c r="L474" s="178" t="s">
        <v>59</v>
      </c>
      <c r="M474" s="178">
        <v>120</v>
      </c>
      <c r="N474" s="183"/>
      <c r="O474" s="178"/>
      <c r="P474" s="178"/>
      <c r="Q474" s="178"/>
      <c r="R474" s="178" t="s">
        <v>126</v>
      </c>
      <c r="S474" s="181"/>
      <c r="T474" s="181"/>
      <c r="U474" s="182"/>
      <c r="V474" s="182" t="s">
        <v>35</v>
      </c>
      <c r="W474" s="183">
        <v>500</v>
      </c>
      <c r="X474" s="182" t="s">
        <v>51</v>
      </c>
      <c r="Y474" s="202"/>
      <c r="Z474" s="202"/>
      <c r="AA474" s="202"/>
      <c r="AB474" s="202"/>
      <c r="AC474" s="202"/>
      <c r="AD474" s="202"/>
      <c r="AE474" s="202"/>
      <c r="AF474" s="202"/>
      <c r="AG474" s="202"/>
      <c r="AH474" s="202"/>
      <c r="AI474" s="202"/>
      <c r="AJ474" s="202"/>
      <c r="AK474" s="202"/>
      <c r="AL474" s="202"/>
      <c r="AM474" s="202"/>
      <c r="AN474" s="202"/>
      <c r="AO474" s="202"/>
      <c r="AP474" s="202"/>
      <c r="AQ474" s="202"/>
      <c r="AR474" s="202"/>
      <c r="AS474" s="202"/>
      <c r="AT474" s="202"/>
      <c r="AU474" s="202"/>
      <c r="AV474" s="202"/>
      <c r="AW474" s="202"/>
      <c r="AX474" s="202"/>
      <c r="AY474" s="202"/>
      <c r="AZ474" s="202"/>
      <c r="BA474" s="202"/>
      <c r="BB474" s="202"/>
      <c r="BC474" s="202"/>
      <c r="BD474" s="202"/>
      <c r="BE474" s="202"/>
      <c r="BF474" s="202"/>
      <c r="BG474" s="202"/>
      <c r="BH474" s="202"/>
      <c r="BI474" s="184"/>
      <c r="BJ474" s="202"/>
      <c r="BK474" s="202"/>
      <c r="BL474" s="202"/>
      <c r="BM474" s="202"/>
      <c r="BN474" s="202"/>
      <c r="BO474" s="202">
        <v>1680</v>
      </c>
      <c r="BP474" s="202">
        <v>1680</v>
      </c>
      <c r="BQ474" s="202">
        <v>1680</v>
      </c>
      <c r="BR474" s="202"/>
      <c r="BS474" s="202"/>
      <c r="BT474" s="202"/>
      <c r="BU474" s="146" cm="1">
        <f t="array" ref="BU474">LOOKUP(2,1/(Y474:BT474&lt;&gt;""),Y474:BH474)</f>
        <v>1680</v>
      </c>
      <c r="BV474" s="145" cm="1">
        <f t="array" aca="1" ref="BV474" ca="1">_xlfn.LET(
    _xlpm.last_col_idx, LOOKUP(2, 1/(Y474:BT474&lt;&gt;""), COLUMN(Y474:BT474) - COLUMN(Y474) + 1),
    _xlpm.header_val, INDEX($Y$3:$BT$3, 1, _xlpm.last_col_idx),
    _xlpm.header_date, IF(ISNUMBER(_xlpm.header_val), _xlpm.header_val, DATEVALUE(_xlpm.header_val)),
    IF(_xlpm.header_date &gt; TODAY(), TODAY(), _xlpm.header_date)
)</f>
        <v>46212</v>
      </c>
      <c r="BW474" s="209" cm="1">
        <f t="array" ref="BW474">(LOOKUP(2,1/(BH474:BT474&lt;&gt;""),BH474:BT474))/(INDEX(BH474:BT474,MATCH(TRUE,INDEX((BH474:BT474&lt;&gt;0),0),0)))-1</f>
        <v>0</v>
      </c>
      <c r="BX474" s="210">
        <f t="shared" si="88"/>
        <v>1.68</v>
      </c>
      <c r="BY474" s="210">
        <f t="shared" si="89"/>
        <v>9.9120000000000008</v>
      </c>
      <c r="BZ474" s="210">
        <f ca="1">IF(L474="BR",'Impostos e Frete'!$F$6,IF(L474="EU",'Impostos e Frete'!$I$3,IF(L474="CN",'Impostos e Frete'!$I$4,IF(L474="JP",'Impostos e Frete'!$I$5,IF(L474="RU",'Impostos e Frete'!$I$7,"ERRO")))))</f>
        <v>0.1410816</v>
      </c>
      <c r="CA474" s="210">
        <f>VLOOKUP(L474,'Impostos e Frete'!$A$3:$B$7,2,0)*'Preços e Condições'!BY474</f>
        <v>1.2885600000000001</v>
      </c>
      <c r="CB474" s="147">
        <f t="shared" si="90"/>
        <v>-0.17699999999999999</v>
      </c>
      <c r="CC474" s="147">
        <f>IF(X474="BRL",'Impostos e Frete'!$B$11,'Impostos e Frete'!$B$12)</f>
        <v>9.1999999999999998E-2</v>
      </c>
      <c r="CD474" s="211">
        <f t="shared" ca="1" si="91"/>
        <v>11.256641600000002</v>
      </c>
      <c r="CE474" s="212">
        <f t="shared" ca="1" si="92"/>
        <v>0.76545162880000017</v>
      </c>
      <c r="CF474" s="213">
        <f>VLOOKUP(L474,'Impostos e Frete'!$A$3:$C$7,3,0)</f>
        <v>105</v>
      </c>
      <c r="CG474" s="213">
        <f t="shared" si="93"/>
        <v>120</v>
      </c>
      <c r="CH474" s="213">
        <f t="shared" si="94"/>
        <v>15</v>
      </c>
      <c r="CI474" s="214">
        <f t="shared" ca="1" si="95"/>
        <v>-8.3486751356133482E-2</v>
      </c>
      <c r="CJ474" s="215">
        <f t="shared" ca="1" si="96"/>
        <v>11.173154848643868</v>
      </c>
      <c r="CK474" s="216">
        <f t="shared" ca="1" si="97"/>
        <v>0.75977452970778303</v>
      </c>
    </row>
    <row r="475" spans="1:89">
      <c r="A475" s="203" t="s">
        <v>477</v>
      </c>
      <c r="B475" s="186">
        <v>483</v>
      </c>
      <c r="C475" s="196">
        <v>68</v>
      </c>
      <c r="D475" s="178"/>
      <c r="E475" s="196" t="s">
        <v>50</v>
      </c>
      <c r="F475" s="179" t="s">
        <v>2</v>
      </c>
      <c r="G475" s="185" t="s">
        <v>88</v>
      </c>
      <c r="H475" s="178" t="s">
        <v>63</v>
      </c>
      <c r="I475" s="178">
        <v>32165</v>
      </c>
      <c r="J475" s="178"/>
      <c r="K475" s="178"/>
      <c r="L475" s="178" t="s">
        <v>59</v>
      </c>
      <c r="M475" s="178">
        <v>120</v>
      </c>
      <c r="N475" s="183"/>
      <c r="O475" s="178"/>
      <c r="P475" s="178"/>
      <c r="Q475" s="178"/>
      <c r="R475" s="178" t="s">
        <v>126</v>
      </c>
      <c r="S475" s="181"/>
      <c r="T475" s="181"/>
      <c r="U475" s="182"/>
      <c r="V475" s="182" t="s">
        <v>35</v>
      </c>
      <c r="W475" s="183">
        <v>200</v>
      </c>
      <c r="X475" s="182" t="s">
        <v>51</v>
      </c>
      <c r="Y475" s="202"/>
      <c r="Z475" s="202"/>
      <c r="AA475" s="202"/>
      <c r="AB475" s="202"/>
      <c r="AC475" s="202"/>
      <c r="AD475" s="202"/>
      <c r="AE475" s="202"/>
      <c r="AF475" s="202"/>
      <c r="AG475" s="202"/>
      <c r="AH475" s="202"/>
      <c r="AI475" s="202"/>
      <c r="AJ475" s="202"/>
      <c r="AK475" s="202"/>
      <c r="AL475" s="202"/>
      <c r="AM475" s="202"/>
      <c r="AN475" s="202"/>
      <c r="AO475" s="202"/>
      <c r="AP475" s="202"/>
      <c r="AQ475" s="202"/>
      <c r="AR475" s="202"/>
      <c r="AS475" s="202"/>
      <c r="AT475" s="202"/>
      <c r="AU475" s="202"/>
      <c r="AV475" s="202"/>
      <c r="AW475" s="202"/>
      <c r="AX475" s="202"/>
      <c r="AY475" s="202"/>
      <c r="AZ475" s="202"/>
      <c r="BA475" s="202"/>
      <c r="BB475" s="202"/>
      <c r="BC475" s="202"/>
      <c r="BD475" s="202"/>
      <c r="BE475" s="202"/>
      <c r="BF475" s="202"/>
      <c r="BG475" s="202"/>
      <c r="BH475" s="202"/>
      <c r="BI475" s="184"/>
      <c r="BJ475" s="202"/>
      <c r="BK475" s="202"/>
      <c r="BL475" s="202"/>
      <c r="BM475" s="202"/>
      <c r="BN475" s="202"/>
      <c r="BO475" s="202">
        <v>1690</v>
      </c>
      <c r="BP475" s="202">
        <v>1690</v>
      </c>
      <c r="BQ475" s="202">
        <v>1690</v>
      </c>
      <c r="BR475" s="202"/>
      <c r="BS475" s="202"/>
      <c r="BT475" s="202"/>
      <c r="BU475" s="146" cm="1">
        <f t="array" ref="BU475">LOOKUP(2,1/(Y475:BT475&lt;&gt;""),Y475:BH475)</f>
        <v>1690</v>
      </c>
      <c r="BV475" s="145" cm="1">
        <f t="array" aca="1" ref="BV475" ca="1">_xlfn.LET(
    _xlpm.last_col_idx, LOOKUP(2, 1/(Y475:BT475&lt;&gt;""), COLUMN(Y475:BT475) - COLUMN(Y475) + 1),
    _xlpm.header_val, INDEX($Y$3:$BT$3, 1, _xlpm.last_col_idx),
    _xlpm.header_date, IF(ISNUMBER(_xlpm.header_val), _xlpm.header_val, DATEVALUE(_xlpm.header_val)),
    IF(_xlpm.header_date &gt; TODAY(), TODAY(), _xlpm.header_date)
)</f>
        <v>46212</v>
      </c>
      <c r="BW475" s="209" cm="1">
        <f t="array" ref="BW475">(LOOKUP(2,1/(BH475:BT475&lt;&gt;""),BH475:BT475))/(INDEX(BH475:BT475,MATCH(TRUE,INDEX((BH475:BT475&lt;&gt;0),0),0)))-1</f>
        <v>0</v>
      </c>
      <c r="BX475" s="210">
        <f t="shared" si="88"/>
        <v>1.69</v>
      </c>
      <c r="BY475" s="210">
        <f t="shared" si="89"/>
        <v>9.9710000000000001</v>
      </c>
      <c r="BZ475" s="210">
        <f ca="1">IF(L475="BR",'Impostos e Frete'!$F$6,IF(L475="EU",'Impostos e Frete'!$I$3,IF(L475="CN",'Impostos e Frete'!$I$4,IF(L475="JP",'Impostos e Frete'!$I$5,IF(L475="RU",'Impostos e Frete'!$I$7,"ERRO")))))</f>
        <v>0.1410816</v>
      </c>
      <c r="CA475" s="210">
        <f>VLOOKUP(L475,'Impostos e Frete'!$A$3:$B$7,2,0)*'Preços e Condições'!BY475</f>
        <v>1.29623</v>
      </c>
      <c r="CB475" s="147">
        <f t="shared" si="90"/>
        <v>-0.17699999999999999</v>
      </c>
      <c r="CC475" s="147">
        <f>IF(X475="BRL",'Impostos e Frete'!$B$11,'Impostos e Frete'!$B$12)</f>
        <v>9.1999999999999998E-2</v>
      </c>
      <c r="CD475" s="211">
        <f t="shared" ca="1" si="91"/>
        <v>11.3233116</v>
      </c>
      <c r="CE475" s="212">
        <f t="shared" ca="1" si="92"/>
        <v>0.7699851888</v>
      </c>
      <c r="CF475" s="213">
        <f>VLOOKUP(L475,'Impostos e Frete'!$A$3:$C$7,3,0)</f>
        <v>105</v>
      </c>
      <c r="CG475" s="213">
        <f t="shared" si="93"/>
        <v>120</v>
      </c>
      <c r="CH475" s="213">
        <f t="shared" si="94"/>
        <v>15</v>
      </c>
      <c r="CI475" s="214">
        <f t="shared" ca="1" si="95"/>
        <v>-8.3981220480291441E-2</v>
      </c>
      <c r="CJ475" s="215">
        <f t="shared" ca="1" si="96"/>
        <v>11.239330379519709</v>
      </c>
      <c r="CK475" s="216">
        <f t="shared" ca="1" si="97"/>
        <v>0.76427446580734026</v>
      </c>
    </row>
    <row r="476" spans="1:89">
      <c r="A476" s="203" t="s">
        <v>477</v>
      </c>
      <c r="B476" s="186">
        <v>483</v>
      </c>
      <c r="C476" s="196">
        <v>68</v>
      </c>
      <c r="D476" s="178"/>
      <c r="E476" s="196" t="s">
        <v>50</v>
      </c>
      <c r="F476" s="179" t="s">
        <v>2</v>
      </c>
      <c r="G476" s="185" t="s">
        <v>88</v>
      </c>
      <c r="H476" s="178" t="s">
        <v>63</v>
      </c>
      <c r="I476" s="178">
        <v>32165</v>
      </c>
      <c r="J476" s="178"/>
      <c r="K476" s="178"/>
      <c r="L476" s="178" t="s">
        <v>59</v>
      </c>
      <c r="M476" s="178">
        <v>120</v>
      </c>
      <c r="N476" s="183"/>
      <c r="O476" s="178"/>
      <c r="P476" s="178"/>
      <c r="Q476" s="178"/>
      <c r="R476" s="178" t="s">
        <v>126</v>
      </c>
      <c r="S476" s="181"/>
      <c r="T476" s="181"/>
      <c r="U476" s="182"/>
      <c r="V476" s="182" t="s">
        <v>35</v>
      </c>
      <c r="W476" s="183">
        <v>150</v>
      </c>
      <c r="X476" s="182" t="s">
        <v>51</v>
      </c>
      <c r="Y476" s="202"/>
      <c r="Z476" s="202"/>
      <c r="AA476" s="202"/>
      <c r="AB476" s="202"/>
      <c r="AC476" s="202"/>
      <c r="AD476" s="202"/>
      <c r="AE476" s="202"/>
      <c r="AF476" s="202"/>
      <c r="AG476" s="202"/>
      <c r="AH476" s="202"/>
      <c r="AI476" s="202"/>
      <c r="AJ476" s="202"/>
      <c r="AK476" s="202"/>
      <c r="AL476" s="202"/>
      <c r="AM476" s="202"/>
      <c r="AN476" s="202"/>
      <c r="AO476" s="202"/>
      <c r="AP476" s="202"/>
      <c r="AQ476" s="202"/>
      <c r="AR476" s="202"/>
      <c r="AS476" s="202"/>
      <c r="AT476" s="202"/>
      <c r="AU476" s="202"/>
      <c r="AV476" s="202"/>
      <c r="AW476" s="202"/>
      <c r="AX476" s="202"/>
      <c r="AY476" s="202"/>
      <c r="AZ476" s="202"/>
      <c r="BA476" s="202"/>
      <c r="BB476" s="202"/>
      <c r="BC476" s="202"/>
      <c r="BD476" s="202"/>
      <c r="BE476" s="202"/>
      <c r="BF476" s="202"/>
      <c r="BG476" s="202"/>
      <c r="BH476" s="202"/>
      <c r="BI476" s="184"/>
      <c r="BJ476" s="184"/>
      <c r="BK476" s="184"/>
      <c r="BL476" s="184"/>
      <c r="BM476" s="184"/>
      <c r="BN476" s="184"/>
      <c r="BO476" s="202">
        <v>1710</v>
      </c>
      <c r="BP476" s="202">
        <v>1710</v>
      </c>
      <c r="BQ476" s="202">
        <v>1710</v>
      </c>
      <c r="BR476" s="202"/>
      <c r="BS476" s="202"/>
      <c r="BT476" s="202"/>
      <c r="BU476" s="146" cm="1">
        <f t="array" ref="BU476">LOOKUP(2,1/(Y476:BT476&lt;&gt;""),Y476:BH476)</f>
        <v>1710</v>
      </c>
      <c r="BV476" s="145" cm="1">
        <f t="array" aca="1" ref="BV476" ca="1">_xlfn.LET(
    _xlpm.last_col_idx, LOOKUP(2, 1/(Y476:BT476&lt;&gt;""), COLUMN(Y476:BT476) - COLUMN(Y476) + 1),
    _xlpm.header_val, INDEX($Y$3:$BT$3, 1, _xlpm.last_col_idx),
    _xlpm.header_date, IF(ISNUMBER(_xlpm.header_val), _xlpm.header_val, DATEVALUE(_xlpm.header_val)),
    IF(_xlpm.header_date &gt; TODAY(), TODAY(), _xlpm.header_date)
)</f>
        <v>46212</v>
      </c>
      <c r="BW476" s="209" cm="1">
        <f t="array" ref="BW476">(LOOKUP(2,1/(BH476:BT476&lt;&gt;""),BH476:BT476))/(INDEX(BH476:BT476,MATCH(TRUE,INDEX((BH476:BT476&lt;&gt;0),0),0)))-1</f>
        <v>0</v>
      </c>
      <c r="BX476" s="210">
        <f t="shared" si="88"/>
        <v>1.71</v>
      </c>
      <c r="BY476" s="210">
        <f t="shared" si="89"/>
        <v>10.089</v>
      </c>
      <c r="BZ476" s="210">
        <f ca="1">IF(L476="BR",'Impostos e Frete'!$F$6,IF(L476="EU",'Impostos e Frete'!$I$3,IF(L476="CN",'Impostos e Frete'!$I$4,IF(L476="JP",'Impostos e Frete'!$I$5,IF(L476="RU",'Impostos e Frete'!$I$7,"ERRO")))))</f>
        <v>0.1410816</v>
      </c>
      <c r="CA476" s="210">
        <f>VLOOKUP(L476,'Impostos e Frete'!$A$3:$B$7,2,0)*'Preços e Condições'!BY476</f>
        <v>1.3115700000000001</v>
      </c>
      <c r="CB476" s="147">
        <f t="shared" si="90"/>
        <v>-0.17699999999999999</v>
      </c>
      <c r="CC476" s="147">
        <f>IF(X476="BRL",'Impostos e Frete'!$B$11,'Impostos e Frete'!$B$12)</f>
        <v>9.1999999999999998E-2</v>
      </c>
      <c r="CD476" s="211">
        <f t="shared" ca="1" si="91"/>
        <v>11.456651600000001</v>
      </c>
      <c r="CE476" s="212">
        <f t="shared" ca="1" si="92"/>
        <v>0.77905230880000009</v>
      </c>
      <c r="CF476" s="213">
        <f>VLOOKUP(L476,'Impostos e Frete'!$A$3:$C$7,3,0)</f>
        <v>105</v>
      </c>
      <c r="CG476" s="213">
        <f t="shared" si="93"/>
        <v>120</v>
      </c>
      <c r="CH476" s="213">
        <f t="shared" si="94"/>
        <v>15</v>
      </c>
      <c r="CI476" s="214">
        <f t="shared" ca="1" si="95"/>
        <v>-8.4970158728607359E-2</v>
      </c>
      <c r="CJ476" s="215">
        <f t="shared" ca="1" si="96"/>
        <v>11.371681441271393</v>
      </c>
      <c r="CK476" s="216">
        <f t="shared" ca="1" si="97"/>
        <v>0.77327433800645473</v>
      </c>
    </row>
    <row r="477" spans="1:89">
      <c r="A477" s="203" t="s">
        <v>477</v>
      </c>
      <c r="B477" s="186">
        <v>483</v>
      </c>
      <c r="C477" s="196">
        <v>68</v>
      </c>
      <c r="D477" s="178"/>
      <c r="E477" s="196" t="s">
        <v>50</v>
      </c>
      <c r="F477" s="179" t="s">
        <v>2</v>
      </c>
      <c r="G477" s="185" t="s">
        <v>88</v>
      </c>
      <c r="H477" s="178" t="s">
        <v>63</v>
      </c>
      <c r="I477" s="178">
        <v>32165</v>
      </c>
      <c r="J477" s="178"/>
      <c r="K477" s="178"/>
      <c r="L477" s="178" t="s">
        <v>59</v>
      </c>
      <c r="M477" s="178">
        <v>120</v>
      </c>
      <c r="N477" s="183"/>
      <c r="O477" s="178"/>
      <c r="P477" s="178"/>
      <c r="Q477" s="178"/>
      <c r="R477" s="178" t="s">
        <v>126</v>
      </c>
      <c r="S477" s="181"/>
      <c r="T477" s="181"/>
      <c r="U477" s="182"/>
      <c r="V477" s="182" t="s">
        <v>35</v>
      </c>
      <c r="W477" s="183">
        <v>70</v>
      </c>
      <c r="X477" s="182" t="s">
        <v>51</v>
      </c>
      <c r="Y477" s="202"/>
      <c r="Z477" s="202"/>
      <c r="AA477" s="202"/>
      <c r="AB477" s="202"/>
      <c r="AC477" s="202"/>
      <c r="AD477" s="202"/>
      <c r="AE477" s="202"/>
      <c r="AF477" s="202"/>
      <c r="AG477" s="202"/>
      <c r="AH477" s="202"/>
      <c r="AI477" s="202"/>
      <c r="AJ477" s="202"/>
      <c r="AK477" s="202"/>
      <c r="AL477" s="202"/>
      <c r="AM477" s="202"/>
      <c r="AN477" s="202"/>
      <c r="AO477" s="202"/>
      <c r="AP477" s="202"/>
      <c r="AQ477" s="202"/>
      <c r="AR477" s="202"/>
      <c r="AS477" s="202"/>
      <c r="AT477" s="202"/>
      <c r="AU477" s="202"/>
      <c r="AV477" s="202"/>
      <c r="AW477" s="202"/>
      <c r="AX477" s="202"/>
      <c r="AY477" s="202"/>
      <c r="AZ477" s="202"/>
      <c r="BA477" s="202"/>
      <c r="BB477" s="202"/>
      <c r="BC477" s="202"/>
      <c r="BD477" s="202"/>
      <c r="BE477" s="202"/>
      <c r="BF477" s="202"/>
      <c r="BG477" s="202"/>
      <c r="BH477" s="202"/>
      <c r="BI477" s="184"/>
      <c r="BJ477" s="184"/>
      <c r="BK477" s="184"/>
      <c r="BL477" s="184"/>
      <c r="BM477" s="184"/>
      <c r="BN477" s="184"/>
      <c r="BO477" s="202">
        <v>1750</v>
      </c>
      <c r="BP477" s="202">
        <v>1750</v>
      </c>
      <c r="BQ477" s="202">
        <v>1750</v>
      </c>
      <c r="BR477" s="202"/>
      <c r="BS477" s="202"/>
      <c r="BT477" s="202"/>
      <c r="BU477" s="146" cm="1">
        <f t="array" ref="BU477">LOOKUP(2,1/(Y477:BT477&lt;&gt;""),Y477:BH477)</f>
        <v>1750</v>
      </c>
      <c r="BV477" s="145" cm="1">
        <f t="array" aca="1" ref="BV477" ca="1">_xlfn.LET(
    _xlpm.last_col_idx, LOOKUP(2, 1/(Y477:BT477&lt;&gt;""), COLUMN(Y477:BT477) - COLUMN(Y477) + 1),
    _xlpm.header_val, INDEX($Y$3:$BT$3, 1, _xlpm.last_col_idx),
    _xlpm.header_date, IF(ISNUMBER(_xlpm.header_val), _xlpm.header_val, DATEVALUE(_xlpm.header_val)),
    IF(_xlpm.header_date &gt; TODAY(), TODAY(), _xlpm.header_date)
)</f>
        <v>46212</v>
      </c>
      <c r="BW477" s="209" cm="1">
        <f t="array" ref="BW477">(LOOKUP(2,1/(BH477:BT477&lt;&gt;""),BH477:BT477))/(INDEX(BH477:BT477,MATCH(TRUE,INDEX((BH477:BT477&lt;&gt;0),0),0)))-1</f>
        <v>0</v>
      </c>
      <c r="BX477" s="210">
        <f t="shared" si="88"/>
        <v>1.75</v>
      </c>
      <c r="BY477" s="210">
        <f t="shared" si="89"/>
        <v>10.325000000000001</v>
      </c>
      <c r="BZ477" s="210">
        <f ca="1">IF(L477="BR",'Impostos e Frete'!$F$6,IF(L477="EU",'Impostos e Frete'!$I$3,IF(L477="CN",'Impostos e Frete'!$I$4,IF(L477="JP",'Impostos e Frete'!$I$5,IF(L477="RU",'Impostos e Frete'!$I$7,"ERRO")))))</f>
        <v>0.1410816</v>
      </c>
      <c r="CA477" s="210">
        <f>VLOOKUP(L477,'Impostos e Frete'!$A$3:$B$7,2,0)*'Preços e Condições'!BY477</f>
        <v>1.3422500000000002</v>
      </c>
      <c r="CB477" s="147">
        <f t="shared" si="90"/>
        <v>-0.17699999999999999</v>
      </c>
      <c r="CC477" s="147">
        <f>IF(X477="BRL",'Impostos e Frete'!$B$11,'Impostos e Frete'!$B$12)</f>
        <v>9.1999999999999998E-2</v>
      </c>
      <c r="CD477" s="211">
        <f t="shared" ca="1" si="91"/>
        <v>11.723331600000002</v>
      </c>
      <c r="CE477" s="212">
        <f t="shared" ca="1" si="92"/>
        <v>0.79718654880000006</v>
      </c>
      <c r="CF477" s="213">
        <f>VLOOKUP(L477,'Impostos e Frete'!$A$3:$C$7,3,0)</f>
        <v>105</v>
      </c>
      <c r="CG477" s="213">
        <f t="shared" si="93"/>
        <v>120</v>
      </c>
      <c r="CH477" s="213">
        <f t="shared" si="94"/>
        <v>15</v>
      </c>
      <c r="CI477" s="214">
        <f t="shared" ca="1" si="95"/>
        <v>-8.6948035225239195E-2</v>
      </c>
      <c r="CJ477" s="215">
        <f t="shared" ca="1" si="96"/>
        <v>11.636383564774762</v>
      </c>
      <c r="CK477" s="216">
        <f t="shared" ca="1" si="97"/>
        <v>0.79127408240468378</v>
      </c>
    </row>
    <row r="478" spans="1:89">
      <c r="A478" s="203" t="s">
        <v>477</v>
      </c>
      <c r="B478" s="186">
        <v>483</v>
      </c>
      <c r="C478" s="196">
        <v>68</v>
      </c>
      <c r="D478" s="196"/>
      <c r="E478" s="196" t="s">
        <v>50</v>
      </c>
      <c r="F478" s="197" t="s">
        <v>2</v>
      </c>
      <c r="G478" s="185" t="s">
        <v>88</v>
      </c>
      <c r="H478" s="178" t="s">
        <v>63</v>
      </c>
      <c r="I478" s="196">
        <v>32165</v>
      </c>
      <c r="J478" s="196"/>
      <c r="K478" s="196"/>
      <c r="L478" s="178" t="s">
        <v>59</v>
      </c>
      <c r="M478" s="178">
        <v>120</v>
      </c>
      <c r="N478" s="183"/>
      <c r="O478" s="178"/>
      <c r="P478" s="178"/>
      <c r="Q478" s="178"/>
      <c r="R478" s="178" t="s">
        <v>126</v>
      </c>
      <c r="S478" s="181"/>
      <c r="T478" s="181"/>
      <c r="U478" s="182"/>
      <c r="V478" s="182" t="s">
        <v>35</v>
      </c>
      <c r="W478" s="183">
        <v>50</v>
      </c>
      <c r="X478" s="182" t="s">
        <v>51</v>
      </c>
      <c r="Y478" s="202"/>
      <c r="Z478" s="202"/>
      <c r="AA478" s="202"/>
      <c r="AB478" s="202"/>
      <c r="AC478" s="202"/>
      <c r="AD478" s="202"/>
      <c r="AE478" s="202"/>
      <c r="AF478" s="202"/>
      <c r="AG478" s="202"/>
      <c r="AH478" s="202"/>
      <c r="AI478" s="202"/>
      <c r="AJ478" s="202"/>
      <c r="AK478" s="202"/>
      <c r="AL478" s="202"/>
      <c r="AM478" s="202"/>
      <c r="AN478" s="202"/>
      <c r="AO478" s="202"/>
      <c r="AP478" s="202"/>
      <c r="AQ478" s="202"/>
      <c r="AR478" s="202"/>
      <c r="AS478" s="202"/>
      <c r="AT478" s="202"/>
      <c r="AU478" s="202"/>
      <c r="AV478" s="202"/>
      <c r="AW478" s="202"/>
      <c r="AX478" s="202"/>
      <c r="AY478" s="202"/>
      <c r="AZ478" s="202"/>
      <c r="BA478" s="202"/>
      <c r="BB478" s="202"/>
      <c r="BC478" s="202"/>
      <c r="BD478" s="202"/>
      <c r="BE478" s="202"/>
      <c r="BF478" s="202"/>
      <c r="BG478" s="202"/>
      <c r="BH478" s="202"/>
      <c r="BI478" s="184"/>
      <c r="BJ478" s="184"/>
      <c r="BK478" s="184"/>
      <c r="BL478" s="184"/>
      <c r="BM478" s="184"/>
      <c r="BN478" s="184"/>
      <c r="BO478" s="202">
        <v>1780</v>
      </c>
      <c r="BP478" s="202">
        <v>1780</v>
      </c>
      <c r="BQ478" s="202">
        <v>1780</v>
      </c>
      <c r="BR478" s="202"/>
      <c r="BS478" s="202"/>
      <c r="BT478" s="202"/>
      <c r="BU478" s="146" cm="1">
        <f t="array" ref="BU478">LOOKUP(2,1/(Y478:BT478&lt;&gt;""),Y478:BH478)</f>
        <v>1780</v>
      </c>
      <c r="BV478" s="145" cm="1">
        <f t="array" aca="1" ref="BV478" ca="1">_xlfn.LET(
    _xlpm.last_col_idx, LOOKUP(2, 1/(Y478:BT478&lt;&gt;""), COLUMN(Y478:BT478) - COLUMN(Y478) + 1),
    _xlpm.header_val, INDEX($Y$3:$BT$3, 1, _xlpm.last_col_idx),
    _xlpm.header_date, IF(ISNUMBER(_xlpm.header_val), _xlpm.header_val, DATEVALUE(_xlpm.header_val)),
    IF(_xlpm.header_date &gt; TODAY(), TODAY(), _xlpm.header_date)
)</f>
        <v>46212</v>
      </c>
      <c r="BW478" s="209" cm="1">
        <f t="array" ref="BW478">(LOOKUP(2,1/(BH478:BT478&lt;&gt;""),BH478:BT478))/(INDEX(BH478:BT478,MATCH(TRUE,INDEX((BH478:BT478&lt;&gt;0),0),0)))-1</f>
        <v>0</v>
      </c>
      <c r="BX478" s="210">
        <f t="shared" si="88"/>
        <v>1.78</v>
      </c>
      <c r="BY478" s="210">
        <f t="shared" si="89"/>
        <v>10.502000000000001</v>
      </c>
      <c r="BZ478" s="210">
        <f ca="1">IF(L478="BR",'Impostos e Frete'!$F$6,IF(L478="EU",'Impostos e Frete'!$I$3,IF(L478="CN",'Impostos e Frete'!$I$4,IF(L478="JP",'Impostos e Frete'!$I$5,IF(L478="RU",'Impostos e Frete'!$I$7,"ERRO")))))</f>
        <v>0.1410816</v>
      </c>
      <c r="CA478" s="210">
        <f>VLOOKUP(L478,'Impostos e Frete'!$A$3:$B$7,2,0)*'Preços e Condições'!BY478</f>
        <v>1.3652600000000001</v>
      </c>
      <c r="CB478" s="147">
        <f t="shared" si="90"/>
        <v>-0.17699999999999999</v>
      </c>
      <c r="CC478" s="147">
        <f>IF(X478="BRL",'Impostos e Frete'!$B$11,'Impostos e Frete'!$B$12)</f>
        <v>9.1999999999999998E-2</v>
      </c>
      <c r="CD478" s="211">
        <f t="shared" ca="1" si="91"/>
        <v>11.923341600000002</v>
      </c>
      <c r="CE478" s="212">
        <f t="shared" ca="1" si="92"/>
        <v>0.81078722880000009</v>
      </c>
      <c r="CF478" s="213">
        <f>VLOOKUP(L478,'Impostos e Frete'!$A$3:$C$7,3,0)</f>
        <v>105</v>
      </c>
      <c r="CG478" s="213">
        <f t="shared" si="93"/>
        <v>120</v>
      </c>
      <c r="CH478" s="213">
        <f t="shared" si="94"/>
        <v>15</v>
      </c>
      <c r="CI478" s="214">
        <f t="shared" ca="1" si="95"/>
        <v>-8.8431442597714849E-2</v>
      </c>
      <c r="CJ478" s="215">
        <f t="shared" ca="1" si="96"/>
        <v>11.834910157402287</v>
      </c>
      <c r="CK478" s="216">
        <f t="shared" ca="1" si="97"/>
        <v>0.80477389070335559</v>
      </c>
    </row>
    <row r="479" spans="1:89">
      <c r="A479" s="203" t="s">
        <v>477</v>
      </c>
      <c r="B479" s="186">
        <v>483</v>
      </c>
      <c r="C479" s="196">
        <v>68</v>
      </c>
      <c r="D479" s="196"/>
      <c r="E479" s="196" t="s">
        <v>50</v>
      </c>
      <c r="F479" s="197" t="s">
        <v>2</v>
      </c>
      <c r="G479" s="185" t="s">
        <v>88</v>
      </c>
      <c r="H479" s="178" t="s">
        <v>63</v>
      </c>
      <c r="I479" s="196">
        <v>32165</v>
      </c>
      <c r="J479" s="196"/>
      <c r="K479" s="196"/>
      <c r="L479" s="178" t="s">
        <v>59</v>
      </c>
      <c r="M479" s="178">
        <v>120</v>
      </c>
      <c r="N479" s="183"/>
      <c r="O479" s="178"/>
      <c r="P479" s="178"/>
      <c r="Q479" s="178"/>
      <c r="R479" s="178" t="s">
        <v>126</v>
      </c>
      <c r="S479" s="181"/>
      <c r="T479" s="181"/>
      <c r="U479" s="182"/>
      <c r="V479" s="182" t="s">
        <v>35</v>
      </c>
      <c r="W479" s="183">
        <v>30</v>
      </c>
      <c r="X479" s="182" t="s">
        <v>51</v>
      </c>
      <c r="Y479" s="202"/>
      <c r="Z479" s="202"/>
      <c r="AA479" s="202"/>
      <c r="AB479" s="202"/>
      <c r="AC479" s="202"/>
      <c r="AD479" s="202"/>
      <c r="AE479" s="202"/>
      <c r="AF479" s="202"/>
      <c r="AG479" s="202"/>
      <c r="AH479" s="202"/>
      <c r="AI479" s="202"/>
      <c r="AJ479" s="202"/>
      <c r="AK479" s="202"/>
      <c r="AL479" s="202"/>
      <c r="AM479" s="202"/>
      <c r="AN479" s="202"/>
      <c r="AO479" s="202"/>
      <c r="AP479" s="202"/>
      <c r="AQ479" s="202"/>
      <c r="AR479" s="202"/>
      <c r="AS479" s="202"/>
      <c r="AT479" s="202"/>
      <c r="AU479" s="202"/>
      <c r="AV479" s="202"/>
      <c r="AW479" s="202"/>
      <c r="AX479" s="202"/>
      <c r="AY479" s="202"/>
      <c r="AZ479" s="202"/>
      <c r="BA479" s="202"/>
      <c r="BB479" s="202"/>
      <c r="BC479" s="202"/>
      <c r="BD479" s="202"/>
      <c r="BE479" s="202"/>
      <c r="BF479" s="202"/>
      <c r="BG479" s="202"/>
      <c r="BH479" s="202"/>
      <c r="BI479" s="184"/>
      <c r="BJ479" s="184"/>
      <c r="BK479" s="184"/>
      <c r="BL479" s="184"/>
      <c r="BM479" s="184"/>
      <c r="BN479" s="184"/>
      <c r="BO479" s="202">
        <v>1830</v>
      </c>
      <c r="BP479" s="202">
        <v>1830</v>
      </c>
      <c r="BQ479" s="202">
        <v>1830</v>
      </c>
      <c r="BR479" s="202"/>
      <c r="BS479" s="202"/>
      <c r="BT479" s="202"/>
      <c r="BU479" s="146" cm="1">
        <f t="array" ref="BU479">LOOKUP(2,1/(Y479:BT479&lt;&gt;""),Y479:BH479)</f>
        <v>1830</v>
      </c>
      <c r="BV479" s="145" cm="1">
        <f t="array" aca="1" ref="BV479" ca="1">_xlfn.LET(
    _xlpm.last_col_idx, LOOKUP(2, 1/(Y479:BT479&lt;&gt;""), COLUMN(Y479:BT479) - COLUMN(Y479) + 1),
    _xlpm.header_val, INDEX($Y$3:$BT$3, 1, _xlpm.last_col_idx),
    _xlpm.header_date, IF(ISNUMBER(_xlpm.header_val), _xlpm.header_val, DATEVALUE(_xlpm.header_val)),
    IF(_xlpm.header_date &gt; TODAY(), TODAY(), _xlpm.header_date)
)</f>
        <v>46212</v>
      </c>
      <c r="BW479" s="209" cm="1">
        <f t="array" ref="BW479">(LOOKUP(2,1/(BH479:BT479&lt;&gt;""),BH479:BT479))/(INDEX(BH479:BT479,MATCH(TRUE,INDEX((BH479:BT479&lt;&gt;0),0),0)))-1</f>
        <v>0</v>
      </c>
      <c r="BX479" s="210">
        <f t="shared" si="88"/>
        <v>1.83</v>
      </c>
      <c r="BY479" s="210">
        <f t="shared" si="89"/>
        <v>10.797000000000001</v>
      </c>
      <c r="BZ479" s="210">
        <f ca="1">IF(L479="BR",'Impostos e Frete'!$F$6,IF(L479="EU",'Impostos e Frete'!$I$3,IF(L479="CN",'Impostos e Frete'!$I$4,IF(L479="JP",'Impostos e Frete'!$I$5,IF(L479="RU",'Impostos e Frete'!$I$7,"ERRO")))))</f>
        <v>0.1410816</v>
      </c>
      <c r="CA479" s="210">
        <f>VLOOKUP(L479,'Impostos e Frete'!$A$3:$B$7,2,0)*'Preços e Condições'!BY479</f>
        <v>1.40361</v>
      </c>
      <c r="CB479" s="147">
        <f t="shared" si="90"/>
        <v>-0.17699999999999999</v>
      </c>
      <c r="CC479" s="147">
        <f>IF(X479="BRL",'Impostos e Frete'!$B$11,'Impostos e Frete'!$B$12)</f>
        <v>9.1999999999999998E-2</v>
      </c>
      <c r="CD479" s="211">
        <f t="shared" ca="1" si="91"/>
        <v>12.256691600000002</v>
      </c>
      <c r="CE479" s="212">
        <f t="shared" ca="1" si="92"/>
        <v>0.83345502880000011</v>
      </c>
      <c r="CF479" s="213">
        <f>VLOOKUP(L479,'Impostos e Frete'!$A$3:$C$7,3,0)</f>
        <v>105</v>
      </c>
      <c r="CG479" s="213">
        <f t="shared" si="93"/>
        <v>120</v>
      </c>
      <c r="CH479" s="213">
        <f t="shared" si="94"/>
        <v>15</v>
      </c>
      <c r="CI479" s="214">
        <f t="shared" ca="1" si="95"/>
        <v>-9.0903788218504644E-2</v>
      </c>
      <c r="CJ479" s="215">
        <f t="shared" ca="1" si="96"/>
        <v>12.165787811781497</v>
      </c>
      <c r="CK479" s="216">
        <f t="shared" ca="1" si="97"/>
        <v>0.82727357120114176</v>
      </c>
    </row>
    <row r="480" spans="1:89">
      <c r="A480" s="203" t="s">
        <v>473</v>
      </c>
      <c r="B480" s="186">
        <v>2638</v>
      </c>
      <c r="C480" s="196">
        <v>68</v>
      </c>
      <c r="D480" s="196"/>
      <c r="E480" s="196" t="s">
        <v>50</v>
      </c>
      <c r="F480" s="197" t="s">
        <v>0</v>
      </c>
      <c r="G480" s="185" t="s">
        <v>474</v>
      </c>
      <c r="H480" s="178" t="s">
        <v>42</v>
      </c>
      <c r="I480" s="196">
        <v>2638</v>
      </c>
      <c r="J480" s="196"/>
      <c r="K480" s="196"/>
      <c r="L480" s="178" t="s">
        <v>60</v>
      </c>
      <c r="M480" s="178">
        <v>90</v>
      </c>
      <c r="N480" s="178">
        <v>3300</v>
      </c>
      <c r="O480" s="178"/>
      <c r="P480" s="178"/>
      <c r="Q480" s="178"/>
      <c r="R480" s="183" t="s">
        <v>19</v>
      </c>
      <c r="S480" s="181"/>
      <c r="T480" s="181"/>
      <c r="U480" s="182"/>
      <c r="V480" s="182" t="s">
        <v>35</v>
      </c>
      <c r="W480" s="183">
        <v>100</v>
      </c>
      <c r="X480" s="182" t="s">
        <v>267</v>
      </c>
      <c r="Y480" s="202"/>
      <c r="Z480" s="202"/>
      <c r="AA480" s="202"/>
      <c r="AB480" s="202"/>
      <c r="AC480" s="202"/>
      <c r="AD480" s="202"/>
      <c r="AE480" s="202"/>
      <c r="AF480" s="202"/>
      <c r="AG480" s="202"/>
      <c r="AH480" s="202"/>
      <c r="AI480" s="202"/>
      <c r="AJ480" s="202"/>
      <c r="AK480" s="202"/>
      <c r="AL480" s="202"/>
      <c r="AM480" s="202"/>
      <c r="AN480" s="202"/>
      <c r="AO480" s="202"/>
      <c r="AP480" s="202"/>
      <c r="AQ480" s="202"/>
      <c r="AR480" s="202"/>
      <c r="AS480" s="202"/>
      <c r="AT480" s="202"/>
      <c r="AU480" s="202"/>
      <c r="AV480" s="202"/>
      <c r="AW480" s="202"/>
      <c r="AX480" s="202"/>
      <c r="AY480" s="202"/>
      <c r="AZ480" s="202"/>
      <c r="BA480" s="202"/>
      <c r="BB480" s="202"/>
      <c r="BC480" s="202"/>
      <c r="BD480" s="202"/>
      <c r="BE480" s="202"/>
      <c r="BF480" s="202"/>
      <c r="BG480" s="202"/>
      <c r="BH480" s="202"/>
      <c r="BI480" s="184">
        <v>13900</v>
      </c>
      <c r="BJ480" s="184">
        <v>13900</v>
      </c>
      <c r="BK480" s="184">
        <v>13900</v>
      </c>
      <c r="BL480" s="184">
        <v>13900</v>
      </c>
      <c r="BM480" s="184">
        <v>13900</v>
      </c>
      <c r="BN480" s="184">
        <v>13900</v>
      </c>
      <c r="BO480" s="202"/>
      <c r="BP480" s="202"/>
      <c r="BQ480" s="202"/>
      <c r="BR480" s="202"/>
      <c r="BS480" s="202"/>
      <c r="BT480" s="202"/>
      <c r="BU480" s="146" cm="1">
        <f t="array" ref="BU480">LOOKUP(2,1/(Y480:BT480&lt;&gt;""),Y480:BH480)</f>
        <v>13900</v>
      </c>
      <c r="BV480" s="145" cm="1">
        <f t="array" aca="1" ref="BV480" ca="1">_xlfn.LET(
    _xlpm.last_col_idx, LOOKUP(2, 1/(Y480:BT480&lt;&gt;""), COLUMN(Y480:BT480) - COLUMN(Y480) + 1),
    _xlpm.header_val, INDEX($Y$3:$BT$3, 1, _xlpm.last_col_idx),
    _xlpm.header_date, IF(ISNUMBER(_xlpm.header_val), _xlpm.header_val, DATEVALUE(_xlpm.header_val)),
    IF(_xlpm.header_date &gt; TODAY(), TODAY(), _xlpm.header_date)
)</f>
        <v>46174</v>
      </c>
      <c r="BW480" s="209" cm="1">
        <f t="array" ref="BW480">(LOOKUP(2,1/(BH480:BT480&lt;&gt;""),BH480:BT480))/(INDEX(BH480:BT480,MATCH(TRUE,INDEX((BH480:BT480&lt;&gt;0),0),0)))-1</f>
        <v>0</v>
      </c>
      <c r="BX480" s="210">
        <f t="shared" si="88"/>
        <v>13.9</v>
      </c>
      <c r="BY480" s="210">
        <f t="shared" si="89"/>
        <v>10.425000000000001</v>
      </c>
      <c r="BZ480" s="210">
        <f ca="1">IF(L480="BR",'Impostos e Frete'!$F$6,IF(L480="EU",'Impostos e Frete'!$I$3,IF(L480="CN",'Impostos e Frete'!$I$4,IF(L480="JP",'Impostos e Frete'!$I$5,IF(L480="RU",'Impostos e Frete'!$I$7,"ERRO")))))</f>
        <v>1.1330439999999999</v>
      </c>
      <c r="CA480" s="210">
        <f>VLOOKUP(L480,'Impostos e Frete'!$A$3:$B$7,2,0)*'Preços e Condições'!BY480</f>
        <v>1.4595000000000002</v>
      </c>
      <c r="CB480" s="147">
        <f t="shared" si="90"/>
        <v>0</v>
      </c>
      <c r="CC480" s="147">
        <f>IF(X480="BRL",'Impostos e Frete'!$B$11,'Impostos e Frete'!$B$12)</f>
        <v>9.1999999999999998E-2</v>
      </c>
      <c r="CD480" s="211">
        <f t="shared" ca="1" si="91"/>
        <v>13.109544000000001</v>
      </c>
      <c r="CE480" s="212">
        <f t="shared" ca="1" si="92"/>
        <v>0.89144899200000005</v>
      </c>
      <c r="CF480" s="213">
        <f>VLOOKUP(L480,'Impostos e Frete'!$A$3:$C$7,3,0)</f>
        <v>120</v>
      </c>
      <c r="CG480" s="213">
        <f t="shared" si="93"/>
        <v>90</v>
      </c>
      <c r="CH480" s="213">
        <f t="shared" si="94"/>
        <v>-30</v>
      </c>
      <c r="CI480" s="214">
        <f t="shared" ca="1" si="95"/>
        <v>0.19664315999999893</v>
      </c>
      <c r="CJ480" s="215">
        <f t="shared" ca="1" si="96"/>
        <v>13.30618716</v>
      </c>
      <c r="CK480" s="216">
        <f t="shared" ca="1" si="97"/>
        <v>0.90482072688000004</v>
      </c>
    </row>
    <row r="481" spans="1:89">
      <c r="A481" s="203" t="s">
        <v>471</v>
      </c>
      <c r="B481" s="186">
        <v>1410</v>
      </c>
      <c r="C481" s="196">
        <v>68</v>
      </c>
      <c r="D481" s="196"/>
      <c r="E481" s="196" t="s">
        <v>50</v>
      </c>
      <c r="F481" s="197" t="s">
        <v>108</v>
      </c>
      <c r="G481" s="185" t="s">
        <v>129</v>
      </c>
      <c r="H481" s="178" t="s">
        <v>61</v>
      </c>
      <c r="I481" s="196"/>
      <c r="J481" s="196"/>
      <c r="K481" s="196"/>
      <c r="L481" s="178" t="s">
        <v>59</v>
      </c>
      <c r="M481" s="178">
        <v>30</v>
      </c>
      <c r="N481" s="183">
        <v>500</v>
      </c>
      <c r="O481" s="178"/>
      <c r="P481" s="178"/>
      <c r="Q481" s="178"/>
      <c r="R481" s="178" t="s">
        <v>19</v>
      </c>
      <c r="S481" s="181"/>
      <c r="T481" s="181"/>
      <c r="U481" s="182"/>
      <c r="V481" s="182" t="s">
        <v>35</v>
      </c>
      <c r="W481" s="183">
        <v>80</v>
      </c>
      <c r="X481" s="182" t="s">
        <v>51</v>
      </c>
      <c r="Y481" s="202"/>
      <c r="Z481" s="202"/>
      <c r="AA481" s="202"/>
      <c r="AB481" s="202"/>
      <c r="AC481" s="202"/>
      <c r="AD481" s="202"/>
      <c r="AE481" s="202"/>
      <c r="AF481" s="202"/>
      <c r="AG481" s="202"/>
      <c r="AH481" s="202"/>
      <c r="AI481" s="202"/>
      <c r="AJ481" s="202"/>
      <c r="AK481" s="202"/>
      <c r="AL481" s="202"/>
      <c r="AM481" s="202"/>
      <c r="AN481" s="202"/>
      <c r="AO481" s="202"/>
      <c r="AP481" s="202"/>
      <c r="AQ481" s="202"/>
      <c r="AR481" s="202"/>
      <c r="AS481" s="202"/>
      <c r="AT481" s="202"/>
      <c r="AU481" s="202"/>
      <c r="AV481" s="202"/>
      <c r="AW481" s="202"/>
      <c r="AX481" s="202"/>
      <c r="AY481" s="202"/>
      <c r="AZ481" s="202"/>
      <c r="BA481" s="202"/>
      <c r="BB481" s="202"/>
      <c r="BC481" s="202"/>
      <c r="BD481" s="202"/>
      <c r="BE481" s="202"/>
      <c r="BF481" s="202"/>
      <c r="BG481" s="202"/>
      <c r="BH481" s="202"/>
      <c r="BI481" s="184"/>
      <c r="BJ481" s="184"/>
      <c r="BK481" s="184"/>
      <c r="BL481" s="184"/>
      <c r="BM481" s="184"/>
      <c r="BN481" s="184">
        <v>1790</v>
      </c>
      <c r="BO481" s="202">
        <v>1790</v>
      </c>
      <c r="BP481" s="202">
        <v>1790</v>
      </c>
      <c r="BQ481" s="202">
        <v>1790</v>
      </c>
      <c r="BR481" s="202"/>
      <c r="BS481" s="202"/>
      <c r="BT481" s="202"/>
      <c r="BU481" s="146" cm="1">
        <f t="array" ref="BU481">LOOKUP(2,1/(Y481:BT481&lt;&gt;""),Y481:BH481)</f>
        <v>1790</v>
      </c>
      <c r="BV481" s="145" cm="1">
        <f t="array" aca="1" ref="BV481" ca="1">_xlfn.LET(
    _xlpm.last_col_idx, LOOKUP(2, 1/(Y481:BT481&lt;&gt;""), COLUMN(Y481:BT481) - COLUMN(Y481) + 1),
    _xlpm.header_val, INDEX($Y$3:$BT$3, 1, _xlpm.last_col_idx),
    _xlpm.header_date, IF(ISNUMBER(_xlpm.header_val), _xlpm.header_val, DATEVALUE(_xlpm.header_val)),
    IF(_xlpm.header_date &gt; TODAY(), TODAY(), _xlpm.header_date)
)</f>
        <v>46212</v>
      </c>
      <c r="BW481" s="209" cm="1">
        <f t="array" ref="BW481">(LOOKUP(2,1/(BH481:BT481&lt;&gt;""),BH481:BT481))/(INDEX(BH481:BT481,MATCH(TRUE,INDEX((BH481:BT481&lt;&gt;0),0),0)))-1</f>
        <v>0</v>
      </c>
      <c r="BX481" s="210">
        <f t="shared" si="88"/>
        <v>1.79</v>
      </c>
      <c r="BY481" s="210">
        <f t="shared" si="89"/>
        <v>10.561000000000002</v>
      </c>
      <c r="BZ481" s="210">
        <f ca="1">IF(L481="BR",'Impostos e Frete'!$F$6,IF(L481="EU",'Impostos e Frete'!$I$3,IF(L481="CN",'Impostos e Frete'!$I$4,IF(L481="JP",'Impostos e Frete'!$I$5,IF(L481="RU",'Impostos e Frete'!$I$7,"ERRO")))))</f>
        <v>0.1410816</v>
      </c>
      <c r="CA481" s="210">
        <f>VLOOKUP(L481,'Impostos e Frete'!$A$3:$B$7,2,0)*'Preços e Condições'!BY481</f>
        <v>1.3729300000000002</v>
      </c>
      <c r="CB481" s="147">
        <f t="shared" si="90"/>
        <v>0</v>
      </c>
      <c r="CC481" s="147">
        <f>IF(X481="BRL",'Impostos e Frete'!$B$11,'Impostos e Frete'!$B$12)</f>
        <v>9.1999999999999998E-2</v>
      </c>
      <c r="CD481" s="211">
        <f t="shared" ca="1" si="91"/>
        <v>12.167011600000002</v>
      </c>
      <c r="CE481" s="212">
        <f t="shared" ca="1" si="92"/>
        <v>0.82735678880000019</v>
      </c>
      <c r="CF481" s="213">
        <f>VLOOKUP(L481,'Impostos e Frete'!$A$3:$C$7,3,0)</f>
        <v>105</v>
      </c>
      <c r="CG481" s="213">
        <f t="shared" si="93"/>
        <v>30</v>
      </c>
      <c r="CH481" s="213">
        <f t="shared" si="94"/>
        <v>-75</v>
      </c>
      <c r="CI481" s="214">
        <f t="shared" ca="1" si="95"/>
        <v>0.46140870146065538</v>
      </c>
      <c r="CJ481" s="215">
        <f t="shared" ca="1" si="96"/>
        <v>12.628420301460658</v>
      </c>
      <c r="CK481" s="216">
        <f t="shared" ca="1" si="97"/>
        <v>0.85873258049932477</v>
      </c>
    </row>
    <row r="482" spans="1:89">
      <c r="A482" s="203" t="s">
        <v>470</v>
      </c>
      <c r="B482" s="186">
        <v>1430</v>
      </c>
      <c r="C482" s="196">
        <v>68</v>
      </c>
      <c r="D482" s="196"/>
      <c r="E482" s="196" t="s">
        <v>50</v>
      </c>
      <c r="F482" s="197" t="s">
        <v>108</v>
      </c>
      <c r="G482" s="185" t="s">
        <v>130</v>
      </c>
      <c r="H482" s="178" t="s">
        <v>61</v>
      </c>
      <c r="I482" s="196"/>
      <c r="J482" s="196"/>
      <c r="K482" s="196"/>
      <c r="L482" s="178" t="s">
        <v>59</v>
      </c>
      <c r="M482" s="178">
        <v>30</v>
      </c>
      <c r="N482" s="183">
        <v>500</v>
      </c>
      <c r="O482" s="178"/>
      <c r="P482" s="178"/>
      <c r="Q482" s="178"/>
      <c r="R482" s="178" t="s">
        <v>19</v>
      </c>
      <c r="S482" s="181"/>
      <c r="T482" s="181"/>
      <c r="U482" s="182"/>
      <c r="V482" s="182" t="s">
        <v>35</v>
      </c>
      <c r="W482" s="183">
        <v>80</v>
      </c>
      <c r="X482" s="182" t="s">
        <v>51</v>
      </c>
      <c r="Y482" s="202"/>
      <c r="Z482" s="202"/>
      <c r="AA482" s="202"/>
      <c r="AB482" s="202"/>
      <c r="AC482" s="202"/>
      <c r="AD482" s="202"/>
      <c r="AE482" s="202"/>
      <c r="AF482" s="202"/>
      <c r="AG482" s="202"/>
      <c r="AH482" s="202"/>
      <c r="AI482" s="202"/>
      <c r="AJ482" s="202"/>
      <c r="AK482" s="202"/>
      <c r="AL482" s="202"/>
      <c r="AM482" s="202"/>
      <c r="AN482" s="202"/>
      <c r="AO482" s="202"/>
      <c r="AP482" s="202"/>
      <c r="AQ482" s="202"/>
      <c r="AR482" s="202"/>
      <c r="AS482" s="202"/>
      <c r="AT482" s="202"/>
      <c r="AU482" s="202"/>
      <c r="AV482" s="202"/>
      <c r="AW482" s="202"/>
      <c r="AX482" s="202"/>
      <c r="AY482" s="202"/>
      <c r="AZ482" s="202"/>
      <c r="BA482" s="202"/>
      <c r="BB482" s="202"/>
      <c r="BC482" s="202"/>
      <c r="BD482" s="202"/>
      <c r="BE482" s="202"/>
      <c r="BF482" s="202"/>
      <c r="BG482" s="202"/>
      <c r="BH482" s="202"/>
      <c r="BI482" s="184"/>
      <c r="BJ482" s="184"/>
      <c r="BK482" s="184"/>
      <c r="BL482" s="184"/>
      <c r="BM482" s="202"/>
      <c r="BN482" s="202">
        <v>1900</v>
      </c>
      <c r="BO482" s="202">
        <v>1900</v>
      </c>
      <c r="BP482" s="202">
        <v>1900</v>
      </c>
      <c r="BQ482" s="202">
        <v>1900</v>
      </c>
      <c r="BR482" s="202"/>
      <c r="BS482" s="202"/>
      <c r="BT482" s="202"/>
      <c r="BU482" s="146" cm="1">
        <f t="array" ref="BU482">LOOKUP(2,1/(Y482:BT482&lt;&gt;""),Y482:BH482)</f>
        <v>1900</v>
      </c>
      <c r="BV482" s="145" cm="1">
        <f t="array" aca="1" ref="BV482" ca="1">_xlfn.LET(
    _xlpm.last_col_idx, LOOKUP(2, 1/(Y482:BT482&lt;&gt;""), COLUMN(Y482:BT482) - COLUMN(Y482) + 1),
    _xlpm.header_val, INDEX($Y$3:$BT$3, 1, _xlpm.last_col_idx),
    _xlpm.header_date, IF(ISNUMBER(_xlpm.header_val), _xlpm.header_val, DATEVALUE(_xlpm.header_val)),
    IF(_xlpm.header_date &gt; TODAY(), TODAY(), _xlpm.header_date)
)</f>
        <v>46212</v>
      </c>
      <c r="BW482" s="209" cm="1">
        <f t="array" ref="BW482">(LOOKUP(2,1/(BH482:BT482&lt;&gt;""),BH482:BT482))/(INDEX(BH482:BT482,MATCH(TRUE,INDEX((BH482:BT482&lt;&gt;0),0),0)))-1</f>
        <v>0</v>
      </c>
      <c r="BX482" s="210">
        <f t="shared" si="88"/>
        <v>1.9</v>
      </c>
      <c r="BY482" s="210">
        <f t="shared" si="89"/>
        <v>11.21</v>
      </c>
      <c r="BZ482" s="210">
        <f ca="1">IF(L482="BR",'Impostos e Frete'!$F$6,IF(L482="EU",'Impostos e Frete'!$I$3,IF(L482="CN",'Impostos e Frete'!$I$4,IF(L482="JP",'Impostos e Frete'!$I$5,IF(L482="RU",'Impostos e Frete'!$I$7,"ERRO")))))</f>
        <v>0.1410816</v>
      </c>
      <c r="CA482" s="210">
        <f>VLOOKUP(L482,'Impostos e Frete'!$A$3:$B$7,2,0)*'Preços e Condições'!BY482</f>
        <v>1.4573000000000003</v>
      </c>
      <c r="CB482" s="147">
        <f t="shared" si="90"/>
        <v>0</v>
      </c>
      <c r="CC482" s="147">
        <f>IF(X482="BRL",'Impostos e Frete'!$B$11,'Impostos e Frete'!$B$12)</f>
        <v>9.1999999999999998E-2</v>
      </c>
      <c r="CD482" s="211">
        <f t="shared" ca="1" si="91"/>
        <v>12.900381600000001</v>
      </c>
      <c r="CE482" s="212">
        <f t="shared" ca="1" si="92"/>
        <v>0.87722594880000015</v>
      </c>
      <c r="CF482" s="213">
        <f>VLOOKUP(L482,'Impostos e Frete'!$A$3:$C$7,3,0)</f>
        <v>105</v>
      </c>
      <c r="CG482" s="213">
        <f t="shared" si="93"/>
        <v>30</v>
      </c>
      <c r="CH482" s="213">
        <f t="shared" si="94"/>
        <v>-75</v>
      </c>
      <c r="CI482" s="214">
        <f t="shared" ca="1" si="95"/>
        <v>0.48922023896179567</v>
      </c>
      <c r="CJ482" s="215">
        <f t="shared" ca="1" si="96"/>
        <v>13.389601838961797</v>
      </c>
      <c r="CK482" s="216">
        <f t="shared" ca="1" si="97"/>
        <v>0.91049292504940216</v>
      </c>
    </row>
    <row r="483" spans="1:89">
      <c r="A483" s="176" t="s">
        <v>301</v>
      </c>
      <c r="B483" s="177" t="s">
        <v>149</v>
      </c>
      <c r="C483" s="178">
        <v>35</v>
      </c>
      <c r="D483" s="178"/>
      <c r="E483" s="196" t="s">
        <v>150</v>
      </c>
      <c r="F483" s="179" t="s">
        <v>151</v>
      </c>
      <c r="G483" s="189" t="s">
        <v>152</v>
      </c>
      <c r="H483" s="178" t="s">
        <v>43</v>
      </c>
      <c r="I483" s="178"/>
      <c r="J483" s="178"/>
      <c r="K483" s="178"/>
      <c r="L483" s="178" t="s">
        <v>58</v>
      </c>
      <c r="M483" s="178">
        <v>30</v>
      </c>
      <c r="N483" s="178"/>
      <c r="O483" s="178"/>
      <c r="P483" s="178"/>
      <c r="Q483" s="178"/>
      <c r="R483" s="178" t="s">
        <v>19</v>
      </c>
      <c r="S483" s="181"/>
      <c r="T483" s="181"/>
      <c r="U483" s="182"/>
      <c r="V483" s="182" t="s">
        <v>35</v>
      </c>
      <c r="W483" s="183"/>
      <c r="X483" s="182" t="s">
        <v>46</v>
      </c>
      <c r="Y483" s="202"/>
      <c r="Z483" s="202"/>
      <c r="AA483" s="202"/>
      <c r="AB483" s="202"/>
      <c r="AC483" s="202"/>
      <c r="AD483" s="202"/>
      <c r="AE483" s="202"/>
      <c r="AF483" s="202"/>
      <c r="AG483" s="202"/>
      <c r="AH483" s="202"/>
      <c r="AI483" s="202"/>
      <c r="AJ483" s="202"/>
      <c r="AK483" s="202"/>
      <c r="AL483" s="202"/>
      <c r="AM483" s="202">
        <v>9367</v>
      </c>
      <c r="AN483" s="202">
        <v>9367</v>
      </c>
      <c r="AO483" s="202">
        <v>9367</v>
      </c>
      <c r="AP483" s="202">
        <v>9367</v>
      </c>
      <c r="AQ483" s="202"/>
      <c r="AR483" s="202"/>
      <c r="AS483" s="202"/>
      <c r="AT483" s="202"/>
      <c r="AU483" s="202"/>
      <c r="AV483" s="202"/>
      <c r="AW483" s="202"/>
      <c r="AX483" s="202"/>
      <c r="AY483" s="202"/>
      <c r="AZ483" s="202">
        <v>8984.25</v>
      </c>
      <c r="BA483" s="202">
        <v>8984.25</v>
      </c>
      <c r="BB483" s="202">
        <v>8984.25</v>
      </c>
      <c r="BC483" s="202">
        <v>9568.2262499999997</v>
      </c>
      <c r="BD483" s="202">
        <v>9568.2262499999997</v>
      </c>
      <c r="BE483" s="202">
        <v>9568.2262499999997</v>
      </c>
      <c r="BF483" s="202"/>
      <c r="BG483" s="202"/>
      <c r="BH483" s="202"/>
      <c r="BI483" s="184"/>
      <c r="BJ483" s="184"/>
      <c r="BK483" s="184"/>
      <c r="BL483" s="184"/>
      <c r="BM483" s="184"/>
      <c r="BN483" s="184"/>
      <c r="BO483" s="202"/>
      <c r="BP483" s="202"/>
      <c r="BQ483" s="202"/>
      <c r="BR483" s="202"/>
      <c r="BS483" s="202"/>
      <c r="BT483" s="202"/>
      <c r="BU483" s="146" cm="1">
        <f t="array" ref="BU483">LOOKUP(2,1/(Y483:BT483&lt;&gt;""),Y483:BH483)</f>
        <v>9568.2262499999997</v>
      </c>
      <c r="BV483" s="145" cm="1">
        <f t="array" aca="1" ref="BV483" ca="1">_xlfn.LET(
    _xlpm.last_col_idx, LOOKUP(2, 1/(Y483:BT483&lt;&gt;""), COLUMN(Y483:BT483) - COLUMN(Y483) + 1),
    _xlpm.header_val, INDEX($Y$3:$BT$3, 1, _xlpm.last_col_idx),
    _xlpm.header_date, IF(ISNUMBER(_xlpm.header_val), _xlpm.header_val, DATEVALUE(_xlpm.header_val)),
    IF(_xlpm.header_date &gt; TODAY(), TODAY(), _xlpm.header_date)
)</f>
        <v>45901</v>
      </c>
      <c r="BW483" s="209" t="e" cm="1">
        <f t="array" ref="BW483">(LOOKUP(2,1/(BH483:BT483&lt;&gt;""),BH483:BT483))/(INDEX(BH483:BT483,MATCH(TRUE,INDEX((BH483:BT483&lt;&gt;0),0),0)))-1</f>
        <v>#N/A</v>
      </c>
      <c r="BX483" s="210">
        <f t="shared" si="88"/>
        <v>9.5682262500000004</v>
      </c>
      <c r="BY483" s="210">
        <f t="shared" si="89"/>
        <v>9.5682262500000004</v>
      </c>
      <c r="BZ483" s="210">
        <f>IF(L483="BR",'Impostos e Frete'!$F$6,IF(L483="EU",'Impostos e Frete'!$I$3,IF(L483="CN",'Impostos e Frete'!$I$4,IF(L483="JP",'Impostos e Frete'!$I$5,IF(L483="RU",'Impostos e Frete'!$I$7,"ERRO")))))</f>
        <v>0</v>
      </c>
      <c r="CA483" s="210">
        <f>VLOOKUP(L483,'Impostos e Frete'!$A$3:$B$7,2,0)*'Preços e Condições'!BY483</f>
        <v>0</v>
      </c>
      <c r="CB483" s="147">
        <f t="shared" si="90"/>
        <v>0</v>
      </c>
      <c r="CC483" s="147">
        <f>IF(X483="BRL",'Impostos e Frete'!$B$11,'Impostos e Frete'!$B$12)</f>
        <v>0.2</v>
      </c>
      <c r="CD483" s="211">
        <f t="shared" si="91"/>
        <v>9.7682262499999997</v>
      </c>
      <c r="CE483" s="212">
        <f t="shared" si="92"/>
        <v>0.34188791874999996</v>
      </c>
      <c r="CF483" s="213">
        <f>VLOOKUP(L483,'Impostos e Frete'!$A$3:$C$7,3,0)</f>
        <v>45</v>
      </c>
      <c r="CG483" s="213">
        <f t="shared" si="93"/>
        <v>30</v>
      </c>
      <c r="CH483" s="213">
        <f t="shared" si="94"/>
        <v>-15</v>
      </c>
      <c r="CI483" s="214">
        <f t="shared" si="95"/>
        <v>7.2989006880469276E-2</v>
      </c>
      <c r="CJ483" s="215">
        <f t="shared" si="96"/>
        <v>9.8412152568804689</v>
      </c>
      <c r="CK483" s="216">
        <f t="shared" si="97"/>
        <v>0.34444253399081642</v>
      </c>
    </row>
    <row r="484" spans="1:89">
      <c r="A484" s="176"/>
      <c r="B484" s="177">
        <v>104</v>
      </c>
      <c r="C484" s="178">
        <v>70</v>
      </c>
      <c r="D484" s="178">
        <v>1870</v>
      </c>
      <c r="E484" s="196" t="s">
        <v>50</v>
      </c>
      <c r="F484" s="179" t="s">
        <v>3</v>
      </c>
      <c r="G484" s="180" t="s">
        <v>297</v>
      </c>
      <c r="H484" s="178" t="s">
        <v>43</v>
      </c>
      <c r="I484" s="178" t="s">
        <v>157</v>
      </c>
      <c r="J484" s="178"/>
      <c r="K484" s="178"/>
      <c r="L484" s="178" t="s">
        <v>60</v>
      </c>
      <c r="M484" s="178">
        <v>90</v>
      </c>
      <c r="N484" s="178">
        <v>3300</v>
      </c>
      <c r="O484" s="178"/>
      <c r="P484" s="178">
        <v>90</v>
      </c>
      <c r="Q484" s="178"/>
      <c r="R484" s="178" t="s">
        <v>19</v>
      </c>
      <c r="S484" s="181"/>
      <c r="T484" s="181"/>
      <c r="U484" s="182"/>
      <c r="V484" s="182" t="s">
        <v>35</v>
      </c>
      <c r="W484" s="183">
        <v>100</v>
      </c>
      <c r="X484" s="182" t="s">
        <v>267</v>
      </c>
      <c r="Y484" s="202"/>
      <c r="Z484" s="202"/>
      <c r="AA484" s="202"/>
      <c r="AB484" s="202"/>
      <c r="AC484" s="202"/>
      <c r="AD484" s="202"/>
      <c r="AE484" s="202"/>
      <c r="AF484" s="202"/>
      <c r="AG484" s="202"/>
      <c r="AH484" s="202"/>
      <c r="AI484" s="202"/>
      <c r="AJ484" s="202"/>
      <c r="AK484" s="202"/>
      <c r="AL484" s="202"/>
      <c r="AM484" s="202">
        <v>1800</v>
      </c>
      <c r="AN484" s="202">
        <v>1800</v>
      </c>
      <c r="AO484" s="202">
        <v>1800</v>
      </c>
      <c r="AP484" s="202">
        <v>1800</v>
      </c>
      <c r="AQ484" s="202"/>
      <c r="AR484" s="202"/>
      <c r="AS484" s="202"/>
      <c r="AT484" s="202"/>
      <c r="AU484" s="202"/>
      <c r="AV484" s="202"/>
      <c r="AW484" s="202"/>
      <c r="AX484" s="202"/>
      <c r="AY484" s="202"/>
      <c r="AZ484" s="202">
        <v>13700</v>
      </c>
      <c r="BA484" s="202">
        <v>13700</v>
      </c>
      <c r="BB484" s="202">
        <v>13700</v>
      </c>
      <c r="BC484" s="202"/>
      <c r="BD484" s="202"/>
      <c r="BE484" s="202"/>
      <c r="BF484" s="202"/>
      <c r="BG484" s="202">
        <v>11700</v>
      </c>
      <c r="BH484" s="202"/>
      <c r="BI484" s="184"/>
      <c r="BJ484" s="184"/>
      <c r="BK484" s="184"/>
      <c r="BL484" s="184"/>
      <c r="BM484" s="184"/>
      <c r="BN484" s="184"/>
      <c r="BO484" s="202"/>
      <c r="BP484" s="202"/>
      <c r="BQ484" s="202"/>
      <c r="BR484" s="202"/>
      <c r="BS484" s="202"/>
      <c r="BT484" s="202"/>
      <c r="BU484" s="146" cm="1">
        <f t="array" ref="BU484">LOOKUP(2,1/(Y484:BT484&lt;&gt;""),Y484:BH484)</f>
        <v>11700</v>
      </c>
      <c r="BV484" s="145" cm="1">
        <f t="array" aca="1" ref="BV484" ca="1">_xlfn.LET(
    _xlpm.last_col_idx, LOOKUP(2, 1/(Y484:BT484&lt;&gt;""), COLUMN(Y484:BT484) - COLUMN(Y484) + 1),
    _xlpm.header_val, INDEX($Y$3:$BT$3, 1, _xlpm.last_col_idx),
    _xlpm.header_date, IF(ISNUMBER(_xlpm.header_val), _xlpm.header_val, DATEVALUE(_xlpm.header_val)),
    IF(_xlpm.header_date &gt; TODAY(), TODAY(), _xlpm.header_date)
)</f>
        <v>45962</v>
      </c>
      <c r="BW484" s="209" t="e" cm="1">
        <f t="array" ref="BW484">(LOOKUP(2,1/(BH484:BT484&lt;&gt;""),BH484:BT484))/(INDEX(BH484:BT484,MATCH(TRUE,INDEX((BH484:BT484&lt;&gt;0),0),0)))-1</f>
        <v>#N/A</v>
      </c>
      <c r="BX484" s="210">
        <f t="shared" si="88"/>
        <v>11.7</v>
      </c>
      <c r="BY484" s="210">
        <f t="shared" si="89"/>
        <v>8.7749999999999986</v>
      </c>
      <c r="BZ484" s="210">
        <f ca="1">IF(L484="BR",'Impostos e Frete'!$F$6,IF(L484="EU",'Impostos e Frete'!$I$3,IF(L484="CN",'Impostos e Frete'!$I$4,IF(L484="JP",'Impostos e Frete'!$I$5,IF(L484="RU",'Impostos e Frete'!$I$7,"ERRO")))))</f>
        <v>1.1330439999999999</v>
      </c>
      <c r="CA484" s="210">
        <f>VLOOKUP(L484,'Impostos e Frete'!$A$3:$B$7,2,0)*'Preços e Condições'!BY484</f>
        <v>1.2284999999999999</v>
      </c>
      <c r="CB484" s="147">
        <f t="shared" si="90"/>
        <v>0</v>
      </c>
      <c r="CC484" s="147">
        <f>IF(X484="BRL",'Impostos e Frete'!$B$11,'Impostos e Frete'!$B$12)</f>
        <v>9.1999999999999998E-2</v>
      </c>
      <c r="CD484" s="211">
        <f t="shared" ca="1" si="91"/>
        <v>11.228543999999999</v>
      </c>
      <c r="CE484" s="212">
        <f t="shared" ca="1" si="92"/>
        <v>0.78599808000000004</v>
      </c>
      <c r="CF484" s="213">
        <f>VLOOKUP(L484,'Impostos e Frete'!$A$3:$C$7,3,0)</f>
        <v>120</v>
      </c>
      <c r="CG484" s="213">
        <f t="shared" si="93"/>
        <v>90</v>
      </c>
      <c r="CH484" s="213">
        <f t="shared" si="94"/>
        <v>-30</v>
      </c>
      <c r="CI484" s="214">
        <f t="shared" ca="1" si="95"/>
        <v>0.16842815999999949</v>
      </c>
      <c r="CJ484" s="215">
        <f t="shared" ca="1" si="96"/>
        <v>11.396972159999999</v>
      </c>
      <c r="CK484" s="216">
        <f t="shared" ca="1" si="97"/>
        <v>0.79778805119999996</v>
      </c>
    </row>
    <row r="485" spans="1:89">
      <c r="A485" s="176"/>
      <c r="B485" s="177">
        <v>104</v>
      </c>
      <c r="C485" s="178">
        <v>80</v>
      </c>
      <c r="D485" s="178">
        <v>1870</v>
      </c>
      <c r="E485" s="196" t="s">
        <v>50</v>
      </c>
      <c r="F485" s="179" t="s">
        <v>3</v>
      </c>
      <c r="G485" s="180" t="s">
        <v>297</v>
      </c>
      <c r="H485" s="178" t="s">
        <v>43</v>
      </c>
      <c r="I485" s="178" t="s">
        <v>157</v>
      </c>
      <c r="J485" s="196"/>
      <c r="K485" s="196"/>
      <c r="L485" s="178" t="s">
        <v>60</v>
      </c>
      <c r="M485" s="178">
        <v>90</v>
      </c>
      <c r="N485" s="178">
        <v>3300</v>
      </c>
      <c r="O485" s="178"/>
      <c r="P485" s="178">
        <v>90</v>
      </c>
      <c r="Q485" s="178"/>
      <c r="R485" s="178" t="s">
        <v>19</v>
      </c>
      <c r="S485" s="181"/>
      <c r="T485" s="181"/>
      <c r="U485" s="182"/>
      <c r="V485" s="182" t="s">
        <v>35</v>
      </c>
      <c r="W485" s="183">
        <v>100</v>
      </c>
      <c r="X485" s="182" t="s">
        <v>267</v>
      </c>
      <c r="Y485" s="202"/>
      <c r="Z485" s="202"/>
      <c r="AA485" s="202"/>
      <c r="AB485" s="202"/>
      <c r="AC485" s="202"/>
      <c r="AD485" s="202"/>
      <c r="AE485" s="202"/>
      <c r="AF485" s="202"/>
      <c r="AG485" s="202"/>
      <c r="AH485" s="202"/>
      <c r="AI485" s="202"/>
      <c r="AJ485" s="202"/>
      <c r="AK485" s="202"/>
      <c r="AL485" s="202"/>
      <c r="AM485" s="202"/>
      <c r="AN485" s="202"/>
      <c r="AO485" s="202"/>
      <c r="AP485" s="202"/>
      <c r="AQ485" s="202"/>
      <c r="AR485" s="202"/>
      <c r="AS485" s="202"/>
      <c r="AT485" s="202"/>
      <c r="AU485" s="202"/>
      <c r="AV485" s="202"/>
      <c r="AW485" s="202"/>
      <c r="AX485" s="202"/>
      <c r="AY485" s="202"/>
      <c r="AZ485" s="202"/>
      <c r="BA485" s="202"/>
      <c r="BB485" s="202"/>
      <c r="BC485" s="202"/>
      <c r="BD485" s="202"/>
      <c r="BE485" s="202"/>
      <c r="BF485" s="202"/>
      <c r="BG485" s="202">
        <v>11700</v>
      </c>
      <c r="BH485" s="202"/>
      <c r="BI485" s="184"/>
      <c r="BJ485" s="184"/>
      <c r="BK485" s="184"/>
      <c r="BL485" s="184"/>
      <c r="BM485" s="184"/>
      <c r="BN485" s="184"/>
      <c r="BO485" s="202"/>
      <c r="BP485" s="202"/>
      <c r="BQ485" s="202"/>
      <c r="BR485" s="202"/>
      <c r="BS485" s="202"/>
      <c r="BT485" s="202"/>
      <c r="BU485" s="146" cm="1">
        <f t="array" ref="BU485">LOOKUP(2,1/(Y485:BT485&lt;&gt;""),Y485:BH485)</f>
        <v>11700</v>
      </c>
      <c r="BV485" s="145" cm="1">
        <f t="array" aca="1" ref="BV485" ca="1">_xlfn.LET(
    _xlpm.last_col_idx, LOOKUP(2, 1/(Y485:BT485&lt;&gt;""), COLUMN(Y485:BT485) - COLUMN(Y485) + 1),
    _xlpm.header_val, INDEX($Y$3:$BT$3, 1, _xlpm.last_col_idx),
    _xlpm.header_date, IF(ISNUMBER(_xlpm.header_val), _xlpm.header_val, DATEVALUE(_xlpm.header_val)),
    IF(_xlpm.header_date &gt; TODAY(), TODAY(), _xlpm.header_date)
)</f>
        <v>45962</v>
      </c>
      <c r="BW485" s="209" t="e" cm="1">
        <f t="array" ref="BW485">(LOOKUP(2,1/(BH485:BT485&lt;&gt;""),BH485:BT485))/(INDEX(BH485:BT485,MATCH(TRUE,INDEX((BH485:BT485&lt;&gt;0),0),0)))-1</f>
        <v>#N/A</v>
      </c>
      <c r="BX485" s="210">
        <f t="shared" si="88"/>
        <v>11.7</v>
      </c>
      <c r="BY485" s="210">
        <f t="shared" si="89"/>
        <v>8.7749999999999986</v>
      </c>
      <c r="BZ485" s="210">
        <f ca="1">IF(L485="BR",'Impostos e Frete'!$F$6,IF(L485="EU",'Impostos e Frete'!$I$3,IF(L485="CN",'Impostos e Frete'!$I$4,IF(L485="JP",'Impostos e Frete'!$I$5,IF(L485="RU",'Impostos e Frete'!$I$7,"ERRO")))))</f>
        <v>1.1330439999999999</v>
      </c>
      <c r="CA485" s="210">
        <f>VLOOKUP(L485,'Impostos e Frete'!$A$3:$B$7,2,0)*'Preços e Condições'!BY485</f>
        <v>1.2284999999999999</v>
      </c>
      <c r="CB485" s="147">
        <f t="shared" si="90"/>
        <v>0</v>
      </c>
      <c r="CC485" s="147">
        <f>IF(X485="BRL",'Impostos e Frete'!$B$11,'Impostos e Frete'!$B$12)</f>
        <v>9.1999999999999998E-2</v>
      </c>
      <c r="CD485" s="211">
        <f t="shared" ca="1" si="91"/>
        <v>11.228543999999999</v>
      </c>
      <c r="CE485" s="212">
        <f t="shared" ca="1" si="92"/>
        <v>0.89828352</v>
      </c>
      <c r="CF485" s="213">
        <f>VLOOKUP(L485,'Impostos e Frete'!$A$3:$C$7,3,0)</f>
        <v>120</v>
      </c>
      <c r="CG485" s="213">
        <f t="shared" si="93"/>
        <v>90</v>
      </c>
      <c r="CH485" s="213">
        <f t="shared" si="94"/>
        <v>-30</v>
      </c>
      <c r="CI485" s="214">
        <f t="shared" ca="1" si="95"/>
        <v>0.16842815999999949</v>
      </c>
      <c r="CJ485" s="215">
        <f t="shared" ca="1" si="96"/>
        <v>11.396972159999999</v>
      </c>
      <c r="CK485" s="216">
        <f t="shared" ca="1" si="97"/>
        <v>0.91175777279999992</v>
      </c>
    </row>
    <row r="486" spans="1:89">
      <c r="A486" s="176"/>
      <c r="B486" s="177">
        <v>104</v>
      </c>
      <c r="C486" s="178">
        <v>70</v>
      </c>
      <c r="D486" s="178">
        <v>1870</v>
      </c>
      <c r="E486" s="196" t="s">
        <v>50</v>
      </c>
      <c r="F486" s="179" t="s">
        <v>3</v>
      </c>
      <c r="G486" s="180" t="s">
        <v>156</v>
      </c>
      <c r="H486" s="178" t="s">
        <v>43</v>
      </c>
      <c r="I486" s="178" t="s">
        <v>157</v>
      </c>
      <c r="J486" s="196"/>
      <c r="K486" s="196"/>
      <c r="L486" s="178" t="s">
        <v>60</v>
      </c>
      <c r="M486" s="178">
        <v>90</v>
      </c>
      <c r="N486" s="178">
        <v>400</v>
      </c>
      <c r="O486" s="178"/>
      <c r="P486" s="178">
        <v>90</v>
      </c>
      <c r="Q486" s="178"/>
      <c r="R486" s="178" t="s">
        <v>19</v>
      </c>
      <c r="S486" s="181"/>
      <c r="T486" s="181"/>
      <c r="U486" s="182"/>
      <c r="V486" s="182" t="s">
        <v>35</v>
      </c>
      <c r="W486" s="183">
        <v>100</v>
      </c>
      <c r="X486" s="182" t="s">
        <v>51</v>
      </c>
      <c r="Y486" s="202"/>
      <c r="Z486" s="202"/>
      <c r="AA486" s="202"/>
      <c r="AB486" s="202"/>
      <c r="AC486" s="202"/>
      <c r="AD486" s="202"/>
      <c r="AE486" s="202"/>
      <c r="AF486" s="202"/>
      <c r="AG486" s="202"/>
      <c r="AH486" s="202"/>
      <c r="AI486" s="202"/>
      <c r="AJ486" s="202"/>
      <c r="AK486" s="202"/>
      <c r="AL486" s="202"/>
      <c r="AM486" s="202">
        <v>1800</v>
      </c>
      <c r="AN486" s="202">
        <v>1800</v>
      </c>
      <c r="AO486" s="202">
        <v>1800</v>
      </c>
      <c r="AP486" s="202">
        <v>1800</v>
      </c>
      <c r="AQ486" s="202"/>
      <c r="AR486" s="202"/>
      <c r="AS486" s="202"/>
      <c r="AT486" s="202"/>
      <c r="AU486" s="202"/>
      <c r="AV486" s="202"/>
      <c r="AW486" s="202"/>
      <c r="AX486" s="202"/>
      <c r="AY486" s="202"/>
      <c r="AZ486" s="202"/>
      <c r="BA486" s="202"/>
      <c r="BB486" s="202"/>
      <c r="BC486" s="202"/>
      <c r="BD486" s="202"/>
      <c r="BE486" s="202"/>
      <c r="BF486" s="202"/>
      <c r="BG486" s="202"/>
      <c r="BH486" s="202"/>
      <c r="BI486" s="184"/>
      <c r="BJ486" s="184"/>
      <c r="BK486" s="184"/>
      <c r="BL486" s="184"/>
      <c r="BM486" s="184"/>
      <c r="BN486" s="184"/>
      <c r="BO486" s="202"/>
      <c r="BP486" s="202"/>
      <c r="BQ486" s="202"/>
      <c r="BR486" s="202"/>
      <c r="BS486" s="202"/>
      <c r="BT486" s="202"/>
      <c r="BU486" s="146" cm="1">
        <f t="array" ref="BU486">LOOKUP(2,1/(Y486:BT486&lt;&gt;""),Y486:BH486)</f>
        <v>1800</v>
      </c>
      <c r="BV486" s="145" cm="1">
        <f t="array" aca="1" ref="BV486" ca="1">_xlfn.LET(
    _xlpm.last_col_idx, LOOKUP(2, 1/(Y486:BT486&lt;&gt;""), COLUMN(Y486:BT486) - COLUMN(Y486) + 1),
    _xlpm.header_val, INDEX($Y$3:$BT$3, 1, _xlpm.last_col_idx),
    _xlpm.header_date, IF(ISNUMBER(_xlpm.header_val), _xlpm.header_val, DATEVALUE(_xlpm.header_val)),
    IF(_xlpm.header_date &gt; TODAY(), TODAY(), _xlpm.header_date)
)</f>
        <v>45444</v>
      </c>
      <c r="BW486" s="209" t="e" cm="1">
        <f t="array" ref="BW486">(LOOKUP(2,1/(BH486:BT486&lt;&gt;""),BH486:BT486))/(INDEX(BH486:BT486,MATCH(TRUE,INDEX((BH486:BT486&lt;&gt;0),0),0)))-1</f>
        <v>#N/A</v>
      </c>
      <c r="BX486" s="210">
        <f t="shared" si="88"/>
        <v>1.8</v>
      </c>
      <c r="BY486" s="210">
        <f t="shared" si="89"/>
        <v>10.620000000000001</v>
      </c>
      <c r="BZ486" s="210">
        <f ca="1">IF(L486="BR",'Impostos e Frete'!$F$6,IF(L486="EU",'Impostos e Frete'!$I$3,IF(L486="CN",'Impostos e Frete'!$I$4,IF(L486="JP",'Impostos e Frete'!$I$5,IF(L486="RU",'Impostos e Frete'!$I$7,"ERRO")))))</f>
        <v>1.1330439999999999</v>
      </c>
      <c r="CA486" s="210">
        <f>VLOOKUP(L486,'Impostos e Frete'!$A$3:$B$7,2,0)*'Preços e Condições'!BY486</f>
        <v>1.4868000000000003</v>
      </c>
      <c r="CB486" s="147">
        <f t="shared" si="90"/>
        <v>0</v>
      </c>
      <c r="CC486" s="147">
        <f>IF(X486="BRL",'Impostos e Frete'!$B$11,'Impostos e Frete'!$B$12)</f>
        <v>9.1999999999999998E-2</v>
      </c>
      <c r="CD486" s="211">
        <f t="shared" ca="1" si="91"/>
        <v>13.331844000000002</v>
      </c>
      <c r="CE486" s="212">
        <f t="shared" ca="1" si="92"/>
        <v>0.93322908000000016</v>
      </c>
      <c r="CF486" s="213">
        <f>VLOOKUP(L486,'Impostos e Frete'!$A$3:$C$7,3,0)</f>
        <v>120</v>
      </c>
      <c r="CG486" s="213">
        <f t="shared" si="93"/>
        <v>90</v>
      </c>
      <c r="CH486" s="213">
        <f t="shared" si="94"/>
        <v>-30</v>
      </c>
      <c r="CI486" s="214">
        <f t="shared" ca="1" si="95"/>
        <v>0.19997765999999828</v>
      </c>
      <c r="CJ486" s="215">
        <f t="shared" ca="1" si="96"/>
        <v>13.53182166</v>
      </c>
      <c r="CK486" s="216">
        <f t="shared" ca="1" si="97"/>
        <v>0.94722751620000001</v>
      </c>
    </row>
    <row r="487" spans="1:89">
      <c r="A487" s="176"/>
      <c r="B487" s="188">
        <v>86</v>
      </c>
      <c r="C487" s="178">
        <v>70</v>
      </c>
      <c r="D487" s="178">
        <v>1860</v>
      </c>
      <c r="E487" s="196" t="s">
        <v>50</v>
      </c>
      <c r="F487" s="179" t="s">
        <v>3</v>
      </c>
      <c r="G487" s="180" t="s">
        <v>444</v>
      </c>
      <c r="H487" s="178" t="s">
        <v>43</v>
      </c>
      <c r="I487" s="178" t="s">
        <v>445</v>
      </c>
      <c r="J487" s="178"/>
      <c r="K487" s="178"/>
      <c r="L487" s="178" t="s">
        <v>60</v>
      </c>
      <c r="M487" s="178">
        <v>90</v>
      </c>
      <c r="N487" s="178">
        <v>3300</v>
      </c>
      <c r="O487" s="178"/>
      <c r="P487" s="178">
        <v>90</v>
      </c>
      <c r="Q487" s="178"/>
      <c r="R487" s="178" t="s">
        <v>19</v>
      </c>
      <c r="S487" s="181"/>
      <c r="T487" s="181"/>
      <c r="U487" s="182"/>
      <c r="V487" s="182" t="s">
        <v>35</v>
      </c>
      <c r="W487" s="183">
        <v>100</v>
      </c>
      <c r="X487" s="182" t="s">
        <v>267</v>
      </c>
      <c r="Y487" s="202"/>
      <c r="Z487" s="202"/>
      <c r="AA487" s="202"/>
      <c r="AB487" s="202"/>
      <c r="AC487" s="202"/>
      <c r="AD487" s="202"/>
      <c r="AE487" s="202"/>
      <c r="AF487" s="202"/>
      <c r="AG487" s="202"/>
      <c r="AH487" s="202"/>
      <c r="AI487" s="202"/>
      <c r="AJ487" s="202"/>
      <c r="AK487" s="202"/>
      <c r="AL487" s="202"/>
      <c r="AM487" s="202"/>
      <c r="AN487" s="202"/>
      <c r="AO487" s="202"/>
      <c r="AP487" s="202"/>
      <c r="AQ487" s="202"/>
      <c r="AR487" s="202"/>
      <c r="AS487" s="202"/>
      <c r="AT487" s="202"/>
      <c r="AU487" s="202"/>
      <c r="AV487" s="202"/>
      <c r="AW487" s="202"/>
      <c r="AX487" s="202"/>
      <c r="AY487" s="202"/>
      <c r="AZ487" s="202"/>
      <c r="BA487" s="202"/>
      <c r="BB487" s="202"/>
      <c r="BC487" s="202"/>
      <c r="BD487" s="202"/>
      <c r="BE487" s="202"/>
      <c r="BF487" s="202"/>
      <c r="BG487" s="202"/>
      <c r="BH487" s="202"/>
      <c r="BI487" s="184">
        <v>11600</v>
      </c>
      <c r="BJ487" s="184"/>
      <c r="BK487" s="184"/>
      <c r="BL487" s="184"/>
      <c r="BM487" s="184"/>
      <c r="BN487" s="184"/>
      <c r="BO487" s="202"/>
      <c r="BP487" s="202"/>
      <c r="BQ487" s="202"/>
      <c r="BR487" s="202"/>
      <c r="BS487" s="202"/>
      <c r="BT487" s="202"/>
      <c r="BU487" s="146" cm="1">
        <f t="array" ref="BU487">LOOKUP(2,1/(Y487:BT487&lt;&gt;""),Y487:BH487)</f>
        <v>11600</v>
      </c>
      <c r="BV487" s="145" cm="1">
        <f t="array" aca="1" ref="BV487" ca="1">_xlfn.LET(
    _xlpm.last_col_idx, LOOKUP(2, 1/(Y487:BT487&lt;&gt;""), COLUMN(Y487:BT487) - COLUMN(Y487) + 1),
    _xlpm.header_val, INDEX($Y$3:$BT$3, 1, _xlpm.last_col_idx),
    _xlpm.header_date, IF(ISNUMBER(_xlpm.header_val), _xlpm.header_val, DATEVALUE(_xlpm.header_val)),
    IF(_xlpm.header_date &gt; TODAY(), TODAY(), _xlpm.header_date)
)</f>
        <v>46023</v>
      </c>
      <c r="BW487" s="209" cm="1">
        <f t="array" ref="BW487">(LOOKUP(2,1/(BH487:BT487&lt;&gt;""),BH487:BT487))/(INDEX(BH487:BT487,MATCH(TRUE,INDEX((BH487:BT487&lt;&gt;0),0),0)))-1</f>
        <v>0</v>
      </c>
      <c r="BX487" s="210">
        <f t="shared" si="88"/>
        <v>11.6</v>
      </c>
      <c r="BY487" s="210">
        <f t="shared" si="89"/>
        <v>8.6999999999999993</v>
      </c>
      <c r="BZ487" s="210">
        <f ca="1">IF(L487="BR",'Impostos e Frete'!$F$6,IF(L487="EU",'Impostos e Frete'!$I$3,IF(L487="CN",'Impostos e Frete'!$I$4,IF(L487="JP",'Impostos e Frete'!$I$5,IF(L487="RU",'Impostos e Frete'!$I$7,"ERRO")))))</f>
        <v>1.1330439999999999</v>
      </c>
      <c r="CA487" s="210">
        <f>VLOOKUP(L487,'Impostos e Frete'!$A$3:$B$7,2,0)*'Preços e Condições'!BY487</f>
        <v>1.218</v>
      </c>
      <c r="CB487" s="147">
        <f t="shared" si="90"/>
        <v>0</v>
      </c>
      <c r="CC487" s="147">
        <f>IF(X487="BRL",'Impostos e Frete'!$B$11,'Impostos e Frete'!$B$12)</f>
        <v>9.1999999999999998E-2</v>
      </c>
      <c r="CD487" s="211">
        <f t="shared" ca="1" si="91"/>
        <v>11.143044</v>
      </c>
      <c r="CE487" s="212">
        <f t="shared" ca="1" si="92"/>
        <v>0.78001307999999991</v>
      </c>
      <c r="CF487" s="213">
        <f>VLOOKUP(L487,'Impostos e Frete'!$A$3:$C$7,3,0)</f>
        <v>120</v>
      </c>
      <c r="CG487" s="213">
        <f t="shared" si="93"/>
        <v>90</v>
      </c>
      <c r="CH487" s="213">
        <f t="shared" si="94"/>
        <v>-30</v>
      </c>
      <c r="CI487" s="214">
        <f t="shared" ca="1" si="95"/>
        <v>0.1671456599999992</v>
      </c>
      <c r="CJ487" s="215">
        <f t="shared" ca="1" si="96"/>
        <v>11.310189659999999</v>
      </c>
      <c r="CK487" s="216">
        <f t="shared" ca="1" si="97"/>
        <v>0.79171327619999998</v>
      </c>
    </row>
    <row r="488" spans="1:89">
      <c r="A488" s="176"/>
      <c r="B488" s="177" t="s">
        <v>76</v>
      </c>
      <c r="C488" s="178">
        <v>40</v>
      </c>
      <c r="D488" s="178">
        <v>1900</v>
      </c>
      <c r="E488" s="196" t="s">
        <v>209</v>
      </c>
      <c r="F488" s="179" t="s">
        <v>240</v>
      </c>
      <c r="G488" s="189" t="s">
        <v>246</v>
      </c>
      <c r="H488" s="178" t="s">
        <v>62</v>
      </c>
      <c r="I488" s="178"/>
      <c r="J488" s="178"/>
      <c r="K488" s="178"/>
      <c r="L488" s="178" t="s">
        <v>60</v>
      </c>
      <c r="M488" s="178">
        <v>75</v>
      </c>
      <c r="N488" s="178">
        <v>400</v>
      </c>
      <c r="O488" s="178"/>
      <c r="P488" s="178"/>
      <c r="Q488" s="178"/>
      <c r="R488" s="178" t="s">
        <v>19</v>
      </c>
      <c r="S488" s="181"/>
      <c r="T488" s="181"/>
      <c r="U488" s="182"/>
      <c r="V488" s="182" t="s">
        <v>35</v>
      </c>
      <c r="W488" s="183">
        <v>26</v>
      </c>
      <c r="X488" s="182" t="s">
        <v>51</v>
      </c>
      <c r="Y488" s="198"/>
      <c r="Z488" s="198"/>
      <c r="AA488" s="198"/>
      <c r="AB488" s="198"/>
      <c r="AC488" s="198"/>
      <c r="AD488" s="198"/>
      <c r="AE488" s="198"/>
      <c r="AF488" s="198"/>
      <c r="AG488" s="198"/>
      <c r="AH488" s="198"/>
      <c r="AI488" s="198"/>
      <c r="AJ488" s="198"/>
      <c r="AK488" s="198"/>
      <c r="AL488" s="198"/>
      <c r="AM488" s="198"/>
      <c r="AN488" s="198"/>
      <c r="AO488" s="198"/>
      <c r="AP488" s="198"/>
      <c r="AQ488" s="198"/>
      <c r="AR488" s="198"/>
      <c r="AS488" s="198"/>
      <c r="AT488" s="198"/>
      <c r="AU488" s="198"/>
      <c r="AV488" s="198"/>
      <c r="AW488" s="202"/>
      <c r="AX488" s="202"/>
      <c r="AY488" s="202"/>
      <c r="AZ488" s="202">
        <v>2600</v>
      </c>
      <c r="BA488" s="202">
        <v>2600</v>
      </c>
      <c r="BB488" s="202">
        <v>2600</v>
      </c>
      <c r="BC488" s="202"/>
      <c r="BD488" s="202"/>
      <c r="BE488" s="202"/>
      <c r="BF488" s="202"/>
      <c r="BG488" s="202"/>
      <c r="BH488" s="202"/>
      <c r="BI488" s="184"/>
      <c r="BJ488" s="184"/>
      <c r="BK488" s="184"/>
      <c r="BL488" s="184"/>
      <c r="BM488" s="184"/>
      <c r="BN488" s="184"/>
      <c r="BO488" s="202"/>
      <c r="BP488" s="202"/>
      <c r="BQ488" s="202"/>
      <c r="BR488" s="202"/>
      <c r="BS488" s="202"/>
      <c r="BT488" s="202"/>
      <c r="BU488" s="146" cm="1">
        <f t="array" ref="BU488">LOOKUP(2,1/(Y488:BT488&lt;&gt;""),Y488:BH488)</f>
        <v>2600</v>
      </c>
      <c r="BV488" s="145" cm="1">
        <f t="array" aca="1" ref="BV488" ca="1">_xlfn.LET(
    _xlpm.last_col_idx, LOOKUP(2, 1/(Y488:BT488&lt;&gt;""), COLUMN(Y488:BT488) - COLUMN(Y488) + 1),
    _xlpm.header_val, INDEX($Y$3:$BT$3, 1, _xlpm.last_col_idx),
    _xlpm.header_date, IF(ISNUMBER(_xlpm.header_val), _xlpm.header_val, DATEVALUE(_xlpm.header_val)),
    IF(_xlpm.header_date &gt; TODAY(), TODAY(), _xlpm.header_date)
)</f>
        <v>45809</v>
      </c>
      <c r="BW488" s="209" t="e" cm="1">
        <f t="array" ref="BW488">(LOOKUP(2,1/(BH488:BT488&lt;&gt;""),BH488:BT488))/(INDEX(BH488:BT488,MATCH(TRUE,INDEX((BH488:BT488&lt;&gt;0),0),0)))-1</f>
        <v>#N/A</v>
      </c>
      <c r="BX488" s="210">
        <f t="shared" si="88"/>
        <v>2.6</v>
      </c>
      <c r="BY488" s="210">
        <f t="shared" si="89"/>
        <v>15.340000000000002</v>
      </c>
      <c r="BZ488" s="210">
        <f ca="1">IF(L488="BR",'Impostos e Frete'!$F$6,IF(L488="EU",'Impostos e Frete'!$I$3,IF(L488="CN",'Impostos e Frete'!$I$4,IF(L488="JP",'Impostos e Frete'!$I$5,IF(L488="RU",'Impostos e Frete'!$I$7,"ERRO")))))</f>
        <v>1.1330439999999999</v>
      </c>
      <c r="CA488" s="210">
        <f>VLOOKUP(L488,'Impostos e Frete'!$A$3:$B$7,2,0)*'Preços e Condições'!BY488</f>
        <v>2.1476000000000006</v>
      </c>
      <c r="CB488" s="147">
        <f t="shared" si="90"/>
        <v>0</v>
      </c>
      <c r="CC488" s="147">
        <f>IF(X488="BRL",'Impostos e Frete'!$B$11,'Impostos e Frete'!$B$12)</f>
        <v>9.1999999999999998E-2</v>
      </c>
      <c r="CD488" s="211">
        <f t="shared" ca="1" si="91"/>
        <v>18.712644000000001</v>
      </c>
      <c r="CE488" s="212">
        <f t="shared" ca="1" si="92"/>
        <v>0.74850576000000002</v>
      </c>
      <c r="CF488" s="213">
        <f>VLOOKUP(L488,'Impostos e Frete'!$A$3:$C$7,3,0)</f>
        <v>120</v>
      </c>
      <c r="CG488" s="213">
        <f t="shared" si="93"/>
        <v>75</v>
      </c>
      <c r="CH488" s="213">
        <f t="shared" si="94"/>
        <v>-45</v>
      </c>
      <c r="CI488" s="214">
        <f t="shared" ca="1" si="95"/>
        <v>0.4226094441770627</v>
      </c>
      <c r="CJ488" s="215">
        <f t="shared" ca="1" si="96"/>
        <v>19.135253444177064</v>
      </c>
      <c r="CK488" s="216">
        <f t="shared" ca="1" si="97"/>
        <v>0.76541013776708255</v>
      </c>
    </row>
    <row r="489" spans="1:89">
      <c r="A489" s="176"/>
      <c r="B489" s="177" t="s">
        <v>446</v>
      </c>
      <c r="C489" s="178">
        <v>50</v>
      </c>
      <c r="D489" s="178">
        <v>1870</v>
      </c>
      <c r="E489" s="196" t="s">
        <v>50</v>
      </c>
      <c r="F489" s="179" t="s">
        <v>240</v>
      </c>
      <c r="G489" s="185" t="s">
        <v>447</v>
      </c>
      <c r="H489" s="178" t="s">
        <v>42</v>
      </c>
      <c r="I489" s="178"/>
      <c r="J489" s="178"/>
      <c r="K489" s="178"/>
      <c r="L489" s="183" t="s">
        <v>60</v>
      </c>
      <c r="M489" s="183">
        <v>90</v>
      </c>
      <c r="N489" s="183">
        <v>3300</v>
      </c>
      <c r="O489" s="178"/>
      <c r="P489" s="178"/>
      <c r="Q489" s="178"/>
      <c r="R489" s="178" t="s">
        <v>19</v>
      </c>
      <c r="S489" s="181"/>
      <c r="T489" s="181"/>
      <c r="U489" s="182"/>
      <c r="V489" s="182" t="s">
        <v>35</v>
      </c>
      <c r="W489" s="183">
        <v>100</v>
      </c>
      <c r="X489" s="182" t="s">
        <v>267</v>
      </c>
      <c r="Y489" s="202"/>
      <c r="Z489" s="202"/>
      <c r="AA489" s="202"/>
      <c r="AB489" s="202"/>
      <c r="AC489" s="202"/>
      <c r="AD489" s="202"/>
      <c r="AE489" s="202"/>
      <c r="AF489" s="202"/>
      <c r="AG489" s="202"/>
      <c r="AH489" s="202"/>
      <c r="AI489" s="202"/>
      <c r="AJ489" s="202"/>
      <c r="AK489" s="202"/>
      <c r="AL489" s="202"/>
      <c r="AM489" s="202"/>
      <c r="AN489" s="202"/>
      <c r="AO489" s="202"/>
      <c r="AP489" s="202"/>
      <c r="AQ489" s="202"/>
      <c r="AR489" s="202"/>
      <c r="AS489" s="202"/>
      <c r="AT489" s="202"/>
      <c r="AU489" s="202"/>
      <c r="AV489" s="202"/>
      <c r="AW489" s="202"/>
      <c r="AX489" s="202"/>
      <c r="AY489" s="202"/>
      <c r="AZ489" s="202"/>
      <c r="BA489" s="202"/>
      <c r="BB489" s="202"/>
      <c r="BC489" s="202"/>
      <c r="BD489" s="202"/>
      <c r="BE489" s="202"/>
      <c r="BF489" s="202"/>
      <c r="BG489" s="202"/>
      <c r="BH489" s="202"/>
      <c r="BI489" s="184">
        <v>13000</v>
      </c>
      <c r="BJ489" s="184"/>
      <c r="BK489" s="184"/>
      <c r="BL489" s="184"/>
      <c r="BM489" s="184"/>
      <c r="BN489" s="184"/>
      <c r="BO489" s="202"/>
      <c r="BP489" s="202"/>
      <c r="BQ489" s="202"/>
      <c r="BR489" s="202"/>
      <c r="BS489" s="202"/>
      <c r="BT489" s="202"/>
      <c r="BU489" s="146" cm="1">
        <f t="array" ref="BU489">LOOKUP(2,1/(Y489:BT489&lt;&gt;""),Y489:BH489)</f>
        <v>13000</v>
      </c>
      <c r="BV489" s="145" cm="1">
        <f t="array" aca="1" ref="BV489" ca="1">_xlfn.LET(
    _xlpm.last_col_idx, LOOKUP(2, 1/(Y489:BT489&lt;&gt;""), COLUMN(Y489:BT489) - COLUMN(Y489) + 1),
    _xlpm.header_val, INDEX($Y$3:$BT$3, 1, _xlpm.last_col_idx),
    _xlpm.header_date, IF(ISNUMBER(_xlpm.header_val), _xlpm.header_val, DATEVALUE(_xlpm.header_val)),
    IF(_xlpm.header_date &gt; TODAY(), TODAY(), _xlpm.header_date)
)</f>
        <v>46023</v>
      </c>
      <c r="BW489" s="209" cm="1">
        <f t="array" ref="BW489">(LOOKUP(2,1/(BH489:BT489&lt;&gt;""),BH489:BT489))/(INDEX(BH489:BT489,MATCH(TRUE,INDEX((BH489:BT489&lt;&gt;0),0),0)))-1</f>
        <v>0</v>
      </c>
      <c r="BX489" s="210">
        <f t="shared" si="88"/>
        <v>13</v>
      </c>
      <c r="BY489" s="210">
        <f t="shared" si="89"/>
        <v>9.75</v>
      </c>
      <c r="BZ489" s="210">
        <f ca="1">IF(L489="BR",'Impostos e Frete'!$F$6,IF(L489="EU",'Impostos e Frete'!$I$3,IF(L489="CN",'Impostos e Frete'!$I$4,IF(L489="JP",'Impostos e Frete'!$I$5,IF(L489="RU",'Impostos e Frete'!$I$7,"ERRO")))))</f>
        <v>1.1330439999999999</v>
      </c>
      <c r="CA489" s="210">
        <f>VLOOKUP(L489,'Impostos e Frete'!$A$3:$B$7,2,0)*'Preços e Condições'!BY489</f>
        <v>1.3650000000000002</v>
      </c>
      <c r="CB489" s="147">
        <f t="shared" si="90"/>
        <v>0</v>
      </c>
      <c r="CC489" s="147">
        <f>IF(X489="BRL",'Impostos e Frete'!$B$11,'Impostos e Frete'!$B$12)</f>
        <v>9.1999999999999998E-2</v>
      </c>
      <c r="CD489" s="211">
        <f t="shared" ca="1" si="91"/>
        <v>12.340044000000001</v>
      </c>
      <c r="CE489" s="212">
        <f t="shared" ca="1" si="92"/>
        <v>0.61700220000000006</v>
      </c>
      <c r="CF489" s="213">
        <f>VLOOKUP(L489,'Impostos e Frete'!$A$3:$C$7,3,0)</f>
        <v>120</v>
      </c>
      <c r="CG489" s="213">
        <f t="shared" si="93"/>
        <v>90</v>
      </c>
      <c r="CH489" s="213">
        <f t="shared" si="94"/>
        <v>-30</v>
      </c>
      <c r="CI489" s="214">
        <f t="shared" ca="1" si="95"/>
        <v>0.18510065999999803</v>
      </c>
      <c r="CJ489" s="215">
        <f t="shared" ca="1" si="96"/>
        <v>12.525144659999999</v>
      </c>
      <c r="CK489" s="216">
        <f t="shared" ca="1" si="97"/>
        <v>0.62625723299999991</v>
      </c>
    </row>
    <row r="490" spans="1:89">
      <c r="A490" s="176"/>
      <c r="B490" s="177">
        <v>673</v>
      </c>
      <c r="C490" s="190">
        <v>80</v>
      </c>
      <c r="D490" s="190">
        <v>1855</v>
      </c>
      <c r="E490" s="178" t="s">
        <v>49</v>
      </c>
      <c r="F490" s="191" t="s">
        <v>1</v>
      </c>
      <c r="G490" s="192" t="s">
        <v>133</v>
      </c>
      <c r="H490" s="190" t="s">
        <v>63</v>
      </c>
      <c r="I490" s="178">
        <v>673</v>
      </c>
      <c r="J490" s="183"/>
      <c r="K490" s="190"/>
      <c r="L490" s="183" t="s">
        <v>58</v>
      </c>
      <c r="M490" s="183">
        <v>0</v>
      </c>
      <c r="N490" s="183"/>
      <c r="O490" s="183"/>
      <c r="P490" s="183">
        <v>3</v>
      </c>
      <c r="Q490" s="183" t="s">
        <v>27</v>
      </c>
      <c r="R490" s="183" t="s">
        <v>19</v>
      </c>
      <c r="S490" s="181">
        <v>0.12</v>
      </c>
      <c r="T490" s="181" t="s">
        <v>210</v>
      </c>
      <c r="U490" s="182">
        <v>9.2499999999999999E-2</v>
      </c>
      <c r="V490" s="182" t="s">
        <v>35</v>
      </c>
      <c r="W490" s="183">
        <v>20</v>
      </c>
      <c r="X490" s="182" t="s">
        <v>46</v>
      </c>
      <c r="Y490" s="184"/>
      <c r="Z490" s="184"/>
      <c r="AA490" s="184"/>
      <c r="AB490" s="184"/>
      <c r="AC490" s="184"/>
      <c r="AD490" s="184"/>
      <c r="AE490" s="184"/>
      <c r="AF490" s="184"/>
      <c r="AG490" s="184"/>
      <c r="AH490" s="146">
        <f>22310</f>
        <v>22310</v>
      </c>
      <c r="AI490" s="146">
        <f>22310</f>
        <v>22310</v>
      </c>
      <c r="AJ490" s="146">
        <f>22310</f>
        <v>22310</v>
      </c>
      <c r="AK490" s="146">
        <f>21640</f>
        <v>21640</v>
      </c>
      <c r="AL490" s="146">
        <f>21640</f>
        <v>21640</v>
      </c>
      <c r="AM490" s="146">
        <f>21640</f>
        <v>21640</v>
      </c>
      <c r="AN490" s="146">
        <f>21640</f>
        <v>21640</v>
      </c>
      <c r="AO490" s="146">
        <f>21640</f>
        <v>21640</v>
      </c>
      <c r="AP490" s="146">
        <f>21640</f>
        <v>21640</v>
      </c>
      <c r="AQ490" s="146">
        <f>23458</f>
        <v>23458</v>
      </c>
      <c r="AR490" s="146">
        <f>23458</f>
        <v>23458</v>
      </c>
      <c r="AS490" s="146">
        <f>23458</f>
        <v>23458</v>
      </c>
      <c r="AT490" s="184">
        <v>24631</v>
      </c>
      <c r="AU490" s="184">
        <v>24631</v>
      </c>
      <c r="AV490" s="184">
        <v>24631</v>
      </c>
      <c r="AW490" s="184">
        <v>24631</v>
      </c>
      <c r="AX490" s="184">
        <v>24631</v>
      </c>
      <c r="AY490" s="184">
        <v>24631</v>
      </c>
      <c r="AZ490" s="184">
        <v>24631</v>
      </c>
      <c r="BA490" s="184">
        <v>24631</v>
      </c>
      <c r="BB490" s="184">
        <v>24631</v>
      </c>
      <c r="BC490" s="184">
        <v>24631</v>
      </c>
      <c r="BD490" s="184">
        <v>24631</v>
      </c>
      <c r="BE490" s="184">
        <v>24631</v>
      </c>
      <c r="BF490" s="184">
        <v>24631</v>
      </c>
      <c r="BG490" s="184">
        <v>24631</v>
      </c>
      <c r="BH490" s="184">
        <v>24631</v>
      </c>
      <c r="BI490" s="184">
        <v>24631</v>
      </c>
      <c r="BJ490" s="184">
        <v>24631</v>
      </c>
      <c r="BK490" s="184">
        <v>24631</v>
      </c>
      <c r="BL490" s="184">
        <v>26060</v>
      </c>
      <c r="BM490" s="184">
        <v>26060</v>
      </c>
      <c r="BN490" s="184">
        <v>26060</v>
      </c>
      <c r="BO490" s="184">
        <v>27180</v>
      </c>
      <c r="BP490" s="184">
        <v>27180</v>
      </c>
      <c r="BQ490" s="184">
        <v>27180</v>
      </c>
      <c r="BR490" s="184"/>
      <c r="BS490" s="184"/>
      <c r="BT490" s="184"/>
      <c r="BU490" s="146" cm="1">
        <f t="array" ref="BU490">LOOKUP(2,1/(Y490:BT490&lt;&gt;""),Y490:BH490)</f>
        <v>27180</v>
      </c>
      <c r="BV490" s="145" cm="1">
        <f t="array" aca="1" ref="BV490" ca="1">_xlfn.LET(
    _xlpm.last_col_idx, LOOKUP(2, 1/(Y490:BT490&lt;&gt;""), COLUMN(Y490:BT490) - COLUMN(Y490) + 1),
    _xlpm.header_val, INDEX($Y$3:$BT$3, 1, _xlpm.last_col_idx),
    _xlpm.header_date, IF(ISNUMBER(_xlpm.header_val), _xlpm.header_val, DATEVALUE(_xlpm.header_val)),
    IF(_xlpm.header_date &gt; TODAY(), TODAY(), _xlpm.header_date)
)</f>
        <v>46212</v>
      </c>
      <c r="BW490" s="209" cm="1">
        <f t="array" ref="BW490">(LOOKUP(2,1/(BH490:BT490&lt;&gt;""),BH490:BT490))/(INDEX(BH490:BT490,MATCH(TRUE,INDEX((BH490:BT490&lt;&gt;0),0),0)))-1</f>
        <v>0.10348747513296264</v>
      </c>
      <c r="BX490" s="210">
        <f t="shared" si="88"/>
        <v>27.18</v>
      </c>
      <c r="BY490" s="210">
        <f t="shared" si="89"/>
        <v>27.18</v>
      </c>
      <c r="BZ490" s="210">
        <f>IF(L490="BR",'Impostos e Frete'!$F$6,IF(L490="EU",'Impostos e Frete'!$I$3,IF(L490="CN",'Impostos e Frete'!$I$4,IF(L490="JP",'Impostos e Frete'!$I$5,IF(L490="RU",'Impostos e Frete'!$I$7,"ERRO")))))</f>
        <v>0</v>
      </c>
      <c r="CA490" s="210">
        <f>VLOOKUP(L490,'Impostos e Frete'!$A$3:$B$7,2,0)*'Preços e Condições'!BY490</f>
        <v>0</v>
      </c>
      <c r="CB490" s="147">
        <f t="shared" si="90"/>
        <v>0</v>
      </c>
      <c r="CC490" s="147">
        <f>IF(X490="BRL",'Impostos e Frete'!$B$11,'Impostos e Frete'!$B$12)</f>
        <v>0.2</v>
      </c>
      <c r="CD490" s="211">
        <f t="shared" si="91"/>
        <v>27.38</v>
      </c>
      <c r="CE490" s="212">
        <f t="shared" si="92"/>
        <v>2.1903999999999999</v>
      </c>
      <c r="CF490" s="213">
        <f>VLOOKUP(L490,'Impostos e Frete'!$A$3:$C$7,3,0)</f>
        <v>45</v>
      </c>
      <c r="CG490" s="213">
        <f t="shared" si="93"/>
        <v>0</v>
      </c>
      <c r="CH490" s="213">
        <f t="shared" si="94"/>
        <v>-45</v>
      </c>
      <c r="CI490" s="214">
        <f t="shared" si="95"/>
        <v>0.61835444427671504</v>
      </c>
      <c r="CJ490" s="215">
        <f t="shared" si="96"/>
        <v>27.998354444276714</v>
      </c>
      <c r="CK490" s="216">
        <f t="shared" si="97"/>
        <v>2.2398683555421375</v>
      </c>
    </row>
    <row r="491" spans="1:89">
      <c r="A491" s="176"/>
      <c r="B491" s="177">
        <v>986</v>
      </c>
      <c r="C491" s="190">
        <v>90</v>
      </c>
      <c r="D491" s="183">
        <v>1855</v>
      </c>
      <c r="E491" s="178" t="s">
        <v>49</v>
      </c>
      <c r="F491" s="191" t="s">
        <v>1</v>
      </c>
      <c r="G491" s="192" t="s">
        <v>5</v>
      </c>
      <c r="H491" s="183" t="s">
        <v>43</v>
      </c>
      <c r="I491" s="178">
        <v>986</v>
      </c>
      <c r="J491" s="183"/>
      <c r="K491" s="183"/>
      <c r="L491" s="183" t="s">
        <v>58</v>
      </c>
      <c r="M491" s="183">
        <v>0</v>
      </c>
      <c r="N491" s="183"/>
      <c r="O491" s="183"/>
      <c r="P491" s="183">
        <v>3</v>
      </c>
      <c r="Q491" s="183" t="s">
        <v>27</v>
      </c>
      <c r="R491" s="183" t="s">
        <v>19</v>
      </c>
      <c r="S491" s="181">
        <v>0.12</v>
      </c>
      <c r="T491" s="181" t="s">
        <v>210</v>
      </c>
      <c r="U491" s="182">
        <v>9.2499999999999999E-2</v>
      </c>
      <c r="V491" s="182" t="s">
        <v>35</v>
      </c>
      <c r="W491" s="183">
        <v>50</v>
      </c>
      <c r="X491" s="182" t="s">
        <v>46</v>
      </c>
      <c r="Y491" s="146">
        <f>18500</f>
        <v>18500</v>
      </c>
      <c r="Z491" s="146">
        <f>18500</f>
        <v>18500</v>
      </c>
      <c r="AA491" s="146">
        <f>18500</f>
        <v>18500</v>
      </c>
      <c r="AB491" s="146">
        <f>18500</f>
        <v>18500</v>
      </c>
      <c r="AC491" s="146">
        <f>18500</f>
        <v>18500</v>
      </c>
      <c r="AD491" s="146">
        <f>18500</f>
        <v>18500</v>
      </c>
      <c r="AE491" s="146">
        <f>17575</f>
        <v>17575</v>
      </c>
      <c r="AF491" s="146">
        <f>17575</f>
        <v>17575</v>
      </c>
      <c r="AG491" s="146">
        <f>17575</f>
        <v>17575</v>
      </c>
      <c r="AH491" s="146">
        <f>17000</f>
        <v>17000</v>
      </c>
      <c r="AI491" s="146">
        <f>17000</f>
        <v>17000</v>
      </c>
      <c r="AJ491" s="146">
        <f>17000</f>
        <v>17000</v>
      </c>
      <c r="AK491" s="146">
        <f>16490</f>
        <v>16490</v>
      </c>
      <c r="AL491" s="146">
        <f>16490</f>
        <v>16490</v>
      </c>
      <c r="AM491" s="146">
        <f>16490</f>
        <v>16490</v>
      </c>
      <c r="AN491" s="146">
        <f>16490</f>
        <v>16490</v>
      </c>
      <c r="AO491" s="146">
        <f>16490</f>
        <v>16490</v>
      </c>
      <c r="AP491" s="146">
        <f>16490</f>
        <v>16490</v>
      </c>
      <c r="AQ491" s="146">
        <f>17875</f>
        <v>17875</v>
      </c>
      <c r="AR491" s="146">
        <f>17875</f>
        <v>17875</v>
      </c>
      <c r="AS491" s="146">
        <f>17875</f>
        <v>17875</v>
      </c>
      <c r="AT491" s="184">
        <v>19216</v>
      </c>
      <c r="AU491" s="184">
        <v>19216</v>
      </c>
      <c r="AV491" s="184">
        <v>19216</v>
      </c>
      <c r="AW491" s="184">
        <v>19216</v>
      </c>
      <c r="AX491" s="184">
        <v>19216</v>
      </c>
      <c r="AY491" s="184">
        <v>19216</v>
      </c>
      <c r="AZ491" s="184">
        <v>19216</v>
      </c>
      <c r="BA491" s="184">
        <v>19216</v>
      </c>
      <c r="BB491" s="184">
        <v>19216</v>
      </c>
      <c r="BC491" s="184">
        <v>19216</v>
      </c>
      <c r="BD491" s="184">
        <v>19216</v>
      </c>
      <c r="BE491" s="184">
        <v>19216</v>
      </c>
      <c r="BF491" s="184">
        <v>19216</v>
      </c>
      <c r="BG491" s="184">
        <v>19216</v>
      </c>
      <c r="BH491" s="184">
        <v>19216</v>
      </c>
      <c r="BI491" s="184">
        <v>19216</v>
      </c>
      <c r="BJ491" s="184">
        <v>19216</v>
      </c>
      <c r="BK491" s="184">
        <v>19216</v>
      </c>
      <c r="BL491" s="184">
        <v>20331</v>
      </c>
      <c r="BM491" s="184">
        <v>20331</v>
      </c>
      <c r="BN491" s="184">
        <v>20331</v>
      </c>
      <c r="BO491" s="184">
        <v>21205</v>
      </c>
      <c r="BP491" s="184">
        <v>21205</v>
      </c>
      <c r="BQ491" s="184">
        <v>21205</v>
      </c>
      <c r="BR491" s="184"/>
      <c r="BS491" s="184"/>
      <c r="BT491" s="184"/>
      <c r="BU491" s="146" cm="1">
        <f t="array" ref="BU491">LOOKUP(2,1/(Y491:BT491&lt;&gt;""),Y491:BH491)</f>
        <v>21205</v>
      </c>
      <c r="BV491" s="145" cm="1">
        <f t="array" aca="1" ref="BV491" ca="1">_xlfn.LET(
    _xlpm.last_col_idx, LOOKUP(2, 1/(Y491:BT491&lt;&gt;""), COLUMN(Y491:BT491) - COLUMN(Y491) + 1),
    _xlpm.header_val, INDEX($Y$3:$BT$3, 1, _xlpm.last_col_idx),
    _xlpm.header_date, IF(ISNUMBER(_xlpm.header_val), _xlpm.header_val, DATEVALUE(_xlpm.header_val)),
    IF(_xlpm.header_date &gt; TODAY(), TODAY(), _xlpm.header_date)
)</f>
        <v>46212</v>
      </c>
      <c r="BW491" s="209" cm="1">
        <f t="array" ref="BW491">(LOOKUP(2,1/(BH491:BT491&lt;&gt;""),BH491:BT491))/(INDEX(BH491:BT491,MATCH(TRUE,INDEX((BH491:BT491&lt;&gt;0),0),0)))-1</f>
        <v>0.10350749375520407</v>
      </c>
      <c r="BX491" s="210">
        <f t="shared" si="88"/>
        <v>21.204999999999998</v>
      </c>
      <c r="BY491" s="210">
        <f t="shared" si="89"/>
        <v>21.204999999999998</v>
      </c>
      <c r="BZ491" s="210">
        <f>IF(L491="BR",'Impostos e Frete'!$F$6,IF(L491="EU",'Impostos e Frete'!$I$3,IF(L491="CN",'Impostos e Frete'!$I$4,IF(L491="JP",'Impostos e Frete'!$I$5,IF(L491="RU",'Impostos e Frete'!$I$7,"ERRO")))))</f>
        <v>0</v>
      </c>
      <c r="CA491" s="210">
        <f>VLOOKUP(L491,'Impostos e Frete'!$A$3:$B$7,2,0)*'Preços e Condições'!BY491</f>
        <v>0</v>
      </c>
      <c r="CB491" s="147">
        <f t="shared" si="90"/>
        <v>0</v>
      </c>
      <c r="CC491" s="147">
        <f>IF(X491="BRL",'Impostos e Frete'!$B$11,'Impostos e Frete'!$B$12)</f>
        <v>0.2</v>
      </c>
      <c r="CD491" s="211">
        <f t="shared" si="91"/>
        <v>21.404999999999998</v>
      </c>
      <c r="CE491" s="212">
        <f t="shared" si="92"/>
        <v>1.9264499999999998</v>
      </c>
      <c r="CF491" s="213">
        <f>VLOOKUP(L491,'Impostos e Frete'!$A$3:$C$7,3,0)</f>
        <v>45</v>
      </c>
      <c r="CG491" s="213">
        <f t="shared" si="93"/>
        <v>0</v>
      </c>
      <c r="CH491" s="213">
        <f t="shared" si="94"/>
        <v>-45</v>
      </c>
      <c r="CI491" s="214">
        <f t="shared" si="95"/>
        <v>0.48341405696651307</v>
      </c>
      <c r="CJ491" s="215">
        <f t="shared" si="96"/>
        <v>21.888414056966511</v>
      </c>
      <c r="CK491" s="216">
        <f t="shared" si="97"/>
        <v>1.9699572651269859</v>
      </c>
    </row>
    <row r="492" spans="1:89">
      <c r="A492" s="176"/>
      <c r="B492" s="177">
        <v>986</v>
      </c>
      <c r="C492" s="190">
        <v>90</v>
      </c>
      <c r="D492" s="183">
        <v>2175</v>
      </c>
      <c r="E492" s="196" t="s">
        <v>49</v>
      </c>
      <c r="F492" s="191" t="s">
        <v>1</v>
      </c>
      <c r="G492" s="192" t="s">
        <v>5</v>
      </c>
      <c r="H492" s="183" t="s">
        <v>43</v>
      </c>
      <c r="I492" s="178">
        <v>986</v>
      </c>
      <c r="J492" s="183"/>
      <c r="K492" s="183"/>
      <c r="L492" s="183" t="s">
        <v>58</v>
      </c>
      <c r="M492" s="183">
        <v>0</v>
      </c>
      <c r="N492" s="183"/>
      <c r="O492" s="183"/>
      <c r="P492" s="183">
        <v>3</v>
      </c>
      <c r="Q492" s="183" t="s">
        <v>27</v>
      </c>
      <c r="R492" s="183" t="s">
        <v>19</v>
      </c>
      <c r="S492" s="181">
        <v>0.12</v>
      </c>
      <c r="T492" s="181" t="s">
        <v>210</v>
      </c>
      <c r="U492" s="182">
        <v>9.2499999999999999E-2</v>
      </c>
      <c r="V492" s="182" t="s">
        <v>35</v>
      </c>
      <c r="W492" s="183">
        <v>50</v>
      </c>
      <c r="X492" s="182" t="s">
        <v>46</v>
      </c>
      <c r="Y492" s="146">
        <f>18500</f>
        <v>18500</v>
      </c>
      <c r="Z492" s="146">
        <f>18500</f>
        <v>18500</v>
      </c>
      <c r="AA492" s="146">
        <f>18500</f>
        <v>18500</v>
      </c>
      <c r="AB492" s="146">
        <f>18500</f>
        <v>18500</v>
      </c>
      <c r="AC492" s="146">
        <f>18500</f>
        <v>18500</v>
      </c>
      <c r="AD492" s="146">
        <f>18500</f>
        <v>18500</v>
      </c>
      <c r="AE492" s="146">
        <f>17575</f>
        <v>17575</v>
      </c>
      <c r="AF492" s="146">
        <f>17575</f>
        <v>17575</v>
      </c>
      <c r="AG492" s="146">
        <f>17575</f>
        <v>17575</v>
      </c>
      <c r="AH492" s="146">
        <f>17000</f>
        <v>17000</v>
      </c>
      <c r="AI492" s="146">
        <f>17000</f>
        <v>17000</v>
      </c>
      <c r="AJ492" s="146">
        <f>17000</f>
        <v>17000</v>
      </c>
      <c r="AK492" s="146">
        <f>16490</f>
        <v>16490</v>
      </c>
      <c r="AL492" s="146">
        <f>16490</f>
        <v>16490</v>
      </c>
      <c r="AM492" s="146">
        <f>16490</f>
        <v>16490</v>
      </c>
      <c r="AN492" s="146">
        <f>16490</f>
        <v>16490</v>
      </c>
      <c r="AO492" s="146">
        <f>16490</f>
        <v>16490</v>
      </c>
      <c r="AP492" s="146">
        <f>16490</f>
        <v>16490</v>
      </c>
      <c r="AQ492" s="146">
        <f>17875</f>
        <v>17875</v>
      </c>
      <c r="AR492" s="146">
        <f>17875</f>
        <v>17875</v>
      </c>
      <c r="AS492" s="146">
        <f>17875</f>
        <v>17875</v>
      </c>
      <c r="AT492" s="184">
        <v>19216</v>
      </c>
      <c r="AU492" s="184">
        <v>19216</v>
      </c>
      <c r="AV492" s="184">
        <v>19216</v>
      </c>
      <c r="AW492" s="184">
        <v>19216</v>
      </c>
      <c r="AX492" s="184">
        <v>19216</v>
      </c>
      <c r="AY492" s="184">
        <v>19216</v>
      </c>
      <c r="AZ492" s="184">
        <v>19216</v>
      </c>
      <c r="BA492" s="184">
        <v>19216</v>
      </c>
      <c r="BB492" s="184">
        <v>19216</v>
      </c>
      <c r="BC492" s="184">
        <v>19216</v>
      </c>
      <c r="BD492" s="184">
        <v>19216</v>
      </c>
      <c r="BE492" s="184">
        <v>19216</v>
      </c>
      <c r="BF492" s="184">
        <v>19216</v>
      </c>
      <c r="BG492" s="184">
        <v>19216</v>
      </c>
      <c r="BH492" s="184">
        <v>19216</v>
      </c>
      <c r="BI492" s="184">
        <v>19216</v>
      </c>
      <c r="BJ492" s="184">
        <v>19216</v>
      </c>
      <c r="BK492" s="184">
        <v>19216</v>
      </c>
      <c r="BL492" s="184">
        <v>20331</v>
      </c>
      <c r="BM492" s="184">
        <v>20331</v>
      </c>
      <c r="BN492" s="184">
        <v>20331</v>
      </c>
      <c r="BO492" s="184">
        <v>21205</v>
      </c>
      <c r="BP492" s="184">
        <v>21205</v>
      </c>
      <c r="BQ492" s="184">
        <v>21205</v>
      </c>
      <c r="BR492" s="184"/>
      <c r="BS492" s="184"/>
      <c r="BT492" s="184"/>
      <c r="BU492" s="146" cm="1">
        <f t="array" ref="BU492">LOOKUP(2,1/(Y492:BT492&lt;&gt;""),Y492:BH492)</f>
        <v>21205</v>
      </c>
      <c r="BV492" s="145" cm="1">
        <f t="array" aca="1" ref="BV492" ca="1">_xlfn.LET(
    _xlpm.last_col_idx, LOOKUP(2, 1/(Y492:BT492&lt;&gt;""), COLUMN(Y492:BT492) - COLUMN(Y492) + 1),
    _xlpm.header_val, INDEX($Y$3:$BT$3, 1, _xlpm.last_col_idx),
    _xlpm.header_date, IF(ISNUMBER(_xlpm.header_val), _xlpm.header_val, DATEVALUE(_xlpm.header_val)),
    IF(_xlpm.header_date &gt; TODAY(), TODAY(), _xlpm.header_date)
)</f>
        <v>46212</v>
      </c>
      <c r="BW492" s="209" cm="1">
        <f t="array" ref="BW492">(LOOKUP(2,1/(BH492:BT492&lt;&gt;""),BH492:BT492))/(INDEX(BH492:BT492,MATCH(TRUE,INDEX((BH492:BT492&lt;&gt;0),0),0)))-1</f>
        <v>0.10350749375520407</v>
      </c>
      <c r="BX492" s="210">
        <f t="shared" si="88"/>
        <v>21.204999999999998</v>
      </c>
      <c r="BY492" s="210">
        <f t="shared" si="89"/>
        <v>21.204999999999998</v>
      </c>
      <c r="BZ492" s="210">
        <f>IF(L492="BR",'Impostos e Frete'!$F$6,IF(L492="EU",'Impostos e Frete'!$I$3,IF(L492="CN",'Impostos e Frete'!$I$4,IF(L492="JP",'Impostos e Frete'!$I$5,IF(L492="RU",'Impostos e Frete'!$I$7,"ERRO")))))</f>
        <v>0</v>
      </c>
      <c r="CA492" s="210">
        <f>VLOOKUP(L492,'Impostos e Frete'!$A$3:$B$7,2,0)*'Preços e Condições'!BY492</f>
        <v>0</v>
      </c>
      <c r="CB492" s="147">
        <f t="shared" si="90"/>
        <v>0</v>
      </c>
      <c r="CC492" s="147">
        <f>IF(X492="BRL",'Impostos e Frete'!$B$11,'Impostos e Frete'!$B$12)</f>
        <v>0.2</v>
      </c>
      <c r="CD492" s="211">
        <f t="shared" si="91"/>
        <v>21.404999999999998</v>
      </c>
      <c r="CE492" s="212">
        <f t="shared" si="92"/>
        <v>1.9264499999999998</v>
      </c>
      <c r="CF492" s="213">
        <f>VLOOKUP(L492,'Impostos e Frete'!$A$3:$C$7,3,0)</f>
        <v>45</v>
      </c>
      <c r="CG492" s="213">
        <f t="shared" si="93"/>
        <v>0</v>
      </c>
      <c r="CH492" s="213">
        <f t="shared" si="94"/>
        <v>-45</v>
      </c>
      <c r="CI492" s="214">
        <f t="shared" si="95"/>
        <v>0.48341405696651307</v>
      </c>
      <c r="CJ492" s="215">
        <f t="shared" si="96"/>
        <v>21.888414056966511</v>
      </c>
      <c r="CK492" s="216">
        <f t="shared" si="97"/>
        <v>1.9699572651269859</v>
      </c>
    </row>
    <row r="493" spans="1:89">
      <c r="A493" s="176"/>
      <c r="B493" s="177">
        <v>80</v>
      </c>
      <c r="C493" s="190">
        <v>70</v>
      </c>
      <c r="D493" s="183"/>
      <c r="E493" s="178" t="s">
        <v>49</v>
      </c>
      <c r="F493" s="191" t="s">
        <v>1</v>
      </c>
      <c r="G493" s="192" t="s">
        <v>296</v>
      </c>
      <c r="H493" s="183" t="s">
        <v>66</v>
      </c>
      <c r="I493" s="178">
        <v>390</v>
      </c>
      <c r="J493" s="178"/>
      <c r="K493" s="178"/>
      <c r="L493" s="183" t="s">
        <v>58</v>
      </c>
      <c r="M493" s="183">
        <v>0</v>
      </c>
      <c r="N493" s="183"/>
      <c r="O493" s="183"/>
      <c r="P493" s="183">
        <v>3</v>
      </c>
      <c r="Q493" s="183" t="s">
        <v>27</v>
      </c>
      <c r="R493" s="183" t="s">
        <v>19</v>
      </c>
      <c r="S493" s="181">
        <v>0.12</v>
      </c>
      <c r="T493" s="181" t="s">
        <v>210</v>
      </c>
      <c r="U493" s="182">
        <v>9.2499999999999999E-2</v>
      </c>
      <c r="V493" s="182" t="s">
        <v>35</v>
      </c>
      <c r="W493" s="183">
        <v>20</v>
      </c>
      <c r="X493" s="182" t="s">
        <v>46</v>
      </c>
      <c r="Y493" s="184"/>
      <c r="Z493" s="184"/>
      <c r="AA493" s="184"/>
      <c r="AB493" s="184"/>
      <c r="AC493" s="184"/>
      <c r="AD493" s="184"/>
      <c r="AE493" s="184"/>
      <c r="AF493" s="184"/>
      <c r="AG493" s="184"/>
      <c r="AH493" s="184"/>
      <c r="AI493" s="184"/>
      <c r="AJ493" s="184"/>
      <c r="AK493" s="184"/>
      <c r="AL493" s="184"/>
      <c r="AM493" s="184"/>
      <c r="AN493" s="184"/>
      <c r="AO493" s="184"/>
      <c r="AP493" s="184"/>
      <c r="AQ493" s="184">
        <v>18200</v>
      </c>
      <c r="AR493" s="184">
        <v>18200</v>
      </c>
      <c r="AS493" s="184">
        <v>18200</v>
      </c>
      <c r="AT493" s="184">
        <v>18200</v>
      </c>
      <c r="AU493" s="184">
        <v>18200</v>
      </c>
      <c r="AV493" s="184">
        <v>18200</v>
      </c>
      <c r="AW493" s="184">
        <v>19120</v>
      </c>
      <c r="AX493" s="184">
        <v>19120</v>
      </c>
      <c r="AY493" s="184">
        <v>19120</v>
      </c>
      <c r="AZ493" s="184">
        <v>19120</v>
      </c>
      <c r="BA493" s="184">
        <v>19120</v>
      </c>
      <c r="BB493" s="184">
        <v>19120</v>
      </c>
      <c r="BC493" s="184"/>
      <c r="BD493" s="184"/>
      <c r="BE493" s="184"/>
      <c r="BF493" s="184"/>
      <c r="BG493" s="184">
        <v>19500</v>
      </c>
      <c r="BH493" s="184"/>
      <c r="BI493" s="184"/>
      <c r="BJ493" s="184"/>
      <c r="BK493" s="184"/>
      <c r="BL493" s="184"/>
      <c r="BM493" s="184"/>
      <c r="BN493" s="184"/>
      <c r="BO493" s="184"/>
      <c r="BP493" s="184"/>
      <c r="BQ493" s="184"/>
      <c r="BR493" s="184"/>
      <c r="BS493" s="184"/>
      <c r="BT493" s="184"/>
      <c r="BU493" s="146" cm="1">
        <f t="array" ref="BU493">LOOKUP(2,1/(Y493:BT493&lt;&gt;""),Y493:BH493)</f>
        <v>19500</v>
      </c>
      <c r="BV493" s="145" cm="1">
        <f t="array" aca="1" ref="BV493" ca="1">_xlfn.LET(
    _xlpm.last_col_idx, LOOKUP(2, 1/(Y493:BT493&lt;&gt;""), COLUMN(Y493:BT493) - COLUMN(Y493) + 1),
    _xlpm.header_val, INDEX($Y$3:$BT$3, 1, _xlpm.last_col_idx),
    _xlpm.header_date, IF(ISNUMBER(_xlpm.header_val), _xlpm.header_val, DATEVALUE(_xlpm.header_val)),
    IF(_xlpm.header_date &gt; TODAY(), TODAY(), _xlpm.header_date)
)</f>
        <v>45962</v>
      </c>
      <c r="BW493" s="209" t="e" cm="1">
        <f t="array" ref="BW493">(LOOKUP(2,1/(BH493:BT493&lt;&gt;""),BH493:BT493))/(INDEX(BH493:BT493,MATCH(TRUE,INDEX((BH493:BT493&lt;&gt;0),0),0)))-1</f>
        <v>#N/A</v>
      </c>
      <c r="BX493" s="210">
        <f t="shared" si="88"/>
        <v>19.5</v>
      </c>
      <c r="BY493" s="210">
        <f t="shared" si="89"/>
        <v>19.5</v>
      </c>
      <c r="BZ493" s="210">
        <f>IF(L493="BR",'Impostos e Frete'!$F$6,IF(L493="EU",'Impostos e Frete'!$I$3,IF(L493="CN",'Impostos e Frete'!$I$4,IF(L493="JP",'Impostos e Frete'!$I$5,IF(L493="RU",'Impostos e Frete'!$I$7,"ERRO")))))</f>
        <v>0</v>
      </c>
      <c r="CA493" s="210">
        <f>VLOOKUP(L493,'Impostos e Frete'!$A$3:$B$7,2,0)*'Preços e Condições'!BY493</f>
        <v>0</v>
      </c>
      <c r="CB493" s="147">
        <f t="shared" si="90"/>
        <v>0</v>
      </c>
      <c r="CC493" s="147">
        <f>IF(X493="BRL",'Impostos e Frete'!$B$11,'Impostos e Frete'!$B$12)</f>
        <v>0.2</v>
      </c>
      <c r="CD493" s="211">
        <f t="shared" si="91"/>
        <v>19.7</v>
      </c>
      <c r="CE493" s="212">
        <f t="shared" si="92"/>
        <v>1.379</v>
      </c>
      <c r="CF493" s="213">
        <f>VLOOKUP(L493,'Impostos e Frete'!$A$3:$C$7,3,0)</f>
        <v>45</v>
      </c>
      <c r="CG493" s="213">
        <f t="shared" si="93"/>
        <v>0</v>
      </c>
      <c r="CH493" s="213">
        <f t="shared" si="94"/>
        <v>-45</v>
      </c>
      <c r="CI493" s="214">
        <f t="shared" si="95"/>
        <v>0.44490805523196997</v>
      </c>
      <c r="CJ493" s="215">
        <f t="shared" si="96"/>
        <v>20.144908055231969</v>
      </c>
      <c r="CK493" s="216">
        <f t="shared" si="97"/>
        <v>1.4101435638662378</v>
      </c>
    </row>
    <row r="494" spans="1:89">
      <c r="A494" s="176"/>
      <c r="B494" s="177">
        <v>2638</v>
      </c>
      <c r="C494" s="178">
        <v>68</v>
      </c>
      <c r="D494" s="178">
        <v>1870</v>
      </c>
      <c r="E494" s="178" t="s">
        <v>50</v>
      </c>
      <c r="F494" s="179" t="s">
        <v>0</v>
      </c>
      <c r="G494" s="180" t="s">
        <v>474</v>
      </c>
      <c r="H494" s="178" t="s">
        <v>42</v>
      </c>
      <c r="I494" s="178">
        <v>752</v>
      </c>
      <c r="J494" s="178"/>
      <c r="K494" s="178"/>
      <c r="L494" s="178" t="s">
        <v>60</v>
      </c>
      <c r="M494" s="178">
        <v>90</v>
      </c>
      <c r="N494" s="178">
        <v>3300</v>
      </c>
      <c r="O494" s="178"/>
      <c r="P494" s="178"/>
      <c r="Q494" s="178"/>
      <c r="R494" s="178" t="s">
        <v>19</v>
      </c>
      <c r="S494" s="181"/>
      <c r="T494" s="181"/>
      <c r="U494" s="182"/>
      <c r="V494" s="182" t="s">
        <v>35</v>
      </c>
      <c r="W494" s="183">
        <v>100</v>
      </c>
      <c r="X494" s="182" t="s">
        <v>267</v>
      </c>
      <c r="Y494" s="184"/>
      <c r="Z494" s="184"/>
      <c r="AA494" s="184"/>
      <c r="AB494" s="184"/>
      <c r="AC494" s="184"/>
      <c r="AD494" s="184"/>
      <c r="AE494" s="184"/>
      <c r="AF494" s="184"/>
      <c r="AG494" s="184"/>
      <c r="AH494" s="184"/>
      <c r="AI494" s="184"/>
      <c r="AJ494" s="184"/>
      <c r="AK494" s="184"/>
      <c r="AL494" s="184"/>
      <c r="AM494" s="184"/>
      <c r="AN494" s="184"/>
      <c r="AO494" s="184"/>
      <c r="AP494" s="184"/>
      <c r="AQ494" s="184"/>
      <c r="AR494" s="184"/>
      <c r="AS494" s="184"/>
      <c r="AT494" s="184"/>
      <c r="AU494" s="184"/>
      <c r="AV494" s="184">
        <v>13900</v>
      </c>
      <c r="AW494" s="184">
        <v>13900</v>
      </c>
      <c r="AX494" s="184">
        <v>13900</v>
      </c>
      <c r="AY494" s="184">
        <v>13900</v>
      </c>
      <c r="AZ494" s="184">
        <v>13900</v>
      </c>
      <c r="BA494" s="184">
        <v>13900</v>
      </c>
      <c r="BB494" s="184">
        <v>13900</v>
      </c>
      <c r="BC494" s="184">
        <v>13900</v>
      </c>
      <c r="BD494" s="184">
        <v>13900</v>
      </c>
      <c r="BE494" s="184">
        <v>13900</v>
      </c>
      <c r="BF494" s="184">
        <v>13900</v>
      </c>
      <c r="BG494" s="184">
        <v>13900</v>
      </c>
      <c r="BH494" s="184">
        <v>13900</v>
      </c>
      <c r="BI494" s="184">
        <v>13900</v>
      </c>
      <c r="BJ494" s="184"/>
      <c r="BK494" s="184"/>
      <c r="BL494" s="184"/>
      <c r="BM494" s="184"/>
      <c r="BN494" s="184"/>
      <c r="BO494" s="184"/>
      <c r="BP494" s="184"/>
      <c r="BQ494" s="184"/>
      <c r="BR494" s="184"/>
      <c r="BS494" s="184"/>
      <c r="BT494" s="184"/>
      <c r="BU494" s="146" cm="1">
        <f t="array" ref="BU494">LOOKUP(2,1/(Y494:BT494&lt;&gt;""),Y494:BH494)</f>
        <v>13900</v>
      </c>
      <c r="BV494" s="145" cm="1">
        <f t="array" aca="1" ref="BV494" ca="1">_xlfn.LET(
    _xlpm.last_col_idx, LOOKUP(2, 1/(Y494:BT494&lt;&gt;""), COLUMN(Y494:BT494) - COLUMN(Y494) + 1),
    _xlpm.header_val, INDEX($Y$3:$BT$3, 1, _xlpm.last_col_idx),
    _xlpm.header_date, IF(ISNUMBER(_xlpm.header_val), _xlpm.header_val, DATEVALUE(_xlpm.header_val)),
    IF(_xlpm.header_date &gt; TODAY(), TODAY(), _xlpm.header_date)
)</f>
        <v>46023</v>
      </c>
      <c r="BW494" s="209" cm="1">
        <f t="array" ref="BW494">(LOOKUP(2,1/(BH494:BT494&lt;&gt;""),BH494:BT494))/(INDEX(BH494:BT494,MATCH(TRUE,INDEX((BH494:BT494&lt;&gt;0),0),0)))-1</f>
        <v>0</v>
      </c>
      <c r="BX494" s="210">
        <f t="shared" si="88"/>
        <v>13.9</v>
      </c>
      <c r="BY494" s="210">
        <f t="shared" si="89"/>
        <v>10.425000000000001</v>
      </c>
      <c r="BZ494" s="210">
        <f ca="1">IF(L494="BR",'Impostos e Frete'!$F$6,IF(L494="EU",'Impostos e Frete'!$I$3,IF(L494="CN",'Impostos e Frete'!$I$4,IF(L494="JP",'Impostos e Frete'!$I$5,IF(L494="RU",'Impostos e Frete'!$I$7,"ERRO")))))</f>
        <v>1.1330439999999999</v>
      </c>
      <c r="CA494" s="210">
        <f>VLOOKUP(L494,'Impostos e Frete'!$A$3:$B$7,2,0)*'Preços e Condições'!BY494</f>
        <v>1.4595000000000002</v>
      </c>
      <c r="CB494" s="147">
        <f t="shared" si="90"/>
        <v>0</v>
      </c>
      <c r="CC494" s="147">
        <f>IF(X494="BRL",'Impostos e Frete'!$B$11,'Impostos e Frete'!$B$12)</f>
        <v>9.1999999999999998E-2</v>
      </c>
      <c r="CD494" s="211">
        <f t="shared" ca="1" si="91"/>
        <v>13.109544000000001</v>
      </c>
      <c r="CE494" s="212">
        <f t="shared" ca="1" si="92"/>
        <v>0.89144899200000005</v>
      </c>
      <c r="CF494" s="213">
        <f>VLOOKUP(L494,'Impostos e Frete'!$A$3:$C$7,3,0)</f>
        <v>120</v>
      </c>
      <c r="CG494" s="213">
        <f t="shared" si="93"/>
        <v>90</v>
      </c>
      <c r="CH494" s="213">
        <f t="shared" si="94"/>
        <v>-30</v>
      </c>
      <c r="CI494" s="214">
        <f t="shared" ca="1" si="95"/>
        <v>0.19664315999999893</v>
      </c>
      <c r="CJ494" s="215">
        <f t="shared" ca="1" si="96"/>
        <v>13.30618716</v>
      </c>
      <c r="CK494" s="216">
        <f t="shared" ca="1" si="97"/>
        <v>0.90482072688000004</v>
      </c>
    </row>
    <row r="495" spans="1:89">
      <c r="A495" s="176"/>
      <c r="B495" s="177">
        <v>2638</v>
      </c>
      <c r="C495" s="178">
        <v>68</v>
      </c>
      <c r="D495" s="178">
        <v>1870</v>
      </c>
      <c r="E495" s="178" t="s">
        <v>50</v>
      </c>
      <c r="F495" s="179" t="s">
        <v>0</v>
      </c>
      <c r="G495" s="180" t="s">
        <v>474</v>
      </c>
      <c r="H495" s="178" t="s">
        <v>42</v>
      </c>
      <c r="I495" s="178">
        <v>752</v>
      </c>
      <c r="J495" s="178"/>
      <c r="K495" s="178"/>
      <c r="L495" s="178" t="s">
        <v>60</v>
      </c>
      <c r="M495" s="178">
        <v>90</v>
      </c>
      <c r="N495" s="178">
        <v>400</v>
      </c>
      <c r="O495" s="178"/>
      <c r="P495" s="178"/>
      <c r="Q495" s="178"/>
      <c r="R495" s="178" t="s">
        <v>19</v>
      </c>
      <c r="S495" s="181"/>
      <c r="T495" s="181"/>
      <c r="U495" s="182"/>
      <c r="V495" s="182" t="s">
        <v>35</v>
      </c>
      <c r="W495" s="183">
        <v>100</v>
      </c>
      <c r="X495" s="182" t="s">
        <v>51</v>
      </c>
      <c r="Y495" s="184"/>
      <c r="Z495" s="184"/>
      <c r="AA495" s="184"/>
      <c r="AB495" s="184"/>
      <c r="AC495" s="184"/>
      <c r="AD495" s="184"/>
      <c r="AE495" s="184"/>
      <c r="AF495" s="184"/>
      <c r="AG495" s="184"/>
      <c r="AH495" s="184"/>
      <c r="AI495" s="184"/>
      <c r="AJ495" s="184"/>
      <c r="AK495" s="184"/>
      <c r="AL495" s="184"/>
      <c r="AM495" s="184"/>
      <c r="AN495" s="184"/>
      <c r="AO495" s="184"/>
      <c r="AP495" s="184"/>
      <c r="AQ495" s="184"/>
      <c r="AR495" s="184"/>
      <c r="AS495" s="184"/>
      <c r="AT495" s="184"/>
      <c r="AU495" s="184"/>
      <c r="AV495" s="184"/>
      <c r="AW495" s="184">
        <v>1797</v>
      </c>
      <c r="AX495" s="184">
        <v>1797</v>
      </c>
      <c r="AY495" s="184">
        <v>1797</v>
      </c>
      <c r="AZ495" s="184"/>
      <c r="BA495" s="184"/>
      <c r="BB495" s="184"/>
      <c r="BC495" s="184"/>
      <c r="BD495" s="184"/>
      <c r="BE495" s="184"/>
      <c r="BF495" s="184"/>
      <c r="BG495" s="184"/>
      <c r="BH495" s="184"/>
      <c r="BI495" s="184"/>
      <c r="BJ495" s="184"/>
      <c r="BK495" s="184"/>
      <c r="BL495" s="184"/>
      <c r="BM495" s="184"/>
      <c r="BN495" s="184"/>
      <c r="BO495" s="184"/>
      <c r="BP495" s="184"/>
      <c r="BQ495" s="184"/>
      <c r="BR495" s="184"/>
      <c r="BS495" s="184"/>
      <c r="BT495" s="184"/>
      <c r="BU495" s="146" cm="1">
        <f t="array" ref="BU495">LOOKUP(2,1/(Y495:BT495&lt;&gt;""),Y495:BH495)</f>
        <v>1797</v>
      </c>
      <c r="BV495" s="145" cm="1">
        <f t="array" aca="1" ref="BV495" ca="1">_xlfn.LET(
    _xlpm.last_col_idx, LOOKUP(2, 1/(Y495:BT495&lt;&gt;""), COLUMN(Y495:BT495) - COLUMN(Y495) + 1),
    _xlpm.header_val, INDEX($Y$3:$BT$3, 1, _xlpm.last_col_idx),
    _xlpm.header_date, IF(ISNUMBER(_xlpm.header_val), _xlpm.header_val, DATEVALUE(_xlpm.header_val)),
    IF(_xlpm.header_date &gt; TODAY(), TODAY(), _xlpm.header_date)
)</f>
        <v>45717</v>
      </c>
      <c r="BW495" s="209" t="e" cm="1">
        <f t="array" ref="BW495">(LOOKUP(2,1/(BH495:BT495&lt;&gt;""),BH495:BT495))/(INDEX(BH495:BT495,MATCH(TRUE,INDEX((BH495:BT495&lt;&gt;0),0),0)))-1</f>
        <v>#N/A</v>
      </c>
      <c r="BX495" s="210">
        <f t="shared" si="88"/>
        <v>1.7969999999999999</v>
      </c>
      <c r="BY495" s="210">
        <f t="shared" si="89"/>
        <v>10.6023</v>
      </c>
      <c r="BZ495" s="210">
        <f ca="1">IF(L495="BR",'Impostos e Frete'!$F$6,IF(L495="EU",'Impostos e Frete'!$I$3,IF(L495="CN",'Impostos e Frete'!$I$4,IF(L495="JP",'Impostos e Frete'!$I$5,IF(L495="RU",'Impostos e Frete'!$I$7,"ERRO")))))</f>
        <v>1.1330439999999999</v>
      </c>
      <c r="CA495" s="210">
        <f>VLOOKUP(L495,'Impostos e Frete'!$A$3:$B$7,2,0)*'Preços e Condições'!BY495</f>
        <v>1.4843220000000001</v>
      </c>
      <c r="CB495" s="147">
        <f t="shared" si="90"/>
        <v>0</v>
      </c>
      <c r="CC495" s="147">
        <f>IF(X495="BRL",'Impostos e Frete'!$B$11,'Impostos e Frete'!$B$12)</f>
        <v>9.1999999999999998E-2</v>
      </c>
      <c r="CD495" s="211">
        <f t="shared" ca="1" si="91"/>
        <v>13.311666000000001</v>
      </c>
      <c r="CE495" s="212">
        <f t="shared" ca="1" si="92"/>
        <v>0.9051932880000001</v>
      </c>
      <c r="CF495" s="213">
        <f>VLOOKUP(L495,'Impostos e Frete'!$A$3:$C$7,3,0)</f>
        <v>120</v>
      </c>
      <c r="CG495" s="213">
        <f t="shared" si="93"/>
        <v>90</v>
      </c>
      <c r="CH495" s="213">
        <f t="shared" si="94"/>
        <v>-30</v>
      </c>
      <c r="CI495" s="214">
        <f t="shared" ca="1" si="95"/>
        <v>0.19967498999999833</v>
      </c>
      <c r="CJ495" s="215">
        <f t="shared" ca="1" si="96"/>
        <v>13.511340989999999</v>
      </c>
      <c r="CK495" s="216">
        <f t="shared" ca="1" si="97"/>
        <v>0.91877118731999996</v>
      </c>
    </row>
    <row r="496" spans="1:89">
      <c r="A496" s="176"/>
      <c r="B496" s="177">
        <v>689</v>
      </c>
      <c r="C496" s="178">
        <v>68</v>
      </c>
      <c r="D496" s="178">
        <v>1870</v>
      </c>
      <c r="E496" s="178" t="s">
        <v>50</v>
      </c>
      <c r="F496" s="179" t="s">
        <v>0</v>
      </c>
      <c r="G496" s="189" t="s">
        <v>353</v>
      </c>
      <c r="H496" s="178" t="s">
        <v>63</v>
      </c>
      <c r="I496" s="178"/>
      <c r="J496" s="178"/>
      <c r="K496" s="178"/>
      <c r="L496" s="178" t="s">
        <v>60</v>
      </c>
      <c r="M496" s="178">
        <v>90</v>
      </c>
      <c r="N496" s="178">
        <v>3300</v>
      </c>
      <c r="O496" s="178"/>
      <c r="P496" s="178"/>
      <c r="Q496" s="178"/>
      <c r="R496" s="178" t="s">
        <v>19</v>
      </c>
      <c r="S496" s="181"/>
      <c r="T496" s="181"/>
      <c r="U496" s="182"/>
      <c r="V496" s="182" t="s">
        <v>35</v>
      </c>
      <c r="W496" s="183">
        <v>100</v>
      </c>
      <c r="X496" s="182" t="s">
        <v>267</v>
      </c>
      <c r="Y496" s="184"/>
      <c r="Z496" s="184"/>
      <c r="AA496" s="184"/>
      <c r="AB496" s="184"/>
      <c r="AC496" s="184"/>
      <c r="AD496" s="184"/>
      <c r="AE496" s="184"/>
      <c r="AF496" s="184"/>
      <c r="AG496" s="184"/>
      <c r="AH496" s="184"/>
      <c r="AI496" s="184"/>
      <c r="AJ496" s="184"/>
      <c r="AK496" s="184"/>
      <c r="AL496" s="184"/>
      <c r="AM496" s="184"/>
      <c r="AN496" s="184"/>
      <c r="AO496" s="184"/>
      <c r="AP496" s="184"/>
      <c r="AQ496" s="184"/>
      <c r="AR496" s="184"/>
      <c r="AS496" s="184"/>
      <c r="AT496" s="184"/>
      <c r="AU496" s="184"/>
      <c r="AV496" s="184"/>
      <c r="AW496" s="184"/>
      <c r="AX496" s="184"/>
      <c r="AY496" s="184"/>
      <c r="AZ496" s="184"/>
      <c r="BA496" s="184"/>
      <c r="BB496" s="184"/>
      <c r="BC496" s="184"/>
      <c r="BD496" s="184"/>
      <c r="BE496" s="184"/>
      <c r="BF496" s="184"/>
      <c r="BG496" s="184">
        <v>11900</v>
      </c>
      <c r="BH496" s="184">
        <v>11900</v>
      </c>
      <c r="BI496" s="184">
        <v>11900</v>
      </c>
      <c r="BJ496" s="184"/>
      <c r="BK496" s="184"/>
      <c r="BL496" s="184"/>
      <c r="BM496" s="184"/>
      <c r="BN496" s="184"/>
      <c r="BO496" s="184"/>
      <c r="BP496" s="184"/>
      <c r="BQ496" s="184"/>
      <c r="BR496" s="184"/>
      <c r="BS496" s="184"/>
      <c r="BT496" s="184"/>
      <c r="BU496" s="146" cm="1">
        <f t="array" ref="BU496">LOOKUP(2,1/(Y496:BT496&lt;&gt;""),Y496:BH496)</f>
        <v>11900</v>
      </c>
      <c r="BV496" s="145" cm="1">
        <f t="array" aca="1" ref="BV496" ca="1">_xlfn.LET(
    _xlpm.last_col_idx, LOOKUP(2, 1/(Y496:BT496&lt;&gt;""), COLUMN(Y496:BT496) - COLUMN(Y496) + 1),
    _xlpm.header_val, INDEX($Y$3:$BT$3, 1, _xlpm.last_col_idx),
    _xlpm.header_date, IF(ISNUMBER(_xlpm.header_val), _xlpm.header_val, DATEVALUE(_xlpm.header_val)),
    IF(_xlpm.header_date &gt; TODAY(), TODAY(), _xlpm.header_date)
)</f>
        <v>46023</v>
      </c>
      <c r="BW496" s="209" cm="1">
        <f t="array" ref="BW496">(LOOKUP(2,1/(BH496:BT496&lt;&gt;""),BH496:BT496))/(INDEX(BH496:BT496,MATCH(TRUE,INDEX((BH496:BT496&lt;&gt;0),0),0)))-1</f>
        <v>0</v>
      </c>
      <c r="BX496" s="210">
        <f t="shared" si="88"/>
        <v>11.9</v>
      </c>
      <c r="BY496" s="210">
        <f t="shared" si="89"/>
        <v>8.9250000000000007</v>
      </c>
      <c r="BZ496" s="210">
        <f ca="1">IF(L496="BR",'Impostos e Frete'!$F$6,IF(L496="EU",'Impostos e Frete'!$I$3,IF(L496="CN",'Impostos e Frete'!$I$4,IF(L496="JP",'Impostos e Frete'!$I$5,IF(L496="RU",'Impostos e Frete'!$I$7,"ERRO")))))</f>
        <v>1.1330439999999999</v>
      </c>
      <c r="CA496" s="210">
        <f>VLOOKUP(L496,'Impostos e Frete'!$A$3:$B$7,2,0)*'Preços e Condições'!BY496</f>
        <v>1.2495000000000003</v>
      </c>
      <c r="CB496" s="147">
        <f t="shared" si="90"/>
        <v>0</v>
      </c>
      <c r="CC496" s="147">
        <f>IF(X496="BRL",'Impostos e Frete'!$B$11,'Impostos e Frete'!$B$12)</f>
        <v>9.1999999999999998E-2</v>
      </c>
      <c r="CD496" s="211">
        <f t="shared" ca="1" si="91"/>
        <v>11.399544000000001</v>
      </c>
      <c r="CE496" s="212">
        <f t="shared" ca="1" si="92"/>
        <v>0.77516899200000011</v>
      </c>
      <c r="CF496" s="213">
        <f>VLOOKUP(L496,'Impostos e Frete'!$A$3:$C$7,3,0)</f>
        <v>120</v>
      </c>
      <c r="CG496" s="213">
        <f t="shared" si="93"/>
        <v>90</v>
      </c>
      <c r="CH496" s="213">
        <f t="shared" si="94"/>
        <v>-30</v>
      </c>
      <c r="CI496" s="214">
        <f t="shared" ca="1" si="95"/>
        <v>0.17099315999999831</v>
      </c>
      <c r="CJ496" s="215">
        <f t="shared" ca="1" si="96"/>
        <v>11.570537159999999</v>
      </c>
      <c r="CK496" s="216">
        <f t="shared" ca="1" si="97"/>
        <v>0.7867965268799999</v>
      </c>
    </row>
    <row r="497" spans="1:89">
      <c r="A497" s="176"/>
      <c r="B497" s="177">
        <v>8686</v>
      </c>
      <c r="C497" s="178">
        <v>105</v>
      </c>
      <c r="D497" s="178"/>
      <c r="E497" s="178"/>
      <c r="F497" s="179" t="s">
        <v>47</v>
      </c>
      <c r="G497" s="179" t="s">
        <v>218</v>
      </c>
      <c r="H497" s="178" t="s">
        <v>43</v>
      </c>
      <c r="I497" s="178">
        <v>6424</v>
      </c>
      <c r="J497" s="178"/>
      <c r="K497" s="178"/>
      <c r="L497" s="178" t="s">
        <v>59</v>
      </c>
      <c r="M497" s="178">
        <v>120</v>
      </c>
      <c r="N497" s="178">
        <v>300</v>
      </c>
      <c r="O497" s="178"/>
      <c r="P497" s="178"/>
      <c r="Q497" s="178"/>
      <c r="R497" s="178" t="s">
        <v>19</v>
      </c>
      <c r="S497" s="181"/>
      <c r="T497" s="181"/>
      <c r="U497" s="182"/>
      <c r="V497" s="182" t="s">
        <v>35</v>
      </c>
      <c r="W497" s="183">
        <v>50</v>
      </c>
      <c r="X497" s="182" t="s">
        <v>51</v>
      </c>
      <c r="Y497" s="184">
        <v>3040</v>
      </c>
      <c r="Z497" s="184">
        <v>3040</v>
      </c>
      <c r="AA497" s="184">
        <v>3040</v>
      </c>
      <c r="AB497" s="184">
        <v>3040</v>
      </c>
      <c r="AC497" s="184">
        <v>3040</v>
      </c>
      <c r="AD497" s="184">
        <v>3040</v>
      </c>
      <c r="AE497" s="184">
        <v>2700</v>
      </c>
      <c r="AF497" s="184">
        <v>2700</v>
      </c>
      <c r="AG497" s="184">
        <v>2700</v>
      </c>
      <c r="AH497" s="184">
        <v>2550</v>
      </c>
      <c r="AI497" s="184">
        <v>2550</v>
      </c>
      <c r="AJ497" s="184">
        <v>2550</v>
      </c>
      <c r="AK497" s="184">
        <v>2610</v>
      </c>
      <c r="AL497" s="184">
        <v>2610</v>
      </c>
      <c r="AM497" s="184">
        <v>2610</v>
      </c>
      <c r="AN497" s="184">
        <v>2740</v>
      </c>
      <c r="AO497" s="184">
        <v>2740</v>
      </c>
      <c r="AP497" s="184">
        <v>2740</v>
      </c>
      <c r="AQ497" s="184">
        <v>2890</v>
      </c>
      <c r="AR497" s="184">
        <v>2890</v>
      </c>
      <c r="AS497" s="184">
        <v>2890</v>
      </c>
      <c r="AT497" s="184">
        <v>2890</v>
      </c>
      <c r="AU497" s="184">
        <v>2890</v>
      </c>
      <c r="AV497" s="184">
        <v>2890</v>
      </c>
      <c r="AW497" s="184">
        <v>2810</v>
      </c>
      <c r="AX497" s="184">
        <v>2810</v>
      </c>
      <c r="AY497" s="184">
        <v>2810</v>
      </c>
      <c r="AZ497" s="184">
        <v>2590</v>
      </c>
      <c r="BA497" s="184">
        <v>2590</v>
      </c>
      <c r="BB497" s="184">
        <v>2890</v>
      </c>
      <c r="BC497" s="184">
        <v>2890</v>
      </c>
      <c r="BD497" s="184">
        <v>2890</v>
      </c>
      <c r="BE497" s="184">
        <v>2890</v>
      </c>
      <c r="BF497" s="184">
        <v>2810</v>
      </c>
      <c r="BG497" s="184">
        <v>2810</v>
      </c>
      <c r="BH497" s="184">
        <v>2810</v>
      </c>
      <c r="BI497" s="184">
        <v>2840</v>
      </c>
      <c r="BJ497" s="184">
        <v>2840</v>
      </c>
      <c r="BK497" s="184">
        <v>2840</v>
      </c>
      <c r="BL497" s="184">
        <v>2940</v>
      </c>
      <c r="BM497" s="184">
        <v>2940</v>
      </c>
      <c r="BN497" s="184">
        <v>2940</v>
      </c>
      <c r="BO497" s="202">
        <v>3020</v>
      </c>
      <c r="BP497" s="202">
        <v>3020</v>
      </c>
      <c r="BQ497" s="202">
        <v>3020</v>
      </c>
      <c r="BR497" s="184"/>
      <c r="BS497" s="184"/>
      <c r="BT497" s="184"/>
      <c r="BU497" s="146" cm="1">
        <f t="array" ref="BU497">LOOKUP(2,1/(Y497:BT497&lt;&gt;""),Y497:BH497)</f>
        <v>3020</v>
      </c>
      <c r="BV497" s="145" cm="1">
        <f t="array" aca="1" ref="BV497" ca="1">_xlfn.LET(
    _xlpm.last_col_idx, LOOKUP(2, 1/(Y497:BT497&lt;&gt;""), COLUMN(Y497:BT497) - COLUMN(Y497) + 1),
    _xlpm.header_val, INDEX($Y$3:$BT$3, 1, _xlpm.last_col_idx),
    _xlpm.header_date, IF(ISNUMBER(_xlpm.header_val), _xlpm.header_val, DATEVALUE(_xlpm.header_val)),
    IF(_xlpm.header_date &gt; TODAY(), TODAY(), _xlpm.header_date)
)</f>
        <v>46212</v>
      </c>
      <c r="BW497" s="209" cm="1">
        <f t="array" ref="BW497">(LOOKUP(2,1/(BH497:BT497&lt;&gt;""),BH497:BT497))/(INDEX(BH497:BT497,MATCH(TRUE,INDEX((BH497:BT497&lt;&gt;0),0),0)))-1</f>
        <v>7.4733096085409345E-2</v>
      </c>
      <c r="BX497" s="210">
        <f t="shared" si="88"/>
        <v>3.02</v>
      </c>
      <c r="BY497" s="210">
        <f t="shared" si="89"/>
        <v>17.818000000000001</v>
      </c>
      <c r="BZ497" s="210">
        <f ca="1">IF(L497="BR",'Impostos e Frete'!$F$6,IF(L497="EU",'Impostos e Frete'!$I$3,IF(L497="CN",'Impostos e Frete'!$I$4,IF(L497="JP",'Impostos e Frete'!$I$5,IF(L497="RU",'Impostos e Frete'!$I$7,"ERRO")))))</f>
        <v>0.1410816</v>
      </c>
      <c r="CA497" s="210">
        <f>VLOOKUP(L497,'Impostos e Frete'!$A$3:$B$7,2,0)*'Preços e Condições'!BY497</f>
        <v>2.3163400000000003</v>
      </c>
      <c r="CB497" s="147">
        <f t="shared" si="90"/>
        <v>0</v>
      </c>
      <c r="CC497" s="147">
        <f>IF(X497="BRL",'Impostos e Frete'!$B$11,'Impostos e Frete'!$B$12)</f>
        <v>9.1999999999999998E-2</v>
      </c>
      <c r="CD497" s="211">
        <f t="shared" ca="1" si="91"/>
        <v>20.3674216</v>
      </c>
      <c r="CE497" s="212">
        <f t="shared" ca="1" si="92"/>
        <v>2.138579268</v>
      </c>
      <c r="CF497" s="213">
        <f>VLOOKUP(L497,'Impostos e Frete'!$A$3:$C$7,3,0)</f>
        <v>105</v>
      </c>
      <c r="CG497" s="213">
        <f t="shared" si="93"/>
        <v>120</v>
      </c>
      <c r="CH497" s="213">
        <f t="shared" si="94"/>
        <v>15</v>
      </c>
      <c r="CI497" s="214">
        <f t="shared" ca="1" si="95"/>
        <v>-0.15105836388046257</v>
      </c>
      <c r="CJ497" s="215">
        <f t="shared" ca="1" si="96"/>
        <v>20.216363236119538</v>
      </c>
      <c r="CK497" s="216">
        <f t="shared" ca="1" si="97"/>
        <v>2.1227181397925516</v>
      </c>
    </row>
    <row r="498" spans="1:89">
      <c r="A498" s="176"/>
      <c r="B498" s="177">
        <v>8686</v>
      </c>
      <c r="C498" s="178">
        <v>105</v>
      </c>
      <c r="D498" s="178"/>
      <c r="E498" s="178"/>
      <c r="F498" s="179" t="s">
        <v>47</v>
      </c>
      <c r="G498" s="179" t="s">
        <v>218</v>
      </c>
      <c r="H498" s="178" t="s">
        <v>43</v>
      </c>
      <c r="I498" s="178">
        <v>6424</v>
      </c>
      <c r="J498" s="178"/>
      <c r="K498" s="178"/>
      <c r="L498" s="178" t="s">
        <v>59</v>
      </c>
      <c r="M498" s="178">
        <v>120</v>
      </c>
      <c r="N498" s="178">
        <v>300</v>
      </c>
      <c r="O498" s="178"/>
      <c r="P498" s="178"/>
      <c r="Q498" s="178"/>
      <c r="R498" s="178" t="s">
        <v>19</v>
      </c>
      <c r="S498" s="181"/>
      <c r="T498" s="181"/>
      <c r="U498" s="182"/>
      <c r="V498" s="182" t="s">
        <v>35</v>
      </c>
      <c r="W498" s="183">
        <v>30</v>
      </c>
      <c r="X498" s="182" t="s">
        <v>51</v>
      </c>
      <c r="Y498" s="184">
        <v>3090</v>
      </c>
      <c r="Z498" s="184">
        <v>3090</v>
      </c>
      <c r="AA498" s="184">
        <v>3090</v>
      </c>
      <c r="AB498" s="184">
        <v>3090</v>
      </c>
      <c r="AC498" s="184">
        <v>3090</v>
      </c>
      <c r="AD498" s="184">
        <v>3090</v>
      </c>
      <c r="AE498" s="184">
        <v>2750</v>
      </c>
      <c r="AF498" s="184">
        <v>2750</v>
      </c>
      <c r="AG498" s="184">
        <v>2750</v>
      </c>
      <c r="AH498" s="184">
        <v>2600</v>
      </c>
      <c r="AI498" s="184">
        <v>2600</v>
      </c>
      <c r="AJ498" s="184">
        <v>2600</v>
      </c>
      <c r="AK498" s="184">
        <v>2660</v>
      </c>
      <c r="AL498" s="184">
        <v>2660</v>
      </c>
      <c r="AM498" s="184">
        <v>2660</v>
      </c>
      <c r="AN498" s="184">
        <v>2790</v>
      </c>
      <c r="AO498" s="184">
        <v>2790</v>
      </c>
      <c r="AP498" s="184">
        <v>2790</v>
      </c>
      <c r="AQ498" s="184">
        <v>2940</v>
      </c>
      <c r="AR498" s="184">
        <v>2940</v>
      </c>
      <c r="AS498" s="184">
        <v>2940</v>
      </c>
      <c r="AT498" s="184">
        <v>2940</v>
      </c>
      <c r="AU498" s="184">
        <v>2940</v>
      </c>
      <c r="AV498" s="184">
        <v>2940</v>
      </c>
      <c r="AW498" s="184">
        <v>2860</v>
      </c>
      <c r="AX498" s="184">
        <v>2860</v>
      </c>
      <c r="AY498" s="184">
        <v>2860</v>
      </c>
      <c r="AZ498" s="184">
        <v>2640</v>
      </c>
      <c r="BA498" s="184">
        <v>2640</v>
      </c>
      <c r="BB498" s="184">
        <v>2940</v>
      </c>
      <c r="BC498" s="184">
        <v>2940</v>
      </c>
      <c r="BD498" s="184">
        <v>2940</v>
      </c>
      <c r="BE498" s="184">
        <v>2940</v>
      </c>
      <c r="BF498" s="184">
        <v>2860</v>
      </c>
      <c r="BG498" s="184">
        <v>2860</v>
      </c>
      <c r="BH498" s="184">
        <v>2860</v>
      </c>
      <c r="BI498" s="184">
        <v>2890</v>
      </c>
      <c r="BJ498" s="184">
        <v>2890</v>
      </c>
      <c r="BK498" s="184">
        <v>2890</v>
      </c>
      <c r="BL498" s="184">
        <v>2990</v>
      </c>
      <c r="BM498" s="184">
        <v>2990</v>
      </c>
      <c r="BN498" s="184">
        <v>2990</v>
      </c>
      <c r="BO498" s="184">
        <v>3070</v>
      </c>
      <c r="BP498" s="184">
        <v>3070</v>
      </c>
      <c r="BQ498" s="184">
        <v>3070</v>
      </c>
      <c r="BR498" s="184"/>
      <c r="BS498" s="184"/>
      <c r="BT498" s="184"/>
      <c r="BU498" s="146" cm="1">
        <f t="array" ref="BU498">LOOKUP(2,1/(Y498:BT498&lt;&gt;""),Y498:BH498)</f>
        <v>3070</v>
      </c>
      <c r="BV498" s="145" cm="1">
        <f t="array" aca="1" ref="BV498" ca="1">_xlfn.LET(
    _xlpm.last_col_idx, LOOKUP(2, 1/(Y498:BT498&lt;&gt;""), COLUMN(Y498:BT498) - COLUMN(Y498) + 1),
    _xlpm.header_val, INDEX($Y$3:$BT$3, 1, _xlpm.last_col_idx),
    _xlpm.header_date, IF(ISNUMBER(_xlpm.header_val), _xlpm.header_val, DATEVALUE(_xlpm.header_val)),
    IF(_xlpm.header_date &gt; TODAY(), TODAY(), _xlpm.header_date)
)</f>
        <v>46212</v>
      </c>
      <c r="BW498" s="209" cm="1">
        <f t="array" ref="BW498">(LOOKUP(2,1/(BH498:BT498&lt;&gt;""),BH498:BT498))/(INDEX(BH498:BT498,MATCH(TRUE,INDEX((BH498:BT498&lt;&gt;0),0),0)))-1</f>
        <v>7.3426573426573327E-2</v>
      </c>
      <c r="BX498" s="210">
        <f t="shared" si="88"/>
        <v>3.07</v>
      </c>
      <c r="BY498" s="210">
        <f t="shared" si="89"/>
        <v>18.113</v>
      </c>
      <c r="BZ498" s="210">
        <f ca="1">IF(L498="BR",'Impostos e Frete'!$F$6,IF(L498="EU",'Impostos e Frete'!$I$3,IF(L498="CN",'Impostos e Frete'!$I$4,IF(L498="JP",'Impostos e Frete'!$I$5,IF(L498="RU",'Impostos e Frete'!$I$7,"ERRO")))))</f>
        <v>0.1410816</v>
      </c>
      <c r="CA498" s="210">
        <f>VLOOKUP(L498,'Impostos e Frete'!$A$3:$B$7,2,0)*'Preços e Condições'!BY498</f>
        <v>2.3546900000000002</v>
      </c>
      <c r="CB498" s="147">
        <f t="shared" si="90"/>
        <v>0</v>
      </c>
      <c r="CC498" s="147">
        <f>IF(X498="BRL",'Impostos e Frete'!$B$11,'Impostos e Frete'!$B$12)</f>
        <v>9.1999999999999998E-2</v>
      </c>
      <c r="CD498" s="211">
        <f t="shared" ca="1" si="91"/>
        <v>20.700771599999999</v>
      </c>
      <c r="CE498" s="212">
        <f t="shared" ca="1" si="92"/>
        <v>2.1735810180000001</v>
      </c>
      <c r="CF498" s="213">
        <f>VLOOKUP(L498,'Impostos e Frete'!$A$3:$C$7,3,0)</f>
        <v>105</v>
      </c>
      <c r="CG498" s="213">
        <f t="shared" si="93"/>
        <v>120</v>
      </c>
      <c r="CH498" s="213">
        <f t="shared" si="94"/>
        <v>15</v>
      </c>
      <c r="CI498" s="214">
        <f t="shared" ca="1" si="95"/>
        <v>-0.15353070950125058</v>
      </c>
      <c r="CJ498" s="215">
        <f t="shared" ca="1" si="96"/>
        <v>20.547240890498749</v>
      </c>
      <c r="CK498" s="216">
        <f t="shared" ca="1" si="97"/>
        <v>2.1574602935023686</v>
      </c>
    </row>
    <row r="499" spans="1:89">
      <c r="A499" s="176"/>
      <c r="B499" s="177">
        <v>8686</v>
      </c>
      <c r="C499" s="178">
        <v>105</v>
      </c>
      <c r="D499" s="178"/>
      <c r="E499" s="178"/>
      <c r="F499" s="179" t="s">
        <v>47</v>
      </c>
      <c r="G499" s="179" t="s">
        <v>218</v>
      </c>
      <c r="H499" s="178" t="s">
        <v>43</v>
      </c>
      <c r="I499" s="178">
        <v>6424</v>
      </c>
      <c r="J499" s="178"/>
      <c r="K499" s="178"/>
      <c r="L499" s="178" t="s">
        <v>59</v>
      </c>
      <c r="M499" s="178">
        <v>120</v>
      </c>
      <c r="N499" s="178">
        <v>300</v>
      </c>
      <c r="O499" s="178"/>
      <c r="P499" s="178"/>
      <c r="Q499" s="178"/>
      <c r="R499" s="178" t="s">
        <v>19</v>
      </c>
      <c r="S499" s="181"/>
      <c r="T499" s="181"/>
      <c r="U499" s="182"/>
      <c r="V499" s="182" t="s">
        <v>35</v>
      </c>
      <c r="W499" s="183">
        <v>20</v>
      </c>
      <c r="X499" s="182" t="s">
        <v>51</v>
      </c>
      <c r="Y499" s="184">
        <v>3140</v>
      </c>
      <c r="Z499" s="184">
        <v>3140</v>
      </c>
      <c r="AA499" s="184">
        <v>3140</v>
      </c>
      <c r="AB499" s="184">
        <v>3140</v>
      </c>
      <c r="AC499" s="184">
        <v>3140</v>
      </c>
      <c r="AD499" s="184">
        <v>3140</v>
      </c>
      <c r="AE499" s="184">
        <v>2800</v>
      </c>
      <c r="AF499" s="184">
        <v>2800</v>
      </c>
      <c r="AG499" s="184">
        <v>2800</v>
      </c>
      <c r="AH499" s="184">
        <v>2650</v>
      </c>
      <c r="AI499" s="184">
        <v>2650</v>
      </c>
      <c r="AJ499" s="184">
        <v>2650</v>
      </c>
      <c r="AK499" s="184">
        <v>2710</v>
      </c>
      <c r="AL499" s="184">
        <v>2710</v>
      </c>
      <c r="AM499" s="184">
        <v>2710</v>
      </c>
      <c r="AN499" s="184">
        <v>2840</v>
      </c>
      <c r="AO499" s="184">
        <v>2840</v>
      </c>
      <c r="AP499" s="184">
        <v>2840</v>
      </c>
      <c r="AQ499" s="184">
        <v>2990</v>
      </c>
      <c r="AR499" s="184">
        <v>2990</v>
      </c>
      <c r="AS499" s="184">
        <v>2990</v>
      </c>
      <c r="AT499" s="184">
        <v>2990</v>
      </c>
      <c r="AU499" s="184">
        <v>2990</v>
      </c>
      <c r="AV499" s="184">
        <v>2990</v>
      </c>
      <c r="AW499" s="184">
        <v>2910</v>
      </c>
      <c r="AX499" s="184">
        <v>2910</v>
      </c>
      <c r="AY499" s="184">
        <v>2910</v>
      </c>
      <c r="AZ499" s="184">
        <v>2690</v>
      </c>
      <c r="BA499" s="184">
        <v>2690</v>
      </c>
      <c r="BB499" s="184">
        <v>2990</v>
      </c>
      <c r="BC499" s="184">
        <v>2990</v>
      </c>
      <c r="BD499" s="184">
        <v>2990</v>
      </c>
      <c r="BE499" s="184">
        <v>2990</v>
      </c>
      <c r="BF499" s="184">
        <v>2910</v>
      </c>
      <c r="BG499" s="184">
        <v>2910</v>
      </c>
      <c r="BH499" s="184">
        <v>2910</v>
      </c>
      <c r="BI499" s="184">
        <v>2940</v>
      </c>
      <c r="BJ499" s="184">
        <v>2940</v>
      </c>
      <c r="BK499" s="184">
        <v>2940</v>
      </c>
      <c r="BL499" s="184">
        <v>3040</v>
      </c>
      <c r="BM499" s="184">
        <v>3040</v>
      </c>
      <c r="BN499" s="184">
        <v>3040</v>
      </c>
      <c r="BO499" s="184">
        <v>3120</v>
      </c>
      <c r="BP499" s="184">
        <v>3120</v>
      </c>
      <c r="BQ499" s="184">
        <v>3120</v>
      </c>
      <c r="BR499" s="184"/>
      <c r="BS499" s="184"/>
      <c r="BT499" s="184"/>
      <c r="BU499" s="146" cm="1">
        <f t="array" ref="BU499">LOOKUP(2,1/(Y499:BT499&lt;&gt;""),Y499:BH499)</f>
        <v>3120</v>
      </c>
      <c r="BV499" s="145" cm="1">
        <f t="array" aca="1" ref="BV499" ca="1">_xlfn.LET(
    _xlpm.last_col_idx, LOOKUP(2, 1/(Y499:BT499&lt;&gt;""), COLUMN(Y499:BT499) - COLUMN(Y499) + 1),
    _xlpm.header_val, INDEX($Y$3:$BT$3, 1, _xlpm.last_col_idx),
    _xlpm.header_date, IF(ISNUMBER(_xlpm.header_val), _xlpm.header_val, DATEVALUE(_xlpm.header_val)),
    IF(_xlpm.header_date &gt; TODAY(), TODAY(), _xlpm.header_date)
)</f>
        <v>46212</v>
      </c>
      <c r="BW499" s="209" cm="1">
        <f t="array" ref="BW499">(LOOKUP(2,1/(BH499:BT499&lt;&gt;""),BH499:BT499))/(INDEX(BH499:BT499,MATCH(TRUE,INDEX((BH499:BT499&lt;&gt;0),0),0)))-1</f>
        <v>7.2164948453608213E-2</v>
      </c>
      <c r="BX499" s="210">
        <f t="shared" si="88"/>
        <v>3.12</v>
      </c>
      <c r="BY499" s="210">
        <f t="shared" si="89"/>
        <v>18.408000000000001</v>
      </c>
      <c r="BZ499" s="210">
        <f ca="1">IF(L499="BR",'Impostos e Frete'!$F$6,IF(L499="EU",'Impostos e Frete'!$I$3,IF(L499="CN",'Impostos e Frete'!$I$4,IF(L499="JP",'Impostos e Frete'!$I$5,IF(L499="RU",'Impostos e Frete'!$I$7,"ERRO")))))</f>
        <v>0.1410816</v>
      </c>
      <c r="CA499" s="210">
        <f>VLOOKUP(L499,'Impostos e Frete'!$A$3:$B$7,2,0)*'Preços e Condições'!BY499</f>
        <v>2.3930400000000001</v>
      </c>
      <c r="CB499" s="147">
        <f t="shared" si="90"/>
        <v>0</v>
      </c>
      <c r="CC499" s="147">
        <f>IF(X499="BRL",'Impostos e Frete'!$B$11,'Impostos e Frete'!$B$12)</f>
        <v>9.1999999999999998E-2</v>
      </c>
      <c r="CD499" s="211">
        <f t="shared" ca="1" si="91"/>
        <v>21.034121599999999</v>
      </c>
      <c r="CE499" s="212">
        <f t="shared" ca="1" si="92"/>
        <v>2.2085827679999999</v>
      </c>
      <c r="CF499" s="213">
        <f>VLOOKUP(L499,'Impostos e Frete'!$A$3:$C$7,3,0)</f>
        <v>105</v>
      </c>
      <c r="CG499" s="213">
        <f t="shared" si="93"/>
        <v>120</v>
      </c>
      <c r="CH499" s="213">
        <f t="shared" si="94"/>
        <v>15</v>
      </c>
      <c r="CI499" s="214">
        <f t="shared" ca="1" si="95"/>
        <v>-0.15600305512204216</v>
      </c>
      <c r="CJ499" s="215">
        <f t="shared" ca="1" si="96"/>
        <v>20.878118544877957</v>
      </c>
      <c r="CK499" s="216">
        <f t="shared" ca="1" si="97"/>
        <v>2.1922024472121855</v>
      </c>
    </row>
    <row r="500" spans="1:89">
      <c r="A500" s="176"/>
      <c r="B500" s="177">
        <v>8686</v>
      </c>
      <c r="C500" s="178">
        <v>105</v>
      </c>
      <c r="D500" s="178"/>
      <c r="E500" s="178"/>
      <c r="F500" s="179" t="s">
        <v>47</v>
      </c>
      <c r="G500" s="179" t="s">
        <v>218</v>
      </c>
      <c r="H500" s="178" t="s">
        <v>43</v>
      </c>
      <c r="I500" s="178">
        <v>6424</v>
      </c>
      <c r="J500" s="178"/>
      <c r="K500" s="178"/>
      <c r="L500" s="178" t="s">
        <v>59</v>
      </c>
      <c r="M500" s="178">
        <v>120</v>
      </c>
      <c r="N500" s="178">
        <v>300</v>
      </c>
      <c r="O500" s="178"/>
      <c r="P500" s="178"/>
      <c r="Q500" s="178"/>
      <c r="R500" s="178" t="s">
        <v>19</v>
      </c>
      <c r="S500" s="181"/>
      <c r="T500" s="181"/>
      <c r="U500" s="182"/>
      <c r="V500" s="182" t="s">
        <v>35</v>
      </c>
      <c r="W500" s="183">
        <v>10</v>
      </c>
      <c r="X500" s="182" t="s">
        <v>51</v>
      </c>
      <c r="Y500" s="184">
        <v>3220</v>
      </c>
      <c r="Z500" s="184">
        <v>3220</v>
      </c>
      <c r="AA500" s="184">
        <v>3220</v>
      </c>
      <c r="AB500" s="184">
        <v>3220</v>
      </c>
      <c r="AC500" s="184">
        <v>3220</v>
      </c>
      <c r="AD500" s="184">
        <v>3220</v>
      </c>
      <c r="AE500" s="184">
        <v>2880</v>
      </c>
      <c r="AF500" s="184">
        <v>2880</v>
      </c>
      <c r="AG500" s="184">
        <v>2880</v>
      </c>
      <c r="AH500" s="184">
        <v>2730</v>
      </c>
      <c r="AI500" s="184">
        <v>2730</v>
      </c>
      <c r="AJ500" s="184">
        <v>2730</v>
      </c>
      <c r="AK500" s="184">
        <v>2790</v>
      </c>
      <c r="AL500" s="184">
        <v>2790</v>
      </c>
      <c r="AM500" s="184">
        <v>2790</v>
      </c>
      <c r="AN500" s="184">
        <v>2920</v>
      </c>
      <c r="AO500" s="184">
        <v>2920</v>
      </c>
      <c r="AP500" s="184">
        <v>2920</v>
      </c>
      <c r="AQ500" s="184">
        <v>3070</v>
      </c>
      <c r="AR500" s="184">
        <v>3070</v>
      </c>
      <c r="AS500" s="184">
        <v>3070</v>
      </c>
      <c r="AT500" s="184">
        <v>3070</v>
      </c>
      <c r="AU500" s="184">
        <v>3070</v>
      </c>
      <c r="AV500" s="184">
        <v>3070</v>
      </c>
      <c r="AW500" s="184">
        <v>2990</v>
      </c>
      <c r="AX500" s="184">
        <v>2990</v>
      </c>
      <c r="AY500" s="184">
        <v>2990</v>
      </c>
      <c r="AZ500" s="184">
        <v>2770</v>
      </c>
      <c r="BA500" s="184">
        <v>2770</v>
      </c>
      <c r="BB500" s="184">
        <v>3070</v>
      </c>
      <c r="BC500" s="184">
        <v>3070</v>
      </c>
      <c r="BD500" s="184">
        <v>3070</v>
      </c>
      <c r="BE500" s="184">
        <v>3070</v>
      </c>
      <c r="BF500" s="184">
        <v>2990</v>
      </c>
      <c r="BG500" s="184">
        <v>2990</v>
      </c>
      <c r="BH500" s="184">
        <v>2990</v>
      </c>
      <c r="BI500" s="184">
        <v>3020</v>
      </c>
      <c r="BJ500" s="184">
        <v>3020</v>
      </c>
      <c r="BK500" s="184">
        <v>3020</v>
      </c>
      <c r="BL500" s="184">
        <v>3120</v>
      </c>
      <c r="BM500" s="184">
        <v>3120</v>
      </c>
      <c r="BN500" s="184">
        <v>3120</v>
      </c>
      <c r="BO500" s="184">
        <v>3200</v>
      </c>
      <c r="BP500" s="184">
        <v>3200</v>
      </c>
      <c r="BQ500" s="184">
        <v>3200</v>
      </c>
      <c r="BR500" s="184"/>
      <c r="BS500" s="184"/>
      <c r="BT500" s="184"/>
      <c r="BU500" s="146" cm="1">
        <f t="array" ref="BU500">LOOKUP(2,1/(Y500:BT500&lt;&gt;""),Y500:BH500)</f>
        <v>3200</v>
      </c>
      <c r="BV500" s="145" cm="1">
        <f t="array" aca="1" ref="BV500" ca="1">_xlfn.LET(
    _xlpm.last_col_idx, LOOKUP(2, 1/(Y500:BT500&lt;&gt;""), COLUMN(Y500:BT500) - COLUMN(Y500) + 1),
    _xlpm.header_val, INDEX($Y$3:$BT$3, 1, _xlpm.last_col_idx),
    _xlpm.header_date, IF(ISNUMBER(_xlpm.header_val), _xlpm.header_val, DATEVALUE(_xlpm.header_val)),
    IF(_xlpm.header_date &gt; TODAY(), TODAY(), _xlpm.header_date)
)</f>
        <v>46212</v>
      </c>
      <c r="BW500" s="209" cm="1">
        <f t="array" ref="BW500">(LOOKUP(2,1/(BH500:BT500&lt;&gt;""),BH500:BT500))/(INDEX(BH500:BT500,MATCH(TRUE,INDEX((BH500:BT500&lt;&gt;0),0),0)))-1</f>
        <v>7.0234113712374535E-2</v>
      </c>
      <c r="BX500" s="210">
        <f t="shared" si="88"/>
        <v>3.2</v>
      </c>
      <c r="BY500" s="210">
        <f t="shared" si="89"/>
        <v>18.880000000000003</v>
      </c>
      <c r="BZ500" s="210">
        <f ca="1">IF(L500="BR",'Impostos e Frete'!$F$6,IF(L500="EU",'Impostos e Frete'!$I$3,IF(L500="CN",'Impostos e Frete'!$I$4,IF(L500="JP",'Impostos e Frete'!$I$5,IF(L500="RU",'Impostos e Frete'!$I$7,"ERRO")))))</f>
        <v>0.1410816</v>
      </c>
      <c r="CA500" s="210">
        <f>VLOOKUP(L500,'Impostos e Frete'!$A$3:$B$7,2,0)*'Preços e Condições'!BY500</f>
        <v>2.4544000000000006</v>
      </c>
      <c r="CB500" s="147">
        <f t="shared" si="90"/>
        <v>0</v>
      </c>
      <c r="CC500" s="147">
        <f>IF(X500="BRL",'Impostos e Frete'!$B$11,'Impostos e Frete'!$B$12)</f>
        <v>9.1999999999999998E-2</v>
      </c>
      <c r="CD500" s="211">
        <f t="shared" ca="1" si="91"/>
        <v>21.567481600000001</v>
      </c>
      <c r="CE500" s="212">
        <f t="shared" ca="1" si="92"/>
        <v>2.2645855680000002</v>
      </c>
      <c r="CF500" s="213">
        <f>VLOOKUP(L500,'Impostos e Frete'!$A$3:$C$7,3,0)</f>
        <v>105</v>
      </c>
      <c r="CG500" s="213">
        <f t="shared" si="93"/>
        <v>120</v>
      </c>
      <c r="CH500" s="213">
        <f t="shared" si="94"/>
        <v>15</v>
      </c>
      <c r="CI500" s="214">
        <f t="shared" ca="1" si="95"/>
        <v>-0.15995880811530583</v>
      </c>
      <c r="CJ500" s="215">
        <f t="shared" ca="1" si="96"/>
        <v>21.407522791884695</v>
      </c>
      <c r="CK500" s="216">
        <f t="shared" ca="1" si="97"/>
        <v>2.247789893147893</v>
      </c>
    </row>
    <row r="501" spans="1:89">
      <c r="A501" s="176"/>
      <c r="B501" s="177" t="s">
        <v>75</v>
      </c>
      <c r="C501" s="178">
        <v>30</v>
      </c>
      <c r="D501" s="178">
        <v>1900</v>
      </c>
      <c r="E501" s="178" t="s">
        <v>209</v>
      </c>
      <c r="F501" s="179" t="s">
        <v>207</v>
      </c>
      <c r="G501" s="189" t="s">
        <v>214</v>
      </c>
      <c r="H501" s="178" t="s">
        <v>43</v>
      </c>
      <c r="I501" s="178"/>
      <c r="J501" s="178"/>
      <c r="K501" s="178"/>
      <c r="L501" s="178" t="s">
        <v>208</v>
      </c>
      <c r="M501" s="178">
        <v>90</v>
      </c>
      <c r="N501" s="178"/>
      <c r="O501" s="178"/>
      <c r="P501" s="178"/>
      <c r="Q501" s="178"/>
      <c r="R501" s="178" t="s">
        <v>19</v>
      </c>
      <c r="S501" s="181"/>
      <c r="T501" s="181"/>
      <c r="U501" s="182"/>
      <c r="V501" s="182" t="s">
        <v>35</v>
      </c>
      <c r="W501" s="183"/>
      <c r="X501" s="182" t="s">
        <v>158</v>
      </c>
      <c r="Y501" s="184"/>
      <c r="Z501" s="184"/>
      <c r="AA501" s="184"/>
      <c r="AB501" s="184"/>
      <c r="AC501" s="184"/>
      <c r="AD501" s="184"/>
      <c r="AE501" s="184"/>
      <c r="AF501" s="184"/>
      <c r="AG501" s="184"/>
      <c r="AH501" s="184"/>
      <c r="AI501" s="184"/>
      <c r="AJ501" s="184"/>
      <c r="AK501" s="184"/>
      <c r="AL501" s="184"/>
      <c r="AM501" s="184"/>
      <c r="AN501" s="184"/>
      <c r="AO501" s="184"/>
      <c r="AP501" s="184"/>
      <c r="AQ501" s="184"/>
      <c r="AR501" s="184"/>
      <c r="AS501" s="184"/>
      <c r="AT501" s="184"/>
      <c r="AU501" s="184"/>
      <c r="AV501" s="184"/>
      <c r="AW501" s="184"/>
      <c r="AX501" s="184"/>
      <c r="AY501" s="184"/>
      <c r="AZ501" s="184"/>
      <c r="BA501" s="184">
        <v>1990</v>
      </c>
      <c r="BB501" s="184"/>
      <c r="BC501" s="184"/>
      <c r="BD501" s="184"/>
      <c r="BE501" s="184"/>
      <c r="BF501" s="184"/>
      <c r="BG501" s="184"/>
      <c r="BH501" s="184"/>
      <c r="BI501" s="184"/>
      <c r="BJ501" s="184"/>
      <c r="BK501" s="184"/>
      <c r="BL501" s="184"/>
      <c r="BM501" s="184"/>
      <c r="BN501" s="184"/>
      <c r="BO501" s="184"/>
      <c r="BP501" s="184"/>
      <c r="BQ501" s="184"/>
      <c r="BR501" s="184"/>
      <c r="BS501" s="184"/>
      <c r="BT501" s="184"/>
      <c r="BU501" s="146" cm="1">
        <f t="array" ref="BU501">LOOKUP(2,1/(Y501:BT501&lt;&gt;""),Y501:BH501)</f>
        <v>1990</v>
      </c>
      <c r="BV501" s="145" cm="1">
        <f t="array" aca="1" ref="BV501" ca="1">_xlfn.LET(
    _xlpm.last_col_idx, LOOKUP(2, 1/(Y501:BT501&lt;&gt;""), COLUMN(Y501:BT501) - COLUMN(Y501) + 1),
    _xlpm.header_val, INDEX($Y$3:$BT$3, 1, _xlpm.last_col_idx),
    _xlpm.header_date, IF(ISNUMBER(_xlpm.header_val), _xlpm.header_val, DATEVALUE(_xlpm.header_val)),
    IF(_xlpm.header_date &gt; TODAY(), TODAY(), _xlpm.header_date)
)</f>
        <v>45778</v>
      </c>
      <c r="BW501" s="209" t="e" cm="1">
        <f t="array" ref="BW501">(LOOKUP(2,1/(BH501:BT501&lt;&gt;""),BH501:BT501))/(INDEX(BH501:BT501,MATCH(TRUE,INDEX((BH501:BT501&lt;&gt;0),0),0)))-1</f>
        <v>#N/A</v>
      </c>
      <c r="BX501" s="210">
        <f t="shared" si="88"/>
        <v>1.99</v>
      </c>
      <c r="BY501" s="210">
        <f t="shared" si="89"/>
        <v>9.9499999999999993</v>
      </c>
      <c r="BZ501" s="210">
        <f ca="1">IF(L501="BR",'Impostos e Frete'!$F$6,IF(L501="EU",'Impostos e Frete'!$I$3,IF(L501="CN",'Impostos e Frete'!$I$4,IF(L501="JP",'Impostos e Frete'!$I$5,IF(L501="RU",'Impostos e Frete'!$I$7,"ERRO")))))</f>
        <v>1.8884066666666666</v>
      </c>
      <c r="CA501" s="210">
        <f>VLOOKUP(L501,'Impostos e Frete'!$A$3:$B$7,2,0)*'Preços e Condições'!BY501</f>
        <v>1.4924999999999999</v>
      </c>
      <c r="CB501" s="147">
        <f t="shared" si="90"/>
        <v>0</v>
      </c>
      <c r="CC501" s="147">
        <f>IF(X501="BRL",'Impostos e Frete'!$B$11,'Impostos e Frete'!$B$12)</f>
        <v>9.1999999999999998E-2</v>
      </c>
      <c r="CD501" s="211">
        <f t="shared" ca="1" si="91"/>
        <v>13.422906666666666</v>
      </c>
      <c r="CE501" s="212">
        <f t="shared" ca="1" si="92"/>
        <v>0.40268719999999997</v>
      </c>
      <c r="CF501" s="213">
        <f>VLOOKUP(L501,'Impostos e Frete'!$A$3:$C$7,3,0)</f>
        <v>120</v>
      </c>
      <c r="CG501" s="213">
        <f t="shared" si="93"/>
        <v>90</v>
      </c>
      <c r="CH501" s="213">
        <f t="shared" si="94"/>
        <v>-30</v>
      </c>
      <c r="CI501" s="214">
        <f t="shared" ca="1" si="95"/>
        <v>0.20134359999999951</v>
      </c>
      <c r="CJ501" s="215">
        <f t="shared" ca="1" si="96"/>
        <v>13.624250266666666</v>
      </c>
      <c r="CK501" s="216">
        <f t="shared" ca="1" si="97"/>
        <v>0.40872750799999996</v>
      </c>
    </row>
    <row r="502" spans="1:89">
      <c r="A502" s="176"/>
      <c r="B502" s="177" t="s">
        <v>76</v>
      </c>
      <c r="C502" s="178">
        <v>30</v>
      </c>
      <c r="D502" s="178">
        <v>1900</v>
      </c>
      <c r="E502" s="178" t="s">
        <v>209</v>
      </c>
      <c r="F502" s="179" t="s">
        <v>207</v>
      </c>
      <c r="G502" s="189" t="s">
        <v>215</v>
      </c>
      <c r="H502" s="178" t="s">
        <v>62</v>
      </c>
      <c r="I502" s="178"/>
      <c r="J502" s="178"/>
      <c r="K502" s="178"/>
      <c r="L502" s="178" t="s">
        <v>208</v>
      </c>
      <c r="M502" s="178">
        <v>90</v>
      </c>
      <c r="N502" s="178"/>
      <c r="O502" s="178"/>
      <c r="P502" s="178"/>
      <c r="Q502" s="178"/>
      <c r="R502" s="178" t="s">
        <v>19</v>
      </c>
      <c r="S502" s="181"/>
      <c r="T502" s="181"/>
      <c r="U502" s="182"/>
      <c r="V502" s="182" t="s">
        <v>35</v>
      </c>
      <c r="W502" s="183"/>
      <c r="X502" s="182" t="s">
        <v>158</v>
      </c>
      <c r="Y502" s="184"/>
      <c r="Z502" s="184"/>
      <c r="AA502" s="184"/>
      <c r="AB502" s="184"/>
      <c r="AC502" s="184"/>
      <c r="AD502" s="184"/>
      <c r="AE502" s="184"/>
      <c r="AF502" s="184"/>
      <c r="AG502" s="184"/>
      <c r="AH502" s="184"/>
      <c r="AI502" s="184"/>
      <c r="AJ502" s="184"/>
      <c r="AK502" s="184"/>
      <c r="AL502" s="184"/>
      <c r="AM502" s="184"/>
      <c r="AN502" s="184"/>
      <c r="AO502" s="184"/>
      <c r="AP502" s="184"/>
      <c r="AQ502" s="184"/>
      <c r="AR502" s="184"/>
      <c r="AS502" s="184"/>
      <c r="AT502" s="184"/>
      <c r="AU502" s="184"/>
      <c r="AV502" s="184"/>
      <c r="AW502" s="184"/>
      <c r="AX502" s="184"/>
      <c r="AY502" s="184"/>
      <c r="AZ502" s="184"/>
      <c r="BA502" s="184">
        <v>1990</v>
      </c>
      <c r="BB502" s="184"/>
      <c r="BC502" s="184"/>
      <c r="BD502" s="184"/>
      <c r="BE502" s="184"/>
      <c r="BF502" s="184"/>
      <c r="BG502" s="184"/>
      <c r="BH502" s="184"/>
      <c r="BI502" s="184"/>
      <c r="BJ502" s="184"/>
      <c r="BK502" s="184"/>
      <c r="BL502" s="184"/>
      <c r="BM502" s="184"/>
      <c r="BN502" s="184"/>
      <c r="BO502" s="184"/>
      <c r="BP502" s="184"/>
      <c r="BQ502" s="184"/>
      <c r="BR502" s="184"/>
      <c r="BS502" s="184"/>
      <c r="BT502" s="184"/>
      <c r="BU502" s="146" cm="1">
        <f t="array" ref="BU502">LOOKUP(2,1/(Y502:BT502&lt;&gt;""),Y502:BH502)</f>
        <v>1990</v>
      </c>
      <c r="BV502" s="145" cm="1">
        <f t="array" aca="1" ref="BV502" ca="1">_xlfn.LET(
    _xlpm.last_col_idx, LOOKUP(2, 1/(Y502:BT502&lt;&gt;""), COLUMN(Y502:BT502) - COLUMN(Y502) + 1),
    _xlpm.header_val, INDEX($Y$3:$BT$3, 1, _xlpm.last_col_idx),
    _xlpm.header_date, IF(ISNUMBER(_xlpm.header_val), _xlpm.header_val, DATEVALUE(_xlpm.header_val)),
    IF(_xlpm.header_date &gt; TODAY(), TODAY(), _xlpm.header_date)
)</f>
        <v>45778</v>
      </c>
      <c r="BW502" s="209" t="e" cm="1">
        <f t="array" ref="BW502">(LOOKUP(2,1/(BH502:BT502&lt;&gt;""),BH502:BT502))/(INDEX(BH502:BT502,MATCH(TRUE,INDEX((BH502:BT502&lt;&gt;0),0),0)))-1</f>
        <v>#N/A</v>
      </c>
      <c r="BX502" s="210">
        <f t="shared" si="88"/>
        <v>1.99</v>
      </c>
      <c r="BY502" s="210">
        <f t="shared" si="89"/>
        <v>9.9499999999999993</v>
      </c>
      <c r="BZ502" s="210">
        <f ca="1">IF(L502="BR",'Impostos e Frete'!$F$6,IF(L502="EU",'Impostos e Frete'!$I$3,IF(L502="CN",'Impostos e Frete'!$I$4,IF(L502="JP",'Impostos e Frete'!$I$5,IF(L502="RU",'Impostos e Frete'!$I$7,"ERRO")))))</f>
        <v>1.8884066666666666</v>
      </c>
      <c r="CA502" s="210">
        <f>VLOOKUP(L502,'Impostos e Frete'!$A$3:$B$7,2,0)*'Preços e Condições'!BY502</f>
        <v>1.4924999999999999</v>
      </c>
      <c r="CB502" s="147">
        <f t="shared" si="90"/>
        <v>0</v>
      </c>
      <c r="CC502" s="147">
        <f>IF(X502="BRL",'Impostos e Frete'!$B$11,'Impostos e Frete'!$B$12)</f>
        <v>9.1999999999999998E-2</v>
      </c>
      <c r="CD502" s="211">
        <f t="shared" ca="1" si="91"/>
        <v>13.422906666666666</v>
      </c>
      <c r="CE502" s="212">
        <f t="shared" ca="1" si="92"/>
        <v>0.40268719999999997</v>
      </c>
      <c r="CF502" s="213">
        <f>VLOOKUP(L502,'Impostos e Frete'!$A$3:$C$7,3,0)</f>
        <v>120</v>
      </c>
      <c r="CG502" s="213">
        <f t="shared" si="93"/>
        <v>90</v>
      </c>
      <c r="CH502" s="213">
        <f t="shared" si="94"/>
        <v>-30</v>
      </c>
      <c r="CI502" s="214">
        <f t="shared" ca="1" si="95"/>
        <v>0.20134359999999951</v>
      </c>
      <c r="CJ502" s="215">
        <f t="shared" ca="1" si="96"/>
        <v>13.624250266666666</v>
      </c>
      <c r="CK502" s="216">
        <f t="shared" ca="1" si="97"/>
        <v>0.40872750799999996</v>
      </c>
    </row>
    <row r="503" spans="1:89">
      <c r="A503" s="176"/>
      <c r="B503" s="177" t="s">
        <v>75</v>
      </c>
      <c r="C503" s="178">
        <v>40</v>
      </c>
      <c r="D503" s="178">
        <v>1900</v>
      </c>
      <c r="E503" s="178" t="s">
        <v>209</v>
      </c>
      <c r="F503" s="179" t="s">
        <v>383</v>
      </c>
      <c r="G503" s="185" t="s">
        <v>76</v>
      </c>
      <c r="H503" s="178" t="s">
        <v>43</v>
      </c>
      <c r="I503" s="178"/>
      <c r="J503" s="178"/>
      <c r="K503" s="178"/>
      <c r="L503" s="183" t="s">
        <v>60</v>
      </c>
      <c r="M503" s="183">
        <v>0</v>
      </c>
      <c r="N503" s="183"/>
      <c r="O503" s="178"/>
      <c r="P503" s="178"/>
      <c r="Q503" s="178"/>
      <c r="R503" s="178" t="s">
        <v>19</v>
      </c>
      <c r="S503" s="181"/>
      <c r="T503" s="181"/>
      <c r="U503" s="182"/>
      <c r="V503" s="182" t="s">
        <v>35</v>
      </c>
      <c r="W503" s="183">
        <v>20</v>
      </c>
      <c r="X503" s="182" t="s">
        <v>51</v>
      </c>
      <c r="Y503" s="184"/>
      <c r="Z503" s="184"/>
      <c r="AA503" s="184"/>
      <c r="AB503" s="184"/>
      <c r="AC503" s="184"/>
      <c r="AD503" s="184"/>
      <c r="AE503" s="184"/>
      <c r="AF503" s="184"/>
      <c r="AG503" s="184"/>
      <c r="AH503" s="184"/>
      <c r="AI503" s="184"/>
      <c r="AJ503" s="184"/>
      <c r="AK503" s="184"/>
      <c r="AL503" s="184"/>
      <c r="AM503" s="184"/>
      <c r="AN503" s="184"/>
      <c r="AO503" s="184"/>
      <c r="AP503" s="184"/>
      <c r="AQ503" s="184"/>
      <c r="AR503" s="184"/>
      <c r="AS503" s="184"/>
      <c r="AT503" s="184"/>
      <c r="AU503" s="184"/>
      <c r="AV503" s="184"/>
      <c r="AW503" s="184"/>
      <c r="AX503" s="184"/>
      <c r="AY503" s="184"/>
      <c r="AZ503" s="184"/>
      <c r="BA503" s="184"/>
      <c r="BB503" s="184"/>
      <c r="BC503" s="184"/>
      <c r="BD503" s="184"/>
      <c r="BE503" s="184"/>
      <c r="BF503" s="184"/>
      <c r="BG503" s="184"/>
      <c r="BH503" s="184"/>
      <c r="BI503" s="184"/>
      <c r="BJ503" s="184"/>
      <c r="BK503" s="184"/>
      <c r="BL503" s="184"/>
      <c r="BM503" s="184">
        <v>1750</v>
      </c>
      <c r="BN503" s="184"/>
      <c r="BO503" s="184"/>
      <c r="BP503" s="184"/>
      <c r="BQ503" s="184"/>
      <c r="BR503" s="184"/>
      <c r="BS503" s="184"/>
      <c r="BT503" s="184"/>
      <c r="BU503" s="146" cm="1">
        <f t="array" ref="BU503">LOOKUP(2,1/(Y503:BT503&lt;&gt;""),Y503:BH503)</f>
        <v>1750</v>
      </c>
      <c r="BV503" s="145" cm="1">
        <f t="array" aca="1" ref="BV503" ca="1">_xlfn.LET(
    _xlpm.last_col_idx, LOOKUP(2, 1/(Y503:BT503&lt;&gt;""), COLUMN(Y503:BT503) - COLUMN(Y503) + 1),
    _xlpm.header_val, INDEX($Y$3:$BT$3, 1, _xlpm.last_col_idx),
    _xlpm.header_date, IF(ISNUMBER(_xlpm.header_val), _xlpm.header_val, DATEVALUE(_xlpm.header_val)),
    IF(_xlpm.header_date &gt; TODAY(), TODAY(), _xlpm.header_date)
)</f>
        <v>46143</v>
      </c>
      <c r="BW503" s="209" cm="1">
        <f t="array" ref="BW503">(LOOKUP(2,1/(BH503:BT503&lt;&gt;""),BH503:BT503))/(INDEX(BH503:BT503,MATCH(TRUE,INDEX((BH503:BT503&lt;&gt;0),0),0)))-1</f>
        <v>0</v>
      </c>
      <c r="BX503" s="210">
        <f t="shared" si="88"/>
        <v>1.75</v>
      </c>
      <c r="BY503" s="210">
        <f t="shared" si="89"/>
        <v>10.325000000000001</v>
      </c>
      <c r="BZ503" s="210">
        <f ca="1">IF(L503="BR",'Impostos e Frete'!$F$6,IF(L503="EU",'Impostos e Frete'!$I$3,IF(L503="CN",'Impostos e Frete'!$I$4,IF(L503="JP",'Impostos e Frete'!$I$5,IF(L503="RU",'Impostos e Frete'!$I$7,"ERRO")))))</f>
        <v>1.1330439999999999</v>
      </c>
      <c r="CA503" s="210">
        <f>VLOOKUP(L503,'Impostos e Frete'!$A$3:$B$7,2,0)*'Preços e Condições'!BY503</f>
        <v>1.4455000000000002</v>
      </c>
      <c r="CB503" s="147">
        <f t="shared" si="90"/>
        <v>0</v>
      </c>
      <c r="CC503" s="147">
        <f>IF(X503="BRL",'Impostos e Frete'!$B$11,'Impostos e Frete'!$B$12)</f>
        <v>9.1999999999999998E-2</v>
      </c>
      <c r="CD503" s="211">
        <f t="shared" ca="1" si="91"/>
        <v>12.995544000000002</v>
      </c>
      <c r="CE503" s="212">
        <f t="shared" ca="1" si="92"/>
        <v>0.51982176000000013</v>
      </c>
      <c r="CF503" s="213">
        <f>VLOOKUP(L503,'Impostos e Frete'!$A$3:$C$7,3,0)</f>
        <v>120</v>
      </c>
      <c r="CG503" s="213">
        <f t="shared" si="93"/>
        <v>0</v>
      </c>
      <c r="CH503" s="213">
        <f t="shared" si="94"/>
        <v>-120</v>
      </c>
      <c r="CI503" s="214">
        <f t="shared" ca="1" si="95"/>
        <v>0.79745272214340801</v>
      </c>
      <c r="CJ503" s="215">
        <f t="shared" ca="1" si="96"/>
        <v>13.79299672214341</v>
      </c>
      <c r="CK503" s="216">
        <f t="shared" ca="1" si="97"/>
        <v>0.55171986888573643</v>
      </c>
    </row>
    <row r="504" spans="1:89">
      <c r="A504" s="176"/>
      <c r="B504" s="177" t="s">
        <v>76</v>
      </c>
      <c r="C504" s="178">
        <v>40</v>
      </c>
      <c r="D504" s="178">
        <v>1900</v>
      </c>
      <c r="E504" s="178" t="s">
        <v>209</v>
      </c>
      <c r="F504" s="179" t="s">
        <v>383</v>
      </c>
      <c r="G504" s="185" t="s">
        <v>76</v>
      </c>
      <c r="H504" s="178" t="s">
        <v>62</v>
      </c>
      <c r="I504" s="178"/>
      <c r="J504" s="178"/>
      <c r="K504" s="178"/>
      <c r="L504" s="183" t="s">
        <v>60</v>
      </c>
      <c r="M504" s="183">
        <v>0</v>
      </c>
      <c r="N504" s="183"/>
      <c r="O504" s="178"/>
      <c r="P504" s="178"/>
      <c r="Q504" s="178"/>
      <c r="R504" s="178" t="s">
        <v>19</v>
      </c>
      <c r="S504" s="181"/>
      <c r="T504" s="181"/>
      <c r="U504" s="182"/>
      <c r="V504" s="182" t="s">
        <v>35</v>
      </c>
      <c r="W504" s="183">
        <v>20</v>
      </c>
      <c r="X504" s="182" t="s">
        <v>51</v>
      </c>
      <c r="Y504" s="184"/>
      <c r="Z504" s="184"/>
      <c r="AA504" s="184"/>
      <c r="AB504" s="184"/>
      <c r="AC504" s="184"/>
      <c r="AD504" s="184"/>
      <c r="AE504" s="184"/>
      <c r="AF504" s="184"/>
      <c r="AG504" s="184"/>
      <c r="AH504" s="184"/>
      <c r="AI504" s="184"/>
      <c r="AJ504" s="184"/>
      <c r="AK504" s="184"/>
      <c r="AL504" s="184"/>
      <c r="AM504" s="184"/>
      <c r="AN504" s="184"/>
      <c r="AO504" s="184"/>
      <c r="AP504" s="184"/>
      <c r="AQ504" s="184"/>
      <c r="AR504" s="184"/>
      <c r="AS504" s="184"/>
      <c r="AT504" s="184"/>
      <c r="AU504" s="184"/>
      <c r="AV504" s="184"/>
      <c r="AW504" s="184"/>
      <c r="AX504" s="184"/>
      <c r="AY504" s="184"/>
      <c r="AZ504" s="184"/>
      <c r="BA504" s="184"/>
      <c r="BB504" s="184"/>
      <c r="BC504" s="184"/>
      <c r="BD504" s="184"/>
      <c r="BE504" s="184"/>
      <c r="BF504" s="184"/>
      <c r="BG504" s="184"/>
      <c r="BH504" s="184"/>
      <c r="BI504" s="184"/>
      <c r="BJ504" s="184"/>
      <c r="BK504" s="184"/>
      <c r="BL504" s="184"/>
      <c r="BM504" s="184">
        <v>1750</v>
      </c>
      <c r="BN504" s="184"/>
      <c r="BO504" s="184"/>
      <c r="BP504" s="184"/>
      <c r="BQ504" s="184"/>
      <c r="BR504" s="184"/>
      <c r="BS504" s="184"/>
      <c r="BT504" s="184"/>
      <c r="BU504" s="146" cm="1">
        <f t="array" ref="BU504">LOOKUP(2,1/(Y504:BT504&lt;&gt;""),Y504:BH504)</f>
        <v>1750</v>
      </c>
      <c r="BV504" s="145" cm="1">
        <f t="array" aca="1" ref="BV504" ca="1">_xlfn.LET(
    _xlpm.last_col_idx, LOOKUP(2, 1/(Y504:BT504&lt;&gt;""), COLUMN(Y504:BT504) - COLUMN(Y504) + 1),
    _xlpm.header_val, INDEX($Y$3:$BT$3, 1, _xlpm.last_col_idx),
    _xlpm.header_date, IF(ISNUMBER(_xlpm.header_val), _xlpm.header_val, DATEVALUE(_xlpm.header_val)),
    IF(_xlpm.header_date &gt; TODAY(), TODAY(), _xlpm.header_date)
)</f>
        <v>46143</v>
      </c>
      <c r="BW504" s="209" cm="1">
        <f t="array" ref="BW504">(LOOKUP(2,1/(BH504:BT504&lt;&gt;""),BH504:BT504))/(INDEX(BH504:BT504,MATCH(TRUE,INDEX((BH504:BT504&lt;&gt;0),0),0)))-1</f>
        <v>0</v>
      </c>
      <c r="BX504" s="210">
        <f t="shared" si="88"/>
        <v>1.75</v>
      </c>
      <c r="BY504" s="210">
        <f t="shared" si="89"/>
        <v>10.325000000000001</v>
      </c>
      <c r="BZ504" s="210">
        <f ca="1">IF(L504="BR",'Impostos e Frete'!$F$6,IF(L504="EU",'Impostos e Frete'!$I$3,IF(L504="CN",'Impostos e Frete'!$I$4,IF(L504="JP",'Impostos e Frete'!$I$5,IF(L504="RU",'Impostos e Frete'!$I$7,"ERRO")))))</f>
        <v>1.1330439999999999</v>
      </c>
      <c r="CA504" s="210">
        <f>VLOOKUP(L504,'Impostos e Frete'!$A$3:$B$7,2,0)*'Preços e Condições'!BY504</f>
        <v>1.4455000000000002</v>
      </c>
      <c r="CB504" s="147">
        <f t="shared" si="90"/>
        <v>0</v>
      </c>
      <c r="CC504" s="147">
        <f>IF(X504="BRL",'Impostos e Frete'!$B$11,'Impostos e Frete'!$B$12)</f>
        <v>9.1999999999999998E-2</v>
      </c>
      <c r="CD504" s="211">
        <f t="shared" ca="1" si="91"/>
        <v>12.995544000000002</v>
      </c>
      <c r="CE504" s="212">
        <f t="shared" ca="1" si="92"/>
        <v>0.51982176000000013</v>
      </c>
      <c r="CF504" s="213">
        <f>VLOOKUP(L504,'Impostos e Frete'!$A$3:$C$7,3,0)</f>
        <v>120</v>
      </c>
      <c r="CG504" s="213">
        <f t="shared" si="93"/>
        <v>0</v>
      </c>
      <c r="CH504" s="213">
        <f t="shared" si="94"/>
        <v>-120</v>
      </c>
      <c r="CI504" s="214">
        <f t="shared" ca="1" si="95"/>
        <v>0.79745272214340801</v>
      </c>
      <c r="CJ504" s="215">
        <f t="shared" ca="1" si="96"/>
        <v>13.79299672214341</v>
      </c>
      <c r="CK504" s="216">
        <f t="shared" ca="1" si="97"/>
        <v>0.55171986888573643</v>
      </c>
    </row>
    <row r="505" spans="1:89">
      <c r="A505" s="217"/>
      <c r="B505" s="177"/>
      <c r="C505" s="178"/>
      <c r="D505" s="178"/>
      <c r="E505" s="178"/>
      <c r="F505" s="179"/>
      <c r="G505" s="185"/>
      <c r="H505" s="178"/>
      <c r="I505" s="178"/>
      <c r="J505" s="178"/>
      <c r="K505" s="178"/>
      <c r="L505" s="183"/>
      <c r="M505" s="183"/>
      <c r="N505" s="183"/>
      <c r="O505" s="178"/>
      <c r="P505" s="178"/>
      <c r="Q505" s="178"/>
      <c r="R505" s="178"/>
      <c r="S505" s="181"/>
      <c r="T505" s="181"/>
      <c r="U505" s="182"/>
      <c r="V505" s="182"/>
      <c r="W505" s="183"/>
      <c r="X505" s="182"/>
      <c r="Y505" s="184"/>
      <c r="Z505" s="184"/>
      <c r="AA505" s="184"/>
      <c r="AB505" s="184"/>
      <c r="AC505" s="184"/>
      <c r="AD505" s="184"/>
      <c r="AE505" s="184"/>
      <c r="AF505" s="184"/>
      <c r="AG505" s="184"/>
      <c r="AH505" s="184"/>
      <c r="AI505" s="184"/>
      <c r="AJ505" s="184"/>
      <c r="AK505" s="184"/>
      <c r="AL505" s="184"/>
      <c r="AM505" s="184"/>
      <c r="AN505" s="184"/>
      <c r="AO505" s="184"/>
      <c r="AP505" s="184"/>
      <c r="AQ505" s="184"/>
      <c r="AR505" s="184"/>
      <c r="AS505" s="184"/>
      <c r="AT505" s="184"/>
      <c r="AU505" s="184"/>
      <c r="AV505" s="184"/>
      <c r="AW505" s="184"/>
      <c r="AX505" s="184"/>
      <c r="AY505" s="184"/>
      <c r="AZ505" s="184"/>
      <c r="BA505" s="184"/>
      <c r="BB505" s="184"/>
      <c r="BC505" s="184"/>
      <c r="BD505" s="184"/>
      <c r="BE505" s="184"/>
      <c r="BF505" s="184"/>
      <c r="BG505" s="184"/>
      <c r="BH505" s="184"/>
      <c r="BI505" s="184"/>
      <c r="BJ505" s="184"/>
      <c r="BK505" s="184"/>
      <c r="BL505" s="184"/>
      <c r="BM505" s="184"/>
      <c r="BN505" s="184"/>
      <c r="BO505" s="184"/>
      <c r="BP505" s="184"/>
      <c r="BQ505" s="184"/>
      <c r="BR505" s="184"/>
      <c r="BS505" s="184"/>
      <c r="BT505" s="184"/>
      <c r="BU505" s="146" t="e" cm="1">
        <f t="array" ref="BU505">LOOKUP(2,1/(Y505:BT505&lt;&gt;""),Y505:BH505)</f>
        <v>#N/A</v>
      </c>
      <c r="BV505" s="145" t="e" cm="1">
        <f t="array" aca="1" ref="BV505" ca="1">_xlfn.LET(
    _xlpm.last_col_idx, LOOKUP(2, 1/(Y505:BT505&lt;&gt;""), COLUMN(Y505:BT505) - COLUMN(Y505) + 1),
    _xlpm.header_val, INDEX($Y$3:$BT$3, 1, _xlpm.last_col_idx),
    _xlpm.header_date, IF(ISNUMBER(_xlpm.header_val), _xlpm.header_val, DATEVALUE(_xlpm.header_val)),
    IF(_xlpm.header_date &gt; TODAY(), TODAY(), _xlpm.header_date)
)</f>
        <v>#N/A</v>
      </c>
      <c r="BW505" s="209" t="e" cm="1">
        <f t="array" ref="BW505">(LOOKUP(2,1/(BH505:BT505&lt;&gt;""),BH505:BT505))/(INDEX(BH505:BT505,MATCH(TRUE,INDEX((BH505:BT505&lt;&gt;0),0),0)))-1</f>
        <v>#N/A</v>
      </c>
      <c r="BX505" s="210" t="e">
        <f t="shared" si="88"/>
        <v>#N/A</v>
      </c>
      <c r="BY505" s="210" t="str">
        <f t="shared" si="89"/>
        <v>CRRY#</v>
      </c>
      <c r="BZ505" s="210" t="str">
        <f>IF(L505="BR",'Impostos e Frete'!$F$6,IF(L505="EU",'Impostos e Frete'!$I$3,IF(L505="CN",'Impostos e Frete'!$I$4,IF(L505="JP",'Impostos e Frete'!$I$5,IF(L505="RU",'Impostos e Frete'!$I$7,"ERRO")))))</f>
        <v>ERRO</v>
      </c>
      <c r="CA505" s="210" t="e">
        <f>VLOOKUP(L505,'Impostos e Frete'!$A$3:$B$7,2,0)*'Preços e Condições'!BY505</f>
        <v>#N/A</v>
      </c>
      <c r="CB505" s="147" t="str">
        <f t="shared" si="90"/>
        <v>ERRO</v>
      </c>
      <c r="CC505" s="147">
        <f>IF(X505="BRL",'Impostos e Frete'!$B$11,'Impostos e Frete'!$B$12)</f>
        <v>9.1999999999999998E-2</v>
      </c>
      <c r="CD505" s="211" t="e">
        <f t="shared" si="91"/>
        <v>#N/A</v>
      </c>
      <c r="CE505" s="212" t="str">
        <f t="shared" si="92"/>
        <v>erro</v>
      </c>
      <c r="CF505" s="213" t="e">
        <f>VLOOKUP(L505,'Impostos e Frete'!$A$3:$C$7,3,0)</f>
        <v>#N/A</v>
      </c>
      <c r="CG505" s="213">
        <f t="shared" si="93"/>
        <v>0</v>
      </c>
      <c r="CH505" s="213" t="e">
        <f t="shared" si="94"/>
        <v>#N/A</v>
      </c>
      <c r="CI505" s="214" t="e">
        <f t="shared" si="95"/>
        <v>#N/A</v>
      </c>
      <c r="CJ505" s="215" t="e">
        <f t="shared" si="96"/>
        <v>#N/A</v>
      </c>
      <c r="CK505" s="216" t="str">
        <f t="shared" si="97"/>
        <v>erro</v>
      </c>
    </row>
    <row r="506" spans="1:89">
      <c r="A506" s="217"/>
      <c r="B506" s="177"/>
      <c r="C506" s="178"/>
      <c r="D506" s="178"/>
      <c r="E506" s="178"/>
      <c r="F506" s="179"/>
      <c r="G506" s="185"/>
      <c r="H506" s="178"/>
      <c r="I506" s="178"/>
      <c r="J506" s="178"/>
      <c r="K506" s="178"/>
      <c r="L506" s="183"/>
      <c r="M506" s="183"/>
      <c r="N506" s="183"/>
      <c r="O506" s="178"/>
      <c r="P506" s="178"/>
      <c r="Q506" s="178"/>
      <c r="R506" s="178"/>
      <c r="S506" s="181"/>
      <c r="T506" s="181"/>
      <c r="U506" s="182"/>
      <c r="V506" s="182"/>
      <c r="W506" s="183"/>
      <c r="X506" s="182"/>
      <c r="Y506" s="184"/>
      <c r="Z506" s="184"/>
      <c r="AA506" s="184"/>
      <c r="AB506" s="184"/>
      <c r="AC506" s="184"/>
      <c r="AD506" s="184"/>
      <c r="AE506" s="184"/>
      <c r="AF506" s="184"/>
      <c r="AG506" s="184"/>
      <c r="AH506" s="184"/>
      <c r="AI506" s="184"/>
      <c r="AJ506" s="184"/>
      <c r="AK506" s="184"/>
      <c r="AL506" s="184"/>
      <c r="AM506" s="184"/>
      <c r="AN506" s="184"/>
      <c r="AO506" s="184"/>
      <c r="AP506" s="184"/>
      <c r="AQ506" s="184"/>
      <c r="AR506" s="184"/>
      <c r="AS506" s="184"/>
      <c r="AT506" s="184"/>
      <c r="AU506" s="184"/>
      <c r="AV506" s="184"/>
      <c r="AW506" s="184"/>
      <c r="AX506" s="184"/>
      <c r="AY506" s="184"/>
      <c r="AZ506" s="184"/>
      <c r="BA506" s="184"/>
      <c r="BB506" s="184"/>
      <c r="BC506" s="184"/>
      <c r="BD506" s="184"/>
      <c r="BE506" s="184"/>
      <c r="BF506" s="184"/>
      <c r="BG506" s="184"/>
      <c r="BH506" s="184"/>
      <c r="BI506" s="184"/>
      <c r="BJ506" s="184"/>
      <c r="BK506" s="184"/>
      <c r="BL506" s="184"/>
      <c r="BM506" s="184"/>
      <c r="BN506" s="184"/>
      <c r="BO506" s="184"/>
      <c r="BP506" s="184"/>
      <c r="BQ506" s="184"/>
      <c r="BR506" s="184"/>
      <c r="BS506" s="184"/>
      <c r="BT506" s="184"/>
      <c r="BU506" s="146" t="e" cm="1">
        <f t="array" ref="BU506">LOOKUP(2,1/(Y506:BT506&lt;&gt;""),Y506:BH506)</f>
        <v>#N/A</v>
      </c>
      <c r="BV506" s="145" t="e" cm="1">
        <f t="array" aca="1" ref="BV506" ca="1">_xlfn.LET(
    _xlpm.last_col_idx, LOOKUP(2, 1/(Y506:BT506&lt;&gt;""), COLUMN(Y506:BT506) - COLUMN(Y506) + 1),
    _xlpm.header_val, INDEX($Y$3:$BT$3, 1, _xlpm.last_col_idx),
    _xlpm.header_date, IF(ISNUMBER(_xlpm.header_val), _xlpm.header_val, DATEVALUE(_xlpm.header_val)),
    IF(_xlpm.header_date &gt; TODAY(), TODAY(), _xlpm.header_date)
)</f>
        <v>#N/A</v>
      </c>
      <c r="BW506" s="209" t="e" cm="1">
        <f t="array" ref="BW506">(LOOKUP(2,1/(BH506:BT506&lt;&gt;""),BH506:BT506))/(INDEX(BH506:BT506,MATCH(TRUE,INDEX((BH506:BT506&lt;&gt;0),0),0)))-1</f>
        <v>#N/A</v>
      </c>
      <c r="BX506" s="210" t="e">
        <f t="shared" si="88"/>
        <v>#N/A</v>
      </c>
      <c r="BY506" s="210" t="str">
        <f t="shared" si="89"/>
        <v>CRRY#</v>
      </c>
      <c r="BZ506" s="210" t="str">
        <f>IF(L506="BR",'Impostos e Frete'!$F$6,IF(L506="EU",'Impostos e Frete'!$I$3,IF(L506="CN",'Impostos e Frete'!$I$4,IF(L506="JP",'Impostos e Frete'!$I$5,IF(L506="RU",'Impostos e Frete'!$I$7,"ERRO")))))</f>
        <v>ERRO</v>
      </c>
      <c r="CA506" s="210" t="e">
        <f>VLOOKUP(L506,'Impostos e Frete'!$A$3:$B$7,2,0)*'Preços e Condições'!BY506</f>
        <v>#N/A</v>
      </c>
      <c r="CB506" s="147" t="str">
        <f t="shared" si="90"/>
        <v>ERRO</v>
      </c>
      <c r="CC506" s="147">
        <f>IF(X506="BRL",'Impostos e Frete'!$B$11,'Impostos e Frete'!$B$12)</f>
        <v>9.1999999999999998E-2</v>
      </c>
      <c r="CD506" s="211" t="e">
        <f t="shared" si="91"/>
        <v>#N/A</v>
      </c>
      <c r="CE506" s="212" t="str">
        <f t="shared" si="92"/>
        <v>erro</v>
      </c>
      <c r="CF506" s="213" t="e">
        <f>VLOOKUP(L506,'Impostos e Frete'!$A$3:$C$7,3,0)</f>
        <v>#N/A</v>
      </c>
      <c r="CG506" s="213">
        <f t="shared" si="93"/>
        <v>0</v>
      </c>
      <c r="CH506" s="213" t="e">
        <f t="shared" si="94"/>
        <v>#N/A</v>
      </c>
      <c r="CI506" s="214" t="e">
        <f t="shared" si="95"/>
        <v>#N/A</v>
      </c>
      <c r="CJ506" s="215" t="e">
        <f t="shared" si="96"/>
        <v>#N/A</v>
      </c>
      <c r="CK506" s="216" t="str">
        <f t="shared" si="97"/>
        <v>erro</v>
      </c>
    </row>
    <row r="507" spans="1:89">
      <c r="A507" s="217"/>
      <c r="B507" s="177"/>
      <c r="C507" s="178"/>
      <c r="D507" s="178"/>
      <c r="E507" s="178"/>
      <c r="F507" s="179"/>
      <c r="G507" s="185"/>
      <c r="H507" s="178"/>
      <c r="I507" s="178"/>
      <c r="J507" s="178"/>
      <c r="K507" s="178"/>
      <c r="L507" s="183"/>
      <c r="M507" s="183"/>
      <c r="N507" s="183"/>
      <c r="O507" s="178"/>
      <c r="P507" s="178"/>
      <c r="Q507" s="178"/>
      <c r="R507" s="178"/>
      <c r="S507" s="181"/>
      <c r="T507" s="181"/>
      <c r="U507" s="182"/>
      <c r="V507" s="182"/>
      <c r="W507" s="183"/>
      <c r="X507" s="182"/>
      <c r="Y507" s="184"/>
      <c r="Z507" s="184"/>
      <c r="AA507" s="184"/>
      <c r="AB507" s="184"/>
      <c r="AC507" s="184"/>
      <c r="AD507" s="184"/>
      <c r="AE507" s="184"/>
      <c r="AF507" s="184"/>
      <c r="AG507" s="184"/>
      <c r="AH507" s="184"/>
      <c r="AI507" s="184"/>
      <c r="AJ507" s="184"/>
      <c r="AK507" s="184"/>
      <c r="AL507" s="184"/>
      <c r="AM507" s="184"/>
      <c r="AN507" s="184"/>
      <c r="AO507" s="184"/>
      <c r="AP507" s="184"/>
      <c r="AQ507" s="184"/>
      <c r="AR507" s="184"/>
      <c r="AS507" s="184"/>
      <c r="AT507" s="184"/>
      <c r="AU507" s="184"/>
      <c r="AV507" s="184"/>
      <c r="AW507" s="184"/>
      <c r="AX507" s="184"/>
      <c r="AY507" s="184"/>
      <c r="AZ507" s="184"/>
      <c r="BA507" s="184"/>
      <c r="BB507" s="184"/>
      <c r="BC507" s="184"/>
      <c r="BD507" s="184"/>
      <c r="BE507" s="184"/>
      <c r="BF507" s="184"/>
      <c r="BG507" s="184"/>
      <c r="BH507" s="184"/>
      <c r="BI507" s="184"/>
      <c r="BJ507" s="184"/>
      <c r="BK507" s="184"/>
      <c r="BL507" s="184"/>
      <c r="BM507" s="184"/>
      <c r="BN507" s="184"/>
      <c r="BO507" s="184"/>
      <c r="BP507" s="184"/>
      <c r="BQ507" s="184"/>
      <c r="BR507" s="184"/>
      <c r="BS507" s="184"/>
      <c r="BT507" s="184"/>
      <c r="BU507" s="146" t="e" cm="1">
        <f t="array" ref="BU507">LOOKUP(2,1/(Y507:BT507&lt;&gt;""),Y507:BH507)</f>
        <v>#N/A</v>
      </c>
      <c r="BV507" s="145" t="e" cm="1">
        <f t="array" aca="1" ref="BV507" ca="1">_xlfn.LET(
    _xlpm.last_col_idx, LOOKUP(2, 1/(Y507:BT507&lt;&gt;""), COLUMN(Y507:BT507) - COLUMN(Y507) + 1),
    _xlpm.header_val, INDEX($Y$3:$BT$3, 1, _xlpm.last_col_idx),
    _xlpm.header_date, IF(ISNUMBER(_xlpm.header_val), _xlpm.header_val, DATEVALUE(_xlpm.header_val)),
    IF(_xlpm.header_date &gt; TODAY(), TODAY(), _xlpm.header_date)
)</f>
        <v>#N/A</v>
      </c>
      <c r="BW507" s="209" t="e" cm="1">
        <f t="array" ref="BW507">(LOOKUP(2,1/(BH507:BT507&lt;&gt;""),BH507:BT507))/(INDEX(BH507:BT507,MATCH(TRUE,INDEX((BH507:BT507&lt;&gt;0),0),0)))-1</f>
        <v>#N/A</v>
      </c>
      <c r="BX507" s="210" t="e">
        <f t="shared" si="88"/>
        <v>#N/A</v>
      </c>
      <c r="BY507" s="210" t="str">
        <f t="shared" si="89"/>
        <v>CRRY#</v>
      </c>
      <c r="BZ507" s="210" t="str">
        <f>IF(L507="BR",'Impostos e Frete'!$F$6,IF(L507="EU",'Impostos e Frete'!$I$3,IF(L507="CN",'Impostos e Frete'!$I$4,IF(L507="JP",'Impostos e Frete'!$I$5,IF(L507="RU",'Impostos e Frete'!$I$7,"ERRO")))))</f>
        <v>ERRO</v>
      </c>
      <c r="CA507" s="210" t="e">
        <f>VLOOKUP(L507,'Impostos e Frete'!$A$3:$B$7,2,0)*'Preços e Condições'!BY507</f>
        <v>#N/A</v>
      </c>
      <c r="CB507" s="147" t="str">
        <f t="shared" si="90"/>
        <v>ERRO</v>
      </c>
      <c r="CC507" s="147">
        <f>IF(X507="BRL",'Impostos e Frete'!$B$11,'Impostos e Frete'!$B$12)</f>
        <v>9.1999999999999998E-2</v>
      </c>
      <c r="CD507" s="211" t="e">
        <f t="shared" si="91"/>
        <v>#N/A</v>
      </c>
      <c r="CE507" s="212" t="str">
        <f t="shared" si="92"/>
        <v>erro</v>
      </c>
      <c r="CF507" s="213" t="e">
        <f>VLOOKUP(L507,'Impostos e Frete'!$A$3:$C$7,3,0)</f>
        <v>#N/A</v>
      </c>
      <c r="CG507" s="213">
        <f t="shared" si="93"/>
        <v>0</v>
      </c>
      <c r="CH507" s="213" t="e">
        <f t="shared" si="94"/>
        <v>#N/A</v>
      </c>
      <c r="CI507" s="214" t="e">
        <f t="shared" si="95"/>
        <v>#N/A</v>
      </c>
      <c r="CJ507" s="215" t="e">
        <f t="shared" si="96"/>
        <v>#N/A</v>
      </c>
      <c r="CK507" s="216" t="str">
        <f t="shared" si="97"/>
        <v>erro</v>
      </c>
    </row>
    <row r="508" spans="1:89">
      <c r="A508" s="217"/>
      <c r="B508" s="177"/>
      <c r="C508" s="178"/>
      <c r="D508" s="178"/>
      <c r="E508" s="178"/>
      <c r="F508" s="179"/>
      <c r="G508" s="185"/>
      <c r="H508" s="178"/>
      <c r="I508" s="178"/>
      <c r="J508" s="178"/>
      <c r="K508" s="178"/>
      <c r="L508" s="183"/>
      <c r="M508" s="183"/>
      <c r="N508" s="183"/>
      <c r="O508" s="178"/>
      <c r="P508" s="178"/>
      <c r="Q508" s="178"/>
      <c r="R508" s="178"/>
      <c r="S508" s="181"/>
      <c r="T508" s="181"/>
      <c r="U508" s="182"/>
      <c r="V508" s="182"/>
      <c r="W508" s="183"/>
      <c r="X508" s="182"/>
      <c r="Y508" s="184"/>
      <c r="Z508" s="184"/>
      <c r="AA508" s="184"/>
      <c r="AB508" s="184"/>
      <c r="AC508" s="184"/>
      <c r="AD508" s="184"/>
      <c r="AE508" s="184"/>
      <c r="AF508" s="184"/>
      <c r="AG508" s="184"/>
      <c r="AH508" s="184"/>
      <c r="AI508" s="184"/>
      <c r="AJ508" s="184"/>
      <c r="AK508" s="184"/>
      <c r="AL508" s="184"/>
      <c r="AM508" s="184"/>
      <c r="AN508" s="184"/>
      <c r="AO508" s="184"/>
      <c r="AP508" s="184"/>
      <c r="AQ508" s="184"/>
      <c r="AR508" s="184"/>
      <c r="AS508" s="184"/>
      <c r="AT508" s="184"/>
      <c r="AU508" s="184"/>
      <c r="AV508" s="184"/>
      <c r="AW508" s="184"/>
      <c r="AX508" s="184"/>
      <c r="AY508" s="184"/>
      <c r="AZ508" s="184"/>
      <c r="BA508" s="184"/>
      <c r="BB508" s="184"/>
      <c r="BC508" s="184"/>
      <c r="BD508" s="184"/>
      <c r="BE508" s="184"/>
      <c r="BF508" s="184"/>
      <c r="BG508" s="184"/>
      <c r="BH508" s="184"/>
      <c r="BI508" s="184"/>
      <c r="BJ508" s="184"/>
      <c r="BK508" s="184"/>
      <c r="BL508" s="184"/>
      <c r="BM508" s="184"/>
      <c r="BN508" s="184"/>
      <c r="BO508" s="184"/>
      <c r="BP508" s="184"/>
      <c r="BQ508" s="184"/>
      <c r="BR508" s="184"/>
      <c r="BS508" s="184"/>
      <c r="BT508" s="184"/>
      <c r="BU508" s="146" t="e" cm="1">
        <f t="array" ref="BU508">LOOKUP(2,1/(Y508:BT508&lt;&gt;""),Y508:BH508)</f>
        <v>#N/A</v>
      </c>
      <c r="BV508" s="145" t="e" cm="1">
        <f t="array" aca="1" ref="BV508" ca="1">_xlfn.LET(
    _xlpm.last_col_idx, LOOKUP(2, 1/(Y508:BT508&lt;&gt;""), COLUMN(Y508:BT508) - COLUMN(Y508) + 1),
    _xlpm.header_val, INDEX($Y$3:$BT$3, 1, _xlpm.last_col_idx),
    _xlpm.header_date, IF(ISNUMBER(_xlpm.header_val), _xlpm.header_val, DATEVALUE(_xlpm.header_val)),
    IF(_xlpm.header_date &gt; TODAY(), TODAY(), _xlpm.header_date)
)</f>
        <v>#N/A</v>
      </c>
      <c r="BW508" s="209" t="e" cm="1">
        <f t="array" ref="BW508">(LOOKUP(2,1/(BH508:BT508&lt;&gt;""),BH508:BT508))/(INDEX(BH508:BT508,MATCH(TRUE,INDEX((BH508:BT508&lt;&gt;0),0),0)))-1</f>
        <v>#N/A</v>
      </c>
      <c r="BX508" s="210" t="e">
        <f t="shared" si="88"/>
        <v>#N/A</v>
      </c>
      <c r="BY508" s="210" t="str">
        <f t="shared" si="89"/>
        <v>CRRY#</v>
      </c>
      <c r="BZ508" s="210" t="str">
        <f>IF(L508="BR",'Impostos e Frete'!$F$6,IF(L508="EU",'Impostos e Frete'!$I$3,IF(L508="CN",'Impostos e Frete'!$I$4,IF(L508="JP",'Impostos e Frete'!$I$5,IF(L508="RU",'Impostos e Frete'!$I$7,"ERRO")))))</f>
        <v>ERRO</v>
      </c>
      <c r="CA508" s="210" t="e">
        <f>VLOOKUP(L508,'Impostos e Frete'!$A$3:$B$7,2,0)*'Preços e Condições'!BY508</f>
        <v>#N/A</v>
      </c>
      <c r="CB508" s="147" t="str">
        <f t="shared" si="90"/>
        <v>ERRO</v>
      </c>
      <c r="CC508" s="147">
        <f>IF(X508="BRL",'Impostos e Frete'!$B$11,'Impostos e Frete'!$B$12)</f>
        <v>9.1999999999999998E-2</v>
      </c>
      <c r="CD508" s="211" t="e">
        <f t="shared" si="91"/>
        <v>#N/A</v>
      </c>
      <c r="CE508" s="212" t="str">
        <f t="shared" si="92"/>
        <v>erro</v>
      </c>
      <c r="CF508" s="213" t="e">
        <f>VLOOKUP(L508,'Impostos e Frete'!$A$3:$C$7,3,0)</f>
        <v>#N/A</v>
      </c>
      <c r="CG508" s="213">
        <f t="shared" si="93"/>
        <v>0</v>
      </c>
      <c r="CH508" s="213" t="e">
        <f t="shared" si="94"/>
        <v>#N/A</v>
      </c>
      <c r="CI508" s="214" t="e">
        <f t="shared" si="95"/>
        <v>#N/A</v>
      </c>
      <c r="CJ508" s="215" t="e">
        <f t="shared" si="96"/>
        <v>#N/A</v>
      </c>
      <c r="CK508" s="216" t="str">
        <f t="shared" si="97"/>
        <v>erro</v>
      </c>
    </row>
    <row r="509" spans="1:89">
      <c r="A509" s="217"/>
      <c r="B509" s="177"/>
      <c r="C509" s="178"/>
      <c r="D509" s="178"/>
      <c r="E509" s="178"/>
      <c r="F509" s="179"/>
      <c r="G509" s="185"/>
      <c r="H509" s="178"/>
      <c r="I509" s="178"/>
      <c r="J509" s="178"/>
      <c r="K509" s="178"/>
      <c r="L509" s="183"/>
      <c r="M509" s="183"/>
      <c r="N509" s="183"/>
      <c r="O509" s="178"/>
      <c r="P509" s="178"/>
      <c r="Q509" s="178"/>
      <c r="R509" s="178"/>
      <c r="S509" s="181"/>
      <c r="T509" s="181"/>
      <c r="U509" s="182"/>
      <c r="V509" s="182"/>
      <c r="W509" s="183"/>
      <c r="X509" s="182"/>
      <c r="Y509" s="184"/>
      <c r="Z509" s="184"/>
      <c r="AA509" s="184"/>
      <c r="AB509" s="184"/>
      <c r="AC509" s="184"/>
      <c r="AD509" s="184"/>
      <c r="AE509" s="184"/>
      <c r="AF509" s="184"/>
      <c r="AG509" s="184"/>
      <c r="AH509" s="184"/>
      <c r="AI509" s="184"/>
      <c r="AJ509" s="184"/>
      <c r="AK509" s="184"/>
      <c r="AL509" s="184"/>
      <c r="AM509" s="184"/>
      <c r="AN509" s="184"/>
      <c r="AO509" s="184"/>
      <c r="AP509" s="184"/>
      <c r="AQ509" s="184"/>
      <c r="AR509" s="184"/>
      <c r="AS509" s="184"/>
      <c r="AT509" s="184"/>
      <c r="AU509" s="184"/>
      <c r="AV509" s="184"/>
      <c r="AW509" s="184"/>
      <c r="AX509" s="184"/>
      <c r="AY509" s="184"/>
      <c r="AZ509" s="184"/>
      <c r="BA509" s="184"/>
      <c r="BB509" s="184"/>
      <c r="BC509" s="184"/>
      <c r="BD509" s="184"/>
      <c r="BE509" s="184"/>
      <c r="BF509" s="184"/>
      <c r="BG509" s="184"/>
      <c r="BH509" s="184"/>
      <c r="BI509" s="184"/>
      <c r="BJ509" s="184"/>
      <c r="BK509" s="184"/>
      <c r="BL509" s="184"/>
      <c r="BM509" s="184"/>
      <c r="BN509" s="184"/>
      <c r="BO509" s="184"/>
      <c r="BP509" s="184"/>
      <c r="BQ509" s="184"/>
      <c r="BR509" s="184"/>
      <c r="BS509" s="184"/>
      <c r="BT509" s="184"/>
      <c r="BU509" s="146" t="e" cm="1">
        <f t="array" ref="BU509">LOOKUP(2,1/(Y509:BT509&lt;&gt;""),Y509:BH509)</f>
        <v>#N/A</v>
      </c>
      <c r="BV509" s="145" t="e" cm="1">
        <f t="array" aca="1" ref="BV509" ca="1">_xlfn.LET(
    _xlpm.last_col_idx, LOOKUP(2, 1/(Y509:BT509&lt;&gt;""), COLUMN(Y509:BT509) - COLUMN(Y509) + 1),
    _xlpm.header_val, INDEX($Y$3:$BT$3, 1, _xlpm.last_col_idx),
    _xlpm.header_date, IF(ISNUMBER(_xlpm.header_val), _xlpm.header_val, DATEVALUE(_xlpm.header_val)),
    IF(_xlpm.header_date &gt; TODAY(), TODAY(), _xlpm.header_date)
)</f>
        <v>#N/A</v>
      </c>
      <c r="BW509" s="209" t="e" cm="1">
        <f t="array" ref="BW509">(LOOKUP(2,1/(BH509:BT509&lt;&gt;""),BH509:BT509))/(INDEX(BH509:BT509,MATCH(TRUE,INDEX((BH509:BT509&lt;&gt;0),0),0)))-1</f>
        <v>#N/A</v>
      </c>
      <c r="BX509" s="210" t="e">
        <f t="shared" si="88"/>
        <v>#N/A</v>
      </c>
      <c r="BY509" s="210" t="str">
        <f t="shared" si="89"/>
        <v>CRRY#</v>
      </c>
      <c r="BZ509" s="210" t="str">
        <f>IF(L509="BR",'Impostos e Frete'!$F$6,IF(L509="EU",'Impostos e Frete'!$I$3,IF(L509="CN",'Impostos e Frete'!$I$4,IF(L509="JP",'Impostos e Frete'!$I$5,IF(L509="RU",'Impostos e Frete'!$I$7,"ERRO")))))</f>
        <v>ERRO</v>
      </c>
      <c r="CA509" s="210" t="e">
        <f>VLOOKUP(L509,'Impostos e Frete'!$A$3:$B$7,2,0)*'Preços e Condições'!BY509</f>
        <v>#N/A</v>
      </c>
      <c r="CB509" s="147" t="str">
        <f t="shared" si="90"/>
        <v>ERRO</v>
      </c>
      <c r="CC509" s="147">
        <f>IF(X509="BRL",'Impostos e Frete'!$B$11,'Impostos e Frete'!$B$12)</f>
        <v>9.1999999999999998E-2</v>
      </c>
      <c r="CD509" s="211" t="e">
        <f t="shared" si="91"/>
        <v>#N/A</v>
      </c>
      <c r="CE509" s="212" t="str">
        <f t="shared" si="92"/>
        <v>erro</v>
      </c>
      <c r="CF509" s="213" t="e">
        <f>VLOOKUP(L509,'Impostos e Frete'!$A$3:$C$7,3,0)</f>
        <v>#N/A</v>
      </c>
      <c r="CG509" s="213">
        <f t="shared" si="93"/>
        <v>0</v>
      </c>
      <c r="CH509" s="213" t="e">
        <f t="shared" si="94"/>
        <v>#N/A</v>
      </c>
      <c r="CI509" s="214" t="e">
        <f t="shared" si="95"/>
        <v>#N/A</v>
      </c>
      <c r="CJ509" s="215" t="e">
        <f t="shared" si="96"/>
        <v>#N/A</v>
      </c>
      <c r="CK509" s="216" t="str">
        <f t="shared" si="97"/>
        <v>erro</v>
      </c>
    </row>
    <row r="510" spans="1:89">
      <c r="A510" s="217"/>
      <c r="B510" s="177"/>
      <c r="C510" s="178"/>
      <c r="D510" s="178"/>
      <c r="E510" s="178"/>
      <c r="F510" s="179"/>
      <c r="G510" s="185"/>
      <c r="H510" s="178"/>
      <c r="I510" s="178"/>
      <c r="J510" s="178"/>
      <c r="K510" s="178"/>
      <c r="L510" s="183"/>
      <c r="M510" s="183"/>
      <c r="N510" s="183"/>
      <c r="O510" s="178"/>
      <c r="P510" s="178"/>
      <c r="Q510" s="178"/>
      <c r="R510" s="178"/>
      <c r="S510" s="181"/>
      <c r="T510" s="181"/>
      <c r="U510" s="182"/>
      <c r="V510" s="182"/>
      <c r="W510" s="183"/>
      <c r="X510" s="182"/>
      <c r="Y510" s="184"/>
      <c r="Z510" s="184"/>
      <c r="AA510" s="184"/>
      <c r="AB510" s="184"/>
      <c r="AC510" s="184"/>
      <c r="AD510" s="184"/>
      <c r="AE510" s="184"/>
      <c r="AF510" s="184"/>
      <c r="AG510" s="184"/>
      <c r="AH510" s="184"/>
      <c r="AI510" s="184"/>
      <c r="AJ510" s="184"/>
      <c r="AK510" s="184"/>
      <c r="AL510" s="184"/>
      <c r="AM510" s="184"/>
      <c r="AN510" s="184"/>
      <c r="AO510" s="184"/>
      <c r="AP510" s="184"/>
      <c r="AQ510" s="184"/>
      <c r="AR510" s="184"/>
      <c r="AS510" s="184"/>
      <c r="AT510" s="184"/>
      <c r="AU510" s="184"/>
      <c r="AV510" s="184"/>
      <c r="AW510" s="184"/>
      <c r="AX510" s="184"/>
      <c r="AY510" s="184"/>
      <c r="AZ510" s="184"/>
      <c r="BA510" s="184"/>
      <c r="BB510" s="184"/>
      <c r="BC510" s="184"/>
      <c r="BD510" s="184"/>
      <c r="BE510" s="184"/>
      <c r="BF510" s="184"/>
      <c r="BG510" s="184"/>
      <c r="BH510" s="184"/>
      <c r="BI510" s="184"/>
      <c r="BJ510" s="184"/>
      <c r="BK510" s="184"/>
      <c r="BL510" s="184"/>
      <c r="BM510" s="184"/>
      <c r="BN510" s="184"/>
      <c r="BO510" s="184"/>
      <c r="BP510" s="184"/>
      <c r="BQ510" s="184"/>
      <c r="BR510" s="184"/>
      <c r="BS510" s="184"/>
      <c r="BT510" s="184"/>
      <c r="BU510" s="146" t="e" cm="1">
        <f t="array" ref="BU510">LOOKUP(2,1/(Y510:BT510&lt;&gt;""),Y510:BH510)</f>
        <v>#N/A</v>
      </c>
      <c r="BV510" s="145" t="e" cm="1">
        <f t="array" aca="1" ref="BV510" ca="1">_xlfn.LET(
    _xlpm.last_col_idx, LOOKUP(2, 1/(Y510:BT510&lt;&gt;""), COLUMN(Y510:BT510) - COLUMN(Y510) + 1),
    _xlpm.header_val, INDEX($Y$3:$BT$3, 1, _xlpm.last_col_idx),
    _xlpm.header_date, IF(ISNUMBER(_xlpm.header_val), _xlpm.header_val, DATEVALUE(_xlpm.header_val)),
    IF(_xlpm.header_date &gt; TODAY(), TODAY(), _xlpm.header_date)
)</f>
        <v>#N/A</v>
      </c>
      <c r="BW510" s="209" t="e" cm="1">
        <f t="array" ref="BW510">(LOOKUP(2,1/(BH510:BT510&lt;&gt;""),BH510:BT510))/(INDEX(BH510:BT510,MATCH(TRUE,INDEX((BH510:BT510&lt;&gt;0),0),0)))-1</f>
        <v>#N/A</v>
      </c>
      <c r="BX510" s="210" t="e">
        <f t="shared" si="88"/>
        <v>#N/A</v>
      </c>
      <c r="BY510" s="210" t="str">
        <f t="shared" si="89"/>
        <v>CRRY#</v>
      </c>
      <c r="BZ510" s="210" t="str">
        <f>IF(L510="BR",'Impostos e Frete'!$F$6,IF(L510="EU",'Impostos e Frete'!$I$3,IF(L510="CN",'Impostos e Frete'!$I$4,IF(L510="JP",'Impostos e Frete'!$I$5,IF(L510="RU",'Impostos e Frete'!$I$7,"ERRO")))))</f>
        <v>ERRO</v>
      </c>
      <c r="CA510" s="210" t="e">
        <f>VLOOKUP(L510,'Impostos e Frete'!$A$3:$B$7,2,0)*'Preços e Condições'!BY510</f>
        <v>#N/A</v>
      </c>
      <c r="CB510" s="147" t="str">
        <f t="shared" si="90"/>
        <v>ERRO</v>
      </c>
      <c r="CC510" s="147">
        <f>IF(X510="BRL",'Impostos e Frete'!$B$11,'Impostos e Frete'!$B$12)</f>
        <v>9.1999999999999998E-2</v>
      </c>
      <c r="CD510" s="211" t="e">
        <f t="shared" si="91"/>
        <v>#N/A</v>
      </c>
      <c r="CE510" s="212" t="str">
        <f t="shared" si="92"/>
        <v>erro</v>
      </c>
      <c r="CF510" s="213" t="e">
        <f>VLOOKUP(L510,'Impostos e Frete'!$A$3:$C$7,3,0)</f>
        <v>#N/A</v>
      </c>
      <c r="CG510" s="213">
        <f t="shared" si="93"/>
        <v>0</v>
      </c>
      <c r="CH510" s="213" t="e">
        <f t="shared" si="94"/>
        <v>#N/A</v>
      </c>
      <c r="CI510" s="214" t="e">
        <f t="shared" si="95"/>
        <v>#N/A</v>
      </c>
      <c r="CJ510" s="215" t="e">
        <f t="shared" si="96"/>
        <v>#N/A</v>
      </c>
      <c r="CK510" s="216" t="str">
        <f t="shared" si="97"/>
        <v>erro</v>
      </c>
    </row>
    <row r="511" spans="1:89">
      <c r="A511" s="217"/>
      <c r="B511" s="177"/>
      <c r="C511" s="178"/>
      <c r="D511" s="178"/>
      <c r="E511" s="178"/>
      <c r="F511" s="179"/>
      <c r="G511" s="185"/>
      <c r="H511" s="178"/>
      <c r="I511" s="178"/>
      <c r="J511" s="178"/>
      <c r="K511" s="178"/>
      <c r="L511" s="183"/>
      <c r="M511" s="183"/>
      <c r="N511" s="183"/>
      <c r="O511" s="178"/>
      <c r="P511" s="178"/>
      <c r="Q511" s="178"/>
      <c r="R511" s="178"/>
      <c r="S511" s="181"/>
      <c r="T511" s="181"/>
      <c r="U511" s="182"/>
      <c r="V511" s="182"/>
      <c r="W511" s="183"/>
      <c r="X511" s="182"/>
      <c r="Y511" s="184"/>
      <c r="Z511" s="184"/>
      <c r="AA511" s="184"/>
      <c r="AB511" s="184"/>
      <c r="AC511" s="184"/>
      <c r="AD511" s="184"/>
      <c r="AE511" s="184"/>
      <c r="AF511" s="184"/>
      <c r="AG511" s="184"/>
      <c r="AH511" s="184"/>
      <c r="AI511" s="184"/>
      <c r="AJ511" s="184"/>
      <c r="AK511" s="184"/>
      <c r="AL511" s="184"/>
      <c r="AM511" s="184"/>
      <c r="AN511" s="184"/>
      <c r="AO511" s="184"/>
      <c r="AP511" s="184"/>
      <c r="AQ511" s="184"/>
      <c r="AR511" s="184"/>
      <c r="AS511" s="184"/>
      <c r="AT511" s="184"/>
      <c r="AU511" s="184"/>
      <c r="AV511" s="184"/>
      <c r="AW511" s="184"/>
      <c r="AX511" s="184"/>
      <c r="AY511" s="184"/>
      <c r="AZ511" s="184"/>
      <c r="BA511" s="184"/>
      <c r="BB511" s="184"/>
      <c r="BC511" s="184"/>
      <c r="BD511" s="184"/>
      <c r="BE511" s="184"/>
      <c r="BF511" s="184"/>
      <c r="BG511" s="184"/>
      <c r="BH511" s="184"/>
      <c r="BI511" s="184"/>
      <c r="BJ511" s="184"/>
      <c r="BK511" s="184"/>
      <c r="BL511" s="184"/>
      <c r="BM511" s="184"/>
      <c r="BN511" s="184"/>
      <c r="BO511" s="184"/>
      <c r="BP511" s="184"/>
      <c r="BQ511" s="184"/>
      <c r="BR511" s="184"/>
      <c r="BS511" s="184"/>
      <c r="BT511" s="184"/>
      <c r="BU511" s="146" t="e" cm="1">
        <f t="array" ref="BU511">LOOKUP(2,1/(Y511:BT511&lt;&gt;""),Y511:BH511)</f>
        <v>#N/A</v>
      </c>
      <c r="BV511" s="145" t="e" cm="1">
        <f t="array" aca="1" ref="BV511" ca="1">_xlfn.LET(
    _xlpm.last_col_idx, LOOKUP(2, 1/(Y511:BT511&lt;&gt;""), COLUMN(Y511:BT511) - COLUMN(Y511) + 1),
    _xlpm.header_val, INDEX($Y$3:$BT$3, 1, _xlpm.last_col_idx),
    _xlpm.header_date, IF(ISNUMBER(_xlpm.header_val), _xlpm.header_val, DATEVALUE(_xlpm.header_val)),
    IF(_xlpm.header_date &gt; TODAY(), TODAY(), _xlpm.header_date)
)</f>
        <v>#N/A</v>
      </c>
      <c r="BW511" s="209" t="e" cm="1">
        <f t="array" ref="BW511">(LOOKUP(2,1/(BH511:BT511&lt;&gt;""),BH511:BT511))/(INDEX(BH511:BT511,MATCH(TRUE,INDEX((BH511:BT511&lt;&gt;0),0),0)))-1</f>
        <v>#N/A</v>
      </c>
      <c r="BX511" s="210" t="e">
        <f t="shared" si="88"/>
        <v>#N/A</v>
      </c>
      <c r="BY511" s="210" t="str">
        <f t="shared" si="89"/>
        <v>CRRY#</v>
      </c>
      <c r="BZ511" s="210" t="str">
        <f>IF(L511="BR",'Impostos e Frete'!$F$6,IF(L511="EU",'Impostos e Frete'!$I$3,IF(L511="CN",'Impostos e Frete'!$I$4,IF(L511="JP",'Impostos e Frete'!$I$5,IF(L511="RU",'Impostos e Frete'!$I$7,"ERRO")))))</f>
        <v>ERRO</v>
      </c>
      <c r="CA511" s="210" t="e">
        <f>VLOOKUP(L511,'Impostos e Frete'!$A$3:$B$7,2,0)*'Preços e Condições'!BY511</f>
        <v>#N/A</v>
      </c>
      <c r="CB511" s="147" t="str">
        <f t="shared" si="90"/>
        <v>ERRO</v>
      </c>
      <c r="CC511" s="147">
        <f>IF(X511="BRL",'Impostos e Frete'!$B$11,'Impostos e Frete'!$B$12)</f>
        <v>9.1999999999999998E-2</v>
      </c>
      <c r="CD511" s="211" t="e">
        <f t="shared" si="91"/>
        <v>#N/A</v>
      </c>
      <c r="CE511" s="212" t="str">
        <f t="shared" si="92"/>
        <v>erro</v>
      </c>
      <c r="CF511" s="213" t="e">
        <f>VLOOKUP(L511,'Impostos e Frete'!$A$3:$C$7,3,0)</f>
        <v>#N/A</v>
      </c>
      <c r="CG511" s="213">
        <f t="shared" si="93"/>
        <v>0</v>
      </c>
      <c r="CH511" s="213" t="e">
        <f t="shared" si="94"/>
        <v>#N/A</v>
      </c>
      <c r="CI511" s="214" t="e">
        <f t="shared" si="95"/>
        <v>#N/A</v>
      </c>
      <c r="CJ511" s="215" t="e">
        <f t="shared" si="96"/>
        <v>#N/A</v>
      </c>
      <c r="CK511" s="216" t="str">
        <f t="shared" si="97"/>
        <v>erro</v>
      </c>
    </row>
    <row r="512" spans="1:89">
      <c r="A512" s="176"/>
      <c r="B512" s="177"/>
      <c r="C512" s="178"/>
      <c r="D512" s="178"/>
      <c r="E512" s="178"/>
      <c r="F512" s="179"/>
      <c r="G512" s="185" t="s">
        <v>472</v>
      </c>
      <c r="H512" s="178"/>
      <c r="I512" s="178"/>
      <c r="J512" s="178"/>
      <c r="K512" s="178"/>
      <c r="L512" s="178"/>
      <c r="M512" s="178"/>
      <c r="N512" s="178"/>
      <c r="O512" s="178"/>
      <c r="P512" s="178"/>
      <c r="Q512" s="178"/>
      <c r="R512" s="178"/>
      <c r="S512" s="181"/>
      <c r="T512" s="181"/>
      <c r="U512" s="182"/>
      <c r="V512" s="182"/>
      <c r="W512" s="183"/>
      <c r="X512" s="182"/>
      <c r="Y512" s="184"/>
      <c r="Z512" s="184"/>
      <c r="AA512" s="184"/>
      <c r="AB512" s="184"/>
      <c r="AC512" s="184"/>
      <c r="AD512" s="184"/>
      <c r="AE512" s="184"/>
      <c r="AF512" s="184"/>
      <c r="AG512" s="184"/>
      <c r="AH512" s="184"/>
      <c r="AI512" s="184"/>
      <c r="AJ512" s="184"/>
      <c r="AK512" s="184"/>
      <c r="AL512" s="184"/>
      <c r="AM512" s="184"/>
      <c r="AN512" s="184"/>
      <c r="AO512" s="184"/>
      <c r="AP512" s="184"/>
      <c r="AQ512" s="184"/>
      <c r="AR512" s="184"/>
      <c r="AS512" s="184"/>
      <c r="AT512" s="184"/>
      <c r="AU512" s="184"/>
      <c r="AV512" s="184"/>
      <c r="AW512" s="184"/>
      <c r="AX512" s="184"/>
      <c r="AY512" s="184"/>
      <c r="AZ512" s="184"/>
      <c r="BA512" s="184"/>
      <c r="BB512" s="184"/>
      <c r="BC512" s="184"/>
      <c r="BD512" s="184"/>
      <c r="BE512" s="184"/>
      <c r="BF512" s="184"/>
      <c r="BG512" s="184"/>
      <c r="BH512" s="184"/>
      <c r="BI512" s="184"/>
      <c r="BJ512" s="184"/>
      <c r="BK512" s="184"/>
      <c r="BL512" s="184"/>
      <c r="BM512" s="184"/>
      <c r="BN512" s="184"/>
      <c r="BO512" s="184"/>
      <c r="BP512" s="184"/>
      <c r="BQ512" s="184"/>
      <c r="BR512" s="184"/>
      <c r="BS512" s="184"/>
      <c r="BT512" s="184"/>
      <c r="BU512" s="146" t="e" cm="1">
        <f t="array" ref="BU512">LOOKUP(2,1/(Y512:BT512&lt;&gt;""),Y512:BH512)</f>
        <v>#N/A</v>
      </c>
      <c r="BV512" s="145" t="e" cm="1">
        <f t="array" aca="1" ref="BV512" ca="1">_xlfn.LET(
    _xlpm.last_col_idx, LOOKUP(2, 1/(Y512:BT512&lt;&gt;""), COLUMN(Y512:BT512) - COLUMN(Y512) + 1),
    _xlpm.header_val, INDEX($Y$3:$BT$3, 1, _xlpm.last_col_idx),
    _xlpm.header_date, IF(ISNUMBER(_xlpm.header_val), _xlpm.header_val, DATEVALUE(_xlpm.header_val)),
    IF(_xlpm.header_date &gt; TODAY(), TODAY(), _xlpm.header_date)
)</f>
        <v>#N/A</v>
      </c>
      <c r="BW512" s="209" t="e" cm="1">
        <f t="array" ref="BW512">(LOOKUP(2,1/(BH512:BT512&lt;&gt;""),BH512:BT512))/(INDEX(BH512:BT512,MATCH(TRUE,INDEX((BH512:BT512&lt;&gt;0),0),0)))-1</f>
        <v>#N/A</v>
      </c>
      <c r="BX512" s="210" t="e">
        <f t="shared" si="88"/>
        <v>#N/A</v>
      </c>
      <c r="BY512" s="210" t="str">
        <f t="shared" si="89"/>
        <v>CRRY#</v>
      </c>
      <c r="BZ512" s="210" t="str">
        <f>IF(L512="BR",'Impostos e Frete'!$F$6,IF(L512="EU",'Impostos e Frete'!$I$3,IF(L512="CN",'Impostos e Frete'!$I$4,IF(L512="JP",'Impostos e Frete'!$I$5,IF(L512="RU",'Impostos e Frete'!$I$7,"ERRO")))))</f>
        <v>ERRO</v>
      </c>
      <c r="CA512" s="210" t="e">
        <f>VLOOKUP(L512,'Impostos e Frete'!$A$3:$B$7,2,0)*'Preços e Condições'!BY512</f>
        <v>#N/A</v>
      </c>
      <c r="CB512" s="147" t="str">
        <f t="shared" si="90"/>
        <v>ERRO</v>
      </c>
      <c r="CC512" s="147">
        <f>IF(X512="BRL",'Impostos e Frete'!$B$11,'Impostos e Frete'!$B$12)</f>
        <v>9.1999999999999998E-2</v>
      </c>
      <c r="CD512" s="211" t="e">
        <f t="shared" si="91"/>
        <v>#N/A</v>
      </c>
      <c r="CE512" s="212" t="str">
        <f t="shared" si="92"/>
        <v>erro</v>
      </c>
      <c r="CF512" s="213" t="e">
        <f>VLOOKUP(L512,'Impostos e Frete'!$A$3:$C$7,3,0)</f>
        <v>#N/A</v>
      </c>
      <c r="CG512" s="213">
        <f t="shared" si="93"/>
        <v>0</v>
      </c>
      <c r="CH512" s="213" t="e">
        <f t="shared" si="94"/>
        <v>#N/A</v>
      </c>
      <c r="CI512" s="214" t="e">
        <f t="shared" si="95"/>
        <v>#N/A</v>
      </c>
      <c r="CJ512" s="215" t="e">
        <f t="shared" si="96"/>
        <v>#N/A</v>
      </c>
      <c r="CK512" s="216" t="str">
        <f t="shared" si="97"/>
        <v>erro</v>
      </c>
    </row>
    <row r="513" spans="54:60">
      <c r="BB513" s="204"/>
      <c r="BH513" s="204"/>
    </row>
    <row r="514" spans="54:60">
      <c r="BB514" s="204"/>
    </row>
    <row r="515" spans="54:60">
      <c r="BB515" s="204"/>
    </row>
    <row r="516" spans="54:60">
      <c r="BB516" s="204"/>
    </row>
    <row r="517" spans="54:60">
      <c r="BB517" s="204"/>
    </row>
    <row r="518" spans="54:60">
      <c r="BB518" s="204"/>
    </row>
  </sheetData>
  <sheetProtection formatCells="0" formatColumns="0" formatRows="0" insertRows="0" deleteRows="0" sort="0" autoFilter="0" pivotTables="0"/>
  <mergeCells count="1">
    <mergeCell ref="S2:U2"/>
  </mergeCells>
  <phoneticPr fontId="8" type="noConversion"/>
  <conditionalFormatting sqref="BW4:BW512">
    <cfRule type="cellIs" dxfId="1" priority="299" operator="greaterThan">
      <formula>0</formula>
    </cfRule>
    <cfRule type="cellIs" dxfId="0" priority="300" operator="lessThan">
      <formula>0</formula>
    </cfRule>
  </conditionalFormatting>
  <pageMargins left="0.7" right="0.7" top="0.75" bottom="0.75" header="0.3" footer="0.3"/>
  <pageSetup paperSize="9"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I12"/>
  <sheetViews>
    <sheetView showGridLines="0" workbookViewId="0">
      <selection activeCell="D22" sqref="D22"/>
    </sheetView>
  </sheetViews>
  <sheetFormatPr defaultRowHeight="14.4"/>
  <cols>
    <col min="1" max="1" width="20.44140625" bestFit="1" customWidth="1"/>
    <col min="2" max="2" width="12" bestFit="1" customWidth="1"/>
    <col min="3" max="3" width="28.88671875" bestFit="1" customWidth="1"/>
    <col min="4" max="4" width="15" bestFit="1" customWidth="1"/>
    <col min="5" max="5" width="20.44140625" bestFit="1" customWidth="1"/>
    <col min="6" max="8" width="11.109375" bestFit="1" customWidth="1"/>
    <col min="9" max="9" width="15.88671875" bestFit="1" customWidth="1"/>
    <col min="10" max="10" width="12.109375" bestFit="1" customWidth="1"/>
  </cols>
  <sheetData>
    <row r="2" spans="1:9" s="4" customFormat="1">
      <c r="A2" s="4" t="s">
        <v>54</v>
      </c>
      <c r="B2" s="4" t="s">
        <v>55</v>
      </c>
      <c r="C2" s="4" t="s">
        <v>220</v>
      </c>
      <c r="E2" s="4" t="s">
        <v>243</v>
      </c>
      <c r="G2" s="4" t="s">
        <v>204</v>
      </c>
    </row>
    <row r="3" spans="1:9">
      <c r="A3" t="s">
        <v>59</v>
      </c>
      <c r="B3" s="3">
        <f>Premissas!C12</f>
        <v>0.13</v>
      </c>
      <c r="C3">
        <f>45+60</f>
        <v>105</v>
      </c>
      <c r="E3" t="s">
        <v>59</v>
      </c>
      <c r="F3" s="51">
        <f>Premissas!C5</f>
        <v>600</v>
      </c>
      <c r="G3">
        <v>25000</v>
      </c>
      <c r="H3" s="45">
        <f>F3/G3</f>
        <v>2.4E-2</v>
      </c>
      <c r="I3" s="34">
        <f ca="1">H3*Premissas!$E$25</f>
        <v>0.1410816</v>
      </c>
    </row>
    <row r="4" spans="1:9">
      <c r="A4" t="s">
        <v>60</v>
      </c>
      <c r="B4" s="3">
        <f>Premissas!C13</f>
        <v>0.14000000000000001</v>
      </c>
      <c r="C4">
        <f>60+60</f>
        <v>120</v>
      </c>
      <c r="E4" t="s">
        <v>60</v>
      </c>
      <c r="F4" s="52">
        <f>Premissas!C6</f>
        <v>5500</v>
      </c>
      <c r="G4">
        <v>25000</v>
      </c>
      <c r="H4" s="46">
        <f>F4/G4</f>
        <v>0.22</v>
      </c>
      <c r="I4" s="47">
        <f ca="1">H4*Premissas!$E$24</f>
        <v>1.1330439999999999</v>
      </c>
    </row>
    <row r="5" spans="1:9">
      <c r="A5" t="s">
        <v>208</v>
      </c>
      <c r="B5" s="3">
        <f>Premissas!C14</f>
        <v>0.15</v>
      </c>
      <c r="C5" s="35">
        <f>60+60</f>
        <v>120</v>
      </c>
      <c r="E5" t="s">
        <v>208</v>
      </c>
      <c r="F5" s="52">
        <f>Premissas!C7</f>
        <v>6600</v>
      </c>
      <c r="G5">
        <v>18000</v>
      </c>
      <c r="H5" s="46">
        <f>F5/G5</f>
        <v>0.36666666666666664</v>
      </c>
      <c r="I5" s="47">
        <f ca="1">H5*Premissas!$E$24</f>
        <v>1.8884066666666666</v>
      </c>
    </row>
    <row r="6" spans="1:9">
      <c r="A6" t="s">
        <v>58</v>
      </c>
      <c r="B6" s="3">
        <f>Premissas!C15</f>
        <v>0</v>
      </c>
      <c r="C6">
        <f>45</f>
        <v>45</v>
      </c>
      <c r="E6" t="s">
        <v>58</v>
      </c>
      <c r="F6" s="53">
        <f>Premissas!C8</f>
        <v>0</v>
      </c>
    </row>
    <row r="7" spans="1:9">
      <c r="A7" t="s">
        <v>455</v>
      </c>
      <c r="B7" s="218">
        <v>0.13</v>
      </c>
      <c r="C7" s="34">
        <v>105</v>
      </c>
      <c r="F7" s="53"/>
    </row>
    <row r="11" spans="1:9">
      <c r="A11" t="s">
        <v>247</v>
      </c>
      <c r="B11" s="38">
        <f>E11/25000</f>
        <v>0.2</v>
      </c>
      <c r="E11" s="50">
        <f>Premissas!D20</f>
        <v>5000</v>
      </c>
      <c r="F11" s="40"/>
    </row>
    <row r="12" spans="1:9">
      <c r="A12" t="s">
        <v>227</v>
      </c>
      <c r="B12" s="41">
        <f>E12/25000</f>
        <v>9.1999999999999998E-2</v>
      </c>
      <c r="E12" s="50">
        <f>Premissas!D19</f>
        <v>2300</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E455"/>
  <sheetViews>
    <sheetView showGridLines="0" topLeftCell="A134" zoomScaleNormal="100" workbookViewId="0">
      <selection activeCell="A462" sqref="A462"/>
    </sheetView>
  </sheetViews>
  <sheetFormatPr defaultRowHeight="14.4"/>
  <cols>
    <col min="1" max="1" width="52.109375" bestFit="1" customWidth="1"/>
    <col min="2" max="2" width="10" style="22" bestFit="1" customWidth="1"/>
    <col min="3" max="3" width="11.5546875" style="28" bestFit="1" customWidth="1"/>
    <col min="4" max="4" width="10" bestFit="1" customWidth="1"/>
    <col min="5" max="5" width="4.88671875" customWidth="1"/>
    <col min="6" max="6" width="8.44140625" customWidth="1"/>
    <col min="7" max="7" width="13.109375" bestFit="1" customWidth="1"/>
    <col min="8" max="8" width="15.44140625" bestFit="1" customWidth="1"/>
    <col min="9" max="11" width="9.5546875" customWidth="1"/>
    <col min="12" max="12" width="6.88671875" customWidth="1"/>
    <col min="13" max="13" width="34.44140625" customWidth="1"/>
    <col min="14" max="15" width="11.5546875" customWidth="1"/>
    <col min="16" max="16" width="10.109375" bestFit="1" customWidth="1"/>
    <col min="17" max="17" width="34.88671875" customWidth="1"/>
    <col min="18" max="19" width="11.5546875" customWidth="1"/>
    <col min="20" max="20" width="8.44140625" customWidth="1"/>
    <col min="21" max="21" width="15.5546875" bestFit="1" customWidth="1"/>
    <col min="22" max="23" width="11.5546875" customWidth="1"/>
    <col min="24" max="26" width="15.5546875" bestFit="1" customWidth="1"/>
    <col min="27" max="27" width="17.44140625" bestFit="1" customWidth="1"/>
    <col min="28" max="28" width="15" bestFit="1" customWidth="1"/>
    <col min="29" max="37" width="15.5546875" bestFit="1" customWidth="1"/>
    <col min="38" max="38" width="11" bestFit="1" customWidth="1"/>
  </cols>
  <sheetData>
    <row r="1" spans="1:31" ht="15" hidden="1" thickBot="1"/>
    <row r="2" spans="1:31" hidden="1">
      <c r="A2" s="243" t="s">
        <v>159</v>
      </c>
      <c r="B2" s="244"/>
      <c r="C2" s="244"/>
      <c r="D2" s="244"/>
      <c r="E2" s="244"/>
      <c r="F2" s="244"/>
      <c r="G2" s="244"/>
      <c r="H2" s="244"/>
      <c r="I2" s="244"/>
      <c r="J2" s="244"/>
      <c r="K2" s="244"/>
      <c r="L2" s="244"/>
      <c r="M2" s="244"/>
      <c r="N2" s="244"/>
      <c r="O2" s="244"/>
      <c r="P2" s="244"/>
      <c r="Q2" s="244"/>
      <c r="R2" s="244"/>
      <c r="S2" s="244"/>
      <c r="T2" s="244"/>
      <c r="U2" s="244"/>
      <c r="V2" s="244"/>
      <c r="W2" s="244"/>
      <c r="X2" s="244"/>
      <c r="Y2" s="244"/>
      <c r="Z2" s="244"/>
      <c r="AA2" s="244"/>
      <c r="AB2" s="244"/>
      <c r="AC2" s="244"/>
      <c r="AD2" s="244"/>
      <c r="AE2" s="245"/>
    </row>
    <row r="3" spans="1:31" hidden="1">
      <c r="A3" s="246"/>
      <c r="B3" s="247"/>
      <c r="C3" s="247"/>
      <c r="D3" s="247"/>
      <c r="E3" s="247"/>
      <c r="F3" s="247"/>
      <c r="G3" s="247"/>
      <c r="H3" s="247"/>
      <c r="I3" s="247"/>
      <c r="J3" s="247"/>
      <c r="K3" s="247"/>
      <c r="L3" s="247"/>
      <c r="M3" s="247"/>
      <c r="N3" s="247"/>
      <c r="O3" s="247"/>
      <c r="P3" s="247"/>
      <c r="Q3" s="247"/>
      <c r="R3" s="247"/>
      <c r="S3" s="247"/>
      <c r="T3" s="247"/>
      <c r="U3" s="247"/>
      <c r="V3" s="247"/>
      <c r="W3" s="247"/>
      <c r="X3" s="247"/>
      <c r="Y3" s="247"/>
      <c r="Z3" s="247"/>
      <c r="AA3" s="247"/>
      <c r="AB3" s="247"/>
      <c r="AC3" s="247"/>
      <c r="AD3" s="247"/>
      <c r="AE3" s="248"/>
    </row>
    <row r="4" spans="1:31" hidden="1">
      <c r="A4" s="241" t="s">
        <v>160</v>
      </c>
      <c r="B4" s="233" t="s">
        <v>161</v>
      </c>
      <c r="C4" s="232"/>
      <c r="D4" s="231" t="s">
        <v>162</v>
      </c>
      <c r="E4" s="233"/>
      <c r="F4" s="233"/>
      <c r="G4" s="232"/>
      <c r="H4" s="231" t="s">
        <v>163</v>
      </c>
      <c r="I4" s="232"/>
      <c r="J4" s="39"/>
      <c r="K4" s="39"/>
      <c r="L4" s="231" t="s">
        <v>164</v>
      </c>
      <c r="M4" s="232"/>
      <c r="N4" s="231" t="s">
        <v>165</v>
      </c>
      <c r="O4" s="232"/>
      <c r="P4" s="231" t="s">
        <v>166</v>
      </c>
      <c r="Q4" s="232"/>
      <c r="R4" s="231" t="s">
        <v>167</v>
      </c>
      <c r="S4" s="232"/>
      <c r="T4" s="231" t="s">
        <v>168</v>
      </c>
      <c r="U4" s="232"/>
      <c r="V4" s="231" t="s">
        <v>169</v>
      </c>
      <c r="W4" s="232"/>
      <c r="X4" s="231" t="s">
        <v>170</v>
      </c>
      <c r="Y4" s="232"/>
      <c r="Z4" s="231" t="s">
        <v>171</v>
      </c>
      <c r="AA4" s="232"/>
      <c r="AB4" s="231" t="s">
        <v>172</v>
      </c>
      <c r="AC4" s="232"/>
      <c r="AD4" s="231" t="s">
        <v>173</v>
      </c>
      <c r="AE4" s="234"/>
    </row>
    <row r="5" spans="1:31" hidden="1">
      <c r="A5" s="242"/>
      <c r="B5" s="21" t="s">
        <v>174</v>
      </c>
      <c r="C5" s="108" t="s">
        <v>51</v>
      </c>
      <c r="D5" s="13" t="s">
        <v>174</v>
      </c>
      <c r="E5" s="11"/>
      <c r="F5" s="11"/>
      <c r="G5" s="12" t="s">
        <v>51</v>
      </c>
      <c r="H5" s="13" t="s">
        <v>174</v>
      </c>
      <c r="I5" s="11" t="s">
        <v>51</v>
      </c>
      <c r="J5" s="11"/>
      <c r="K5" s="11"/>
      <c r="L5" s="13" t="s">
        <v>174</v>
      </c>
      <c r="M5" s="12" t="s">
        <v>51</v>
      </c>
      <c r="N5" s="13" t="s">
        <v>174</v>
      </c>
      <c r="O5" s="12" t="s">
        <v>51</v>
      </c>
      <c r="P5" s="13" t="s">
        <v>174</v>
      </c>
      <c r="Q5" s="12" t="s">
        <v>51</v>
      </c>
      <c r="R5" s="13" t="s">
        <v>174</v>
      </c>
      <c r="S5" s="12" t="s">
        <v>51</v>
      </c>
      <c r="T5" s="13" t="s">
        <v>174</v>
      </c>
      <c r="U5" s="12" t="s">
        <v>51</v>
      </c>
      <c r="V5" s="13" t="s">
        <v>174</v>
      </c>
      <c r="W5" s="12" t="s">
        <v>51</v>
      </c>
      <c r="X5" s="13" t="s">
        <v>174</v>
      </c>
      <c r="Y5" s="12" t="s">
        <v>51</v>
      </c>
      <c r="Z5" s="13" t="s">
        <v>174</v>
      </c>
      <c r="AA5" s="12" t="s">
        <v>51</v>
      </c>
      <c r="AB5" s="13" t="s">
        <v>174</v>
      </c>
      <c r="AC5" s="12" t="s">
        <v>51</v>
      </c>
      <c r="AD5" s="11" t="s">
        <v>174</v>
      </c>
      <c r="AE5" s="14" t="s">
        <v>51</v>
      </c>
    </row>
    <row r="6" spans="1:31" hidden="1">
      <c r="A6" t="s">
        <v>175</v>
      </c>
      <c r="B6" s="23">
        <v>105869</v>
      </c>
      <c r="C6" s="28">
        <v>288105.8383291185</v>
      </c>
      <c r="D6" s="7">
        <v>106874</v>
      </c>
      <c r="E6" s="7"/>
      <c r="F6" s="7"/>
      <c r="G6" s="7">
        <v>271436.67336731235</v>
      </c>
      <c r="H6" s="7">
        <v>43751</v>
      </c>
      <c r="I6" s="7">
        <v>118458.7977948573</v>
      </c>
      <c r="J6" s="7"/>
      <c r="K6" s="7"/>
      <c r="L6" s="7">
        <v>0</v>
      </c>
      <c r="M6" s="7">
        <v>0</v>
      </c>
      <c r="N6" s="7">
        <v>0</v>
      </c>
      <c r="O6" s="7">
        <v>0</v>
      </c>
      <c r="P6" s="7">
        <v>0</v>
      </c>
      <c r="Q6" s="7">
        <v>0</v>
      </c>
      <c r="R6" s="7">
        <v>0</v>
      </c>
      <c r="S6" s="7">
        <v>0</v>
      </c>
      <c r="T6" s="7">
        <v>0</v>
      </c>
      <c r="U6" s="7">
        <v>0</v>
      </c>
      <c r="V6" s="7">
        <v>0</v>
      </c>
      <c r="W6" s="7">
        <v>0</v>
      </c>
      <c r="X6" s="7">
        <v>0</v>
      </c>
      <c r="Y6" s="7">
        <v>0</v>
      </c>
      <c r="Z6" s="7">
        <v>0</v>
      </c>
      <c r="AA6" s="7">
        <v>0</v>
      </c>
      <c r="AB6" s="7">
        <v>0</v>
      </c>
      <c r="AC6" s="7">
        <v>0</v>
      </c>
      <c r="AD6" s="7">
        <v>256494</v>
      </c>
      <c r="AE6" s="7">
        <v>678001.30949128815</v>
      </c>
    </row>
    <row r="7" spans="1:31" hidden="1">
      <c r="A7" t="s">
        <v>176</v>
      </c>
      <c r="B7" s="23">
        <v>0</v>
      </c>
      <c r="C7" s="28">
        <v>0</v>
      </c>
      <c r="D7" s="7">
        <v>0</v>
      </c>
      <c r="E7" s="7"/>
      <c r="F7" s="7"/>
      <c r="G7" s="7">
        <v>0</v>
      </c>
      <c r="H7" s="7">
        <v>27920</v>
      </c>
      <c r="I7" s="7">
        <v>88984.843911350399</v>
      </c>
      <c r="J7" s="7"/>
      <c r="K7" s="7"/>
      <c r="L7" s="7">
        <v>0</v>
      </c>
      <c r="M7" s="7">
        <v>0</v>
      </c>
      <c r="N7" s="7">
        <v>0</v>
      </c>
      <c r="O7" s="7">
        <v>0</v>
      </c>
      <c r="P7" s="7">
        <v>0</v>
      </c>
      <c r="Q7" s="7">
        <v>0</v>
      </c>
      <c r="R7" s="7">
        <v>0</v>
      </c>
      <c r="S7" s="7">
        <v>0</v>
      </c>
      <c r="T7" s="7">
        <v>0</v>
      </c>
      <c r="U7" s="7">
        <v>0</v>
      </c>
      <c r="V7" s="7">
        <v>0</v>
      </c>
      <c r="W7" s="7">
        <v>0</v>
      </c>
      <c r="X7" s="7">
        <v>0</v>
      </c>
      <c r="Y7" s="7">
        <v>0</v>
      </c>
      <c r="Z7" s="7">
        <v>0</v>
      </c>
      <c r="AA7" s="7">
        <v>0</v>
      </c>
      <c r="AB7" s="7">
        <v>0</v>
      </c>
      <c r="AC7" s="7">
        <v>0</v>
      </c>
      <c r="AD7" s="7">
        <v>27920</v>
      </c>
      <c r="AE7" s="7">
        <v>88984.843911350399</v>
      </c>
    </row>
    <row r="8" spans="1:31" hidden="1">
      <c r="A8" t="s">
        <v>177</v>
      </c>
      <c r="B8" s="23">
        <v>224517</v>
      </c>
      <c r="C8" s="28">
        <v>471051.23808325973</v>
      </c>
      <c r="D8" s="7">
        <v>0</v>
      </c>
      <c r="E8" s="7"/>
      <c r="F8" s="7"/>
      <c r="G8" s="7">
        <v>0</v>
      </c>
      <c r="H8" s="7">
        <v>50237</v>
      </c>
      <c r="I8" s="7">
        <v>107550.1840600993</v>
      </c>
      <c r="J8" s="7"/>
      <c r="K8" s="7"/>
      <c r="L8" s="7">
        <v>0</v>
      </c>
      <c r="M8" s="7">
        <v>0</v>
      </c>
      <c r="N8" s="7">
        <v>0</v>
      </c>
      <c r="O8" s="7">
        <v>0</v>
      </c>
      <c r="P8" s="7">
        <v>0</v>
      </c>
      <c r="Q8" s="7">
        <v>0</v>
      </c>
      <c r="R8" s="7">
        <v>0</v>
      </c>
      <c r="S8" s="7">
        <v>0</v>
      </c>
      <c r="T8" s="7">
        <v>0</v>
      </c>
      <c r="U8" s="7">
        <v>0</v>
      </c>
      <c r="V8" s="7">
        <v>0</v>
      </c>
      <c r="W8" s="7">
        <v>0</v>
      </c>
      <c r="X8" s="7">
        <v>0</v>
      </c>
      <c r="Y8" s="7">
        <v>0</v>
      </c>
      <c r="Z8" s="7">
        <v>0</v>
      </c>
      <c r="AA8" s="7">
        <v>0</v>
      </c>
      <c r="AB8" s="7">
        <v>0</v>
      </c>
      <c r="AC8" s="7">
        <v>0</v>
      </c>
      <c r="AD8" s="7">
        <v>274754</v>
      </c>
      <c r="AE8" s="7">
        <v>578601.42214335897</v>
      </c>
    </row>
    <row r="9" spans="1:31" hidden="1">
      <c r="A9" t="s">
        <v>178</v>
      </c>
      <c r="B9" s="23">
        <v>75767</v>
      </c>
      <c r="C9" s="28">
        <v>166842.25795375911</v>
      </c>
      <c r="D9" s="7">
        <v>75996</v>
      </c>
      <c r="E9" s="7"/>
      <c r="F9" s="7"/>
      <c r="G9" s="7">
        <v>156841.48416918103</v>
      </c>
      <c r="H9" s="7">
        <v>0</v>
      </c>
      <c r="I9" s="7">
        <v>0</v>
      </c>
      <c r="J9" s="7"/>
      <c r="K9" s="7"/>
      <c r="L9" s="7">
        <v>0</v>
      </c>
      <c r="M9" s="7">
        <v>0</v>
      </c>
      <c r="N9" s="7">
        <v>0</v>
      </c>
      <c r="O9" s="7">
        <v>0</v>
      </c>
      <c r="P9" s="7">
        <v>0</v>
      </c>
      <c r="Q9" s="7">
        <v>0</v>
      </c>
      <c r="R9" s="7">
        <v>0</v>
      </c>
      <c r="S9" s="7">
        <v>0</v>
      </c>
      <c r="T9" s="7">
        <v>0</v>
      </c>
      <c r="U9" s="7">
        <v>0</v>
      </c>
      <c r="V9" s="7">
        <v>0</v>
      </c>
      <c r="W9" s="7">
        <v>0</v>
      </c>
      <c r="X9" s="7">
        <v>0</v>
      </c>
      <c r="Y9" s="7">
        <v>0</v>
      </c>
      <c r="Z9" s="7">
        <v>0</v>
      </c>
      <c r="AA9" s="7">
        <v>0</v>
      </c>
      <c r="AB9" s="7">
        <v>0</v>
      </c>
      <c r="AC9" s="7">
        <v>0</v>
      </c>
      <c r="AD9" s="7">
        <v>151763</v>
      </c>
      <c r="AE9" s="7">
        <v>323683.74212294014</v>
      </c>
    </row>
    <row r="10" spans="1:31" hidden="1">
      <c r="A10" t="s">
        <v>179</v>
      </c>
      <c r="B10" s="23">
        <v>353284</v>
      </c>
      <c r="C10" s="28">
        <v>974116.03293037205</v>
      </c>
      <c r="D10" s="7">
        <v>156730</v>
      </c>
      <c r="E10" s="7"/>
      <c r="F10" s="7"/>
      <c r="G10" s="7">
        <v>423038.98921314941</v>
      </c>
      <c r="H10" s="7">
        <v>151200</v>
      </c>
      <c r="I10" s="7">
        <v>404963.03775544034</v>
      </c>
      <c r="J10" s="7"/>
      <c r="K10" s="7"/>
      <c r="L10" s="7">
        <v>0</v>
      </c>
      <c r="M10" s="7">
        <v>0</v>
      </c>
      <c r="N10" s="7">
        <v>0</v>
      </c>
      <c r="O10" s="7">
        <v>0</v>
      </c>
      <c r="P10" s="7">
        <v>0</v>
      </c>
      <c r="Q10" s="7">
        <v>0</v>
      </c>
      <c r="R10" s="7">
        <v>0</v>
      </c>
      <c r="S10" s="7">
        <v>0</v>
      </c>
      <c r="T10" s="7">
        <v>0</v>
      </c>
      <c r="U10" s="7">
        <v>0</v>
      </c>
      <c r="V10" s="7">
        <v>0</v>
      </c>
      <c r="W10" s="7">
        <v>0</v>
      </c>
      <c r="X10" s="7">
        <v>0</v>
      </c>
      <c r="Y10" s="7">
        <v>0</v>
      </c>
      <c r="Z10" s="7">
        <v>0</v>
      </c>
      <c r="AA10" s="7">
        <v>0</v>
      </c>
      <c r="AB10" s="7">
        <v>0</v>
      </c>
      <c r="AC10" s="7">
        <v>0</v>
      </c>
      <c r="AD10" s="7">
        <v>661214</v>
      </c>
      <c r="AE10" s="7">
        <v>1802118.0598989618</v>
      </c>
    </row>
    <row r="11" spans="1:31" hidden="1">
      <c r="A11" t="s">
        <v>180</v>
      </c>
      <c r="B11" s="23">
        <v>24301</v>
      </c>
      <c r="C11" s="28">
        <v>61514.563908705197</v>
      </c>
      <c r="D11" s="7">
        <v>46617</v>
      </c>
      <c r="E11" s="7"/>
      <c r="F11" s="7"/>
      <c r="G11" s="7">
        <v>113360.74062314574</v>
      </c>
      <c r="H11" s="7">
        <v>24327</v>
      </c>
      <c r="I11" s="7">
        <v>78196.318645550491</v>
      </c>
      <c r="J11" s="7"/>
      <c r="K11" s="7"/>
      <c r="L11" s="7">
        <v>0</v>
      </c>
      <c r="M11" s="7">
        <v>0</v>
      </c>
      <c r="N11" s="7">
        <v>0</v>
      </c>
      <c r="O11" s="7">
        <v>0</v>
      </c>
      <c r="P11" s="7">
        <v>0</v>
      </c>
      <c r="Q11" s="7">
        <v>0</v>
      </c>
      <c r="R11" s="7">
        <v>0</v>
      </c>
      <c r="S11" s="7">
        <v>0</v>
      </c>
      <c r="T11" s="7">
        <v>0</v>
      </c>
      <c r="U11" s="7">
        <v>0</v>
      </c>
      <c r="V11" s="7">
        <v>0</v>
      </c>
      <c r="W11" s="7">
        <v>0</v>
      </c>
      <c r="X11" s="7">
        <v>0</v>
      </c>
      <c r="Y11" s="7">
        <v>0</v>
      </c>
      <c r="Z11" s="7">
        <v>0</v>
      </c>
      <c r="AA11" s="7">
        <v>0</v>
      </c>
      <c r="AB11" s="7">
        <v>0</v>
      </c>
      <c r="AC11" s="7">
        <v>0</v>
      </c>
      <c r="AD11" s="7">
        <v>95245</v>
      </c>
      <c r="AE11" s="7">
        <v>253071.62317740143</v>
      </c>
    </row>
    <row r="12" spans="1:31" hidden="1">
      <c r="A12" t="s">
        <v>181</v>
      </c>
      <c r="B12" s="23">
        <v>44036</v>
      </c>
      <c r="C12" s="28">
        <v>132548.62984239159</v>
      </c>
      <c r="D12" s="7">
        <v>42846</v>
      </c>
      <c r="E12" s="7"/>
      <c r="F12" s="7"/>
      <c r="G12" s="7">
        <v>125944.47071752227</v>
      </c>
      <c r="H12" s="7">
        <v>206576</v>
      </c>
      <c r="I12" s="7">
        <v>574124.62119633518</v>
      </c>
      <c r="J12" s="7"/>
      <c r="K12" s="7"/>
      <c r="L12" s="7">
        <v>0</v>
      </c>
      <c r="M12" s="7">
        <v>0</v>
      </c>
      <c r="N12" s="7">
        <v>0</v>
      </c>
      <c r="O12" s="7">
        <v>0</v>
      </c>
      <c r="P12" s="7">
        <v>0</v>
      </c>
      <c r="Q12" s="7">
        <v>0</v>
      </c>
      <c r="R12" s="7">
        <v>0</v>
      </c>
      <c r="S12" s="7">
        <v>0</v>
      </c>
      <c r="T12" s="7">
        <v>0</v>
      </c>
      <c r="U12" s="7">
        <v>0</v>
      </c>
      <c r="V12" s="7">
        <v>0</v>
      </c>
      <c r="W12" s="7">
        <v>0</v>
      </c>
      <c r="X12" s="7">
        <v>0</v>
      </c>
      <c r="Y12" s="7">
        <v>0</v>
      </c>
      <c r="Z12" s="7">
        <v>0</v>
      </c>
      <c r="AA12" s="7">
        <v>0</v>
      </c>
      <c r="AB12" s="7">
        <v>0</v>
      </c>
      <c r="AC12" s="7">
        <v>0</v>
      </c>
      <c r="AD12" s="7">
        <v>293458</v>
      </c>
      <c r="AE12" s="7">
        <v>832617.72175624897</v>
      </c>
    </row>
    <row r="13" spans="1:31" hidden="1">
      <c r="A13" t="s">
        <v>182</v>
      </c>
      <c r="B13" s="23">
        <v>228877</v>
      </c>
      <c r="C13" s="28">
        <v>498229.63787530502</v>
      </c>
      <c r="D13" s="7">
        <v>226609</v>
      </c>
      <c r="E13" s="7"/>
      <c r="F13" s="7"/>
      <c r="G13" s="7">
        <v>483502.499260835</v>
      </c>
      <c r="H13" s="7">
        <v>430736</v>
      </c>
      <c r="I13" s="7">
        <v>930389.70615750679</v>
      </c>
      <c r="J13" s="7"/>
      <c r="K13" s="7"/>
      <c r="L13" s="7">
        <v>0</v>
      </c>
      <c r="M13" s="7">
        <v>0</v>
      </c>
      <c r="N13" s="7">
        <v>0</v>
      </c>
      <c r="O13" s="7">
        <v>0</v>
      </c>
      <c r="P13" s="7">
        <v>0</v>
      </c>
      <c r="Q13" s="7">
        <v>0</v>
      </c>
      <c r="R13" s="7">
        <v>0</v>
      </c>
      <c r="S13" s="7">
        <v>0</v>
      </c>
      <c r="T13" s="7">
        <v>0</v>
      </c>
      <c r="U13" s="7">
        <v>0</v>
      </c>
      <c r="V13" s="7">
        <v>0</v>
      </c>
      <c r="W13" s="7">
        <v>0</v>
      </c>
      <c r="X13" s="7">
        <v>0</v>
      </c>
      <c r="Y13" s="7">
        <v>0</v>
      </c>
      <c r="Z13" s="7">
        <v>0</v>
      </c>
      <c r="AA13" s="7">
        <v>0</v>
      </c>
      <c r="AB13" s="7">
        <v>0</v>
      </c>
      <c r="AC13" s="7">
        <v>0</v>
      </c>
      <c r="AD13" s="7">
        <v>886222</v>
      </c>
      <c r="AE13" s="7">
        <v>1912121.8432936468</v>
      </c>
    </row>
    <row r="14" spans="1:31" hidden="1">
      <c r="A14" t="s">
        <v>183</v>
      </c>
      <c r="B14" s="23">
        <v>0</v>
      </c>
      <c r="C14" s="28">
        <v>0</v>
      </c>
      <c r="D14" s="7">
        <v>24067</v>
      </c>
      <c r="E14" s="7"/>
      <c r="F14" s="7"/>
      <c r="G14" s="7">
        <v>75578.450178388302</v>
      </c>
      <c r="H14" s="7">
        <v>0</v>
      </c>
      <c r="I14" s="7">
        <v>0</v>
      </c>
      <c r="J14" s="7"/>
      <c r="K14" s="7"/>
      <c r="L14" s="7">
        <v>0</v>
      </c>
      <c r="M14" s="7">
        <v>0</v>
      </c>
      <c r="N14" s="7">
        <v>0</v>
      </c>
      <c r="O14" s="7">
        <v>0</v>
      </c>
      <c r="P14" s="7">
        <v>0</v>
      </c>
      <c r="Q14" s="7">
        <v>0</v>
      </c>
      <c r="R14" s="7">
        <v>0</v>
      </c>
      <c r="S14" s="7">
        <v>0</v>
      </c>
      <c r="T14" s="7">
        <v>0</v>
      </c>
      <c r="U14" s="7">
        <v>0</v>
      </c>
      <c r="V14" s="7">
        <v>0</v>
      </c>
      <c r="W14" s="7">
        <v>0</v>
      </c>
      <c r="X14" s="7">
        <v>0</v>
      </c>
      <c r="Y14" s="7">
        <v>0</v>
      </c>
      <c r="Z14" s="7">
        <v>0</v>
      </c>
      <c r="AA14" s="7">
        <v>0</v>
      </c>
      <c r="AB14" s="7">
        <v>0</v>
      </c>
      <c r="AC14" s="7">
        <v>0</v>
      </c>
      <c r="AD14" s="7">
        <v>24067</v>
      </c>
      <c r="AE14" s="7">
        <v>75578.450178388302</v>
      </c>
    </row>
    <row r="15" spans="1:31" hidden="1">
      <c r="A15" t="s">
        <v>187</v>
      </c>
      <c r="B15" s="24">
        <v>105869</v>
      </c>
      <c r="C15" s="109"/>
      <c r="D15" s="15">
        <v>106874</v>
      </c>
      <c r="E15" s="32"/>
      <c r="F15" s="32"/>
      <c r="G15" s="16"/>
      <c r="H15" s="15">
        <v>24327</v>
      </c>
      <c r="I15" s="16"/>
      <c r="J15" s="32"/>
      <c r="K15" s="32"/>
      <c r="L15" s="15">
        <v>0</v>
      </c>
      <c r="M15" s="16"/>
      <c r="N15" s="15">
        <v>0</v>
      </c>
      <c r="O15" s="16"/>
      <c r="P15" s="15">
        <v>0</v>
      </c>
      <c r="Q15" s="16"/>
      <c r="R15" s="15">
        <v>0</v>
      </c>
      <c r="S15" s="16"/>
      <c r="T15" s="15">
        <v>0</v>
      </c>
      <c r="U15" s="16"/>
      <c r="V15" s="15">
        <v>0</v>
      </c>
      <c r="W15" s="16"/>
      <c r="X15" s="15">
        <v>0</v>
      </c>
      <c r="Y15" s="16"/>
      <c r="Z15" s="15">
        <v>0</v>
      </c>
      <c r="AA15" s="16"/>
      <c r="AB15" s="15">
        <v>0</v>
      </c>
      <c r="AC15" s="17"/>
      <c r="AD15" s="18">
        <v>95245</v>
      </c>
      <c r="AE15" s="19">
        <v>253071.62317740143</v>
      </c>
    </row>
    <row r="16" spans="1:31" hidden="1"/>
    <row r="17" spans="1:31" hidden="1">
      <c r="A17" s="243" t="s">
        <v>184</v>
      </c>
      <c r="B17" s="244"/>
      <c r="C17" s="244"/>
      <c r="D17" s="244"/>
      <c r="E17" s="244"/>
      <c r="F17" s="244"/>
      <c r="G17" s="244"/>
      <c r="H17" s="244"/>
      <c r="I17" s="244"/>
      <c r="J17" s="244"/>
      <c r="K17" s="244"/>
      <c r="L17" s="244"/>
      <c r="M17" s="244"/>
      <c r="N17" s="244"/>
      <c r="O17" s="244"/>
      <c r="P17" s="244"/>
      <c r="Q17" s="244"/>
      <c r="R17" s="244"/>
      <c r="S17" s="244"/>
      <c r="T17" s="244"/>
      <c r="U17" s="244"/>
      <c r="V17" s="244"/>
      <c r="W17" s="244"/>
      <c r="X17" s="244"/>
      <c r="Y17" s="244"/>
      <c r="Z17" s="244"/>
      <c r="AA17" s="244"/>
      <c r="AB17" s="244"/>
      <c r="AC17" s="244"/>
      <c r="AD17" s="244"/>
      <c r="AE17" s="245"/>
    </row>
    <row r="18" spans="1:31" hidden="1">
      <c r="A18" s="246"/>
      <c r="B18" s="247"/>
      <c r="C18" s="247"/>
      <c r="D18" s="247"/>
      <c r="E18" s="247"/>
      <c r="F18" s="247"/>
      <c r="G18" s="247"/>
      <c r="H18" s="247"/>
      <c r="I18" s="247"/>
      <c r="J18" s="247"/>
      <c r="K18" s="247"/>
      <c r="L18" s="247"/>
      <c r="M18" s="247"/>
      <c r="N18" s="247"/>
      <c r="O18" s="247"/>
      <c r="P18" s="247"/>
      <c r="Q18" s="247"/>
      <c r="R18" s="247"/>
      <c r="S18" s="247"/>
      <c r="T18" s="247"/>
      <c r="U18" s="247"/>
      <c r="V18" s="247"/>
      <c r="W18" s="247"/>
      <c r="X18" s="247"/>
      <c r="Y18" s="247"/>
      <c r="Z18" s="247"/>
      <c r="AA18" s="247"/>
      <c r="AB18" s="247"/>
      <c r="AC18" s="247"/>
      <c r="AD18" s="247"/>
      <c r="AE18" s="248"/>
    </row>
    <row r="19" spans="1:31" hidden="1">
      <c r="A19" s="241" t="s">
        <v>160</v>
      </c>
      <c r="B19" s="233" t="s">
        <v>161</v>
      </c>
      <c r="C19" s="232"/>
      <c r="D19" s="231" t="s">
        <v>162</v>
      </c>
      <c r="E19" s="233"/>
      <c r="F19" s="233"/>
      <c r="G19" s="232"/>
      <c r="H19" s="231" t="s">
        <v>163</v>
      </c>
      <c r="I19" s="233"/>
      <c r="J19" s="39"/>
      <c r="K19" s="39"/>
      <c r="L19" s="231" t="s">
        <v>164</v>
      </c>
      <c r="M19" s="232"/>
      <c r="N19" s="231" t="s">
        <v>165</v>
      </c>
      <c r="O19" s="232"/>
      <c r="P19" s="231" t="s">
        <v>166</v>
      </c>
      <c r="Q19" s="232"/>
      <c r="R19" s="231" t="s">
        <v>167</v>
      </c>
      <c r="S19" s="232"/>
      <c r="T19" s="231" t="s">
        <v>168</v>
      </c>
      <c r="U19" s="232"/>
      <c r="V19" s="231" t="s">
        <v>169</v>
      </c>
      <c r="W19" s="232"/>
      <c r="X19" s="231" t="s">
        <v>170</v>
      </c>
      <c r="Y19" s="232"/>
      <c r="Z19" s="231" t="s">
        <v>171</v>
      </c>
      <c r="AA19" s="232"/>
      <c r="AB19" s="231" t="s">
        <v>172</v>
      </c>
      <c r="AC19" s="232"/>
      <c r="AD19" s="233" t="s">
        <v>173</v>
      </c>
      <c r="AE19" s="234"/>
    </row>
    <row r="20" spans="1:31" hidden="1">
      <c r="A20" s="242"/>
      <c r="B20" s="21" t="s">
        <v>174</v>
      </c>
      <c r="C20" s="108" t="s">
        <v>51</v>
      </c>
      <c r="D20" s="13" t="s">
        <v>174</v>
      </c>
      <c r="E20" s="11"/>
      <c r="F20" s="11"/>
      <c r="G20" s="12" t="s">
        <v>51</v>
      </c>
      <c r="H20" s="13" t="s">
        <v>174</v>
      </c>
      <c r="I20" s="11" t="s">
        <v>51</v>
      </c>
      <c r="J20" s="11"/>
      <c r="K20" s="11"/>
      <c r="L20" s="13" t="s">
        <v>174</v>
      </c>
      <c r="M20" s="12" t="s">
        <v>51</v>
      </c>
      <c r="N20" s="13" t="s">
        <v>174</v>
      </c>
      <c r="O20" s="12" t="s">
        <v>51</v>
      </c>
      <c r="P20" s="13" t="s">
        <v>174</v>
      </c>
      <c r="Q20" s="12" t="s">
        <v>51</v>
      </c>
      <c r="R20" s="13" t="s">
        <v>174</v>
      </c>
      <c r="S20" s="12" t="s">
        <v>51</v>
      </c>
      <c r="T20" s="13" t="s">
        <v>174</v>
      </c>
      <c r="U20" s="12" t="s">
        <v>51</v>
      </c>
      <c r="V20" s="13" t="s">
        <v>174</v>
      </c>
      <c r="W20" s="12" t="s">
        <v>51</v>
      </c>
      <c r="X20" s="13" t="s">
        <v>174</v>
      </c>
      <c r="Y20" s="12" t="s">
        <v>51</v>
      </c>
      <c r="Z20" s="13" t="s">
        <v>174</v>
      </c>
      <c r="AA20" s="12" t="s">
        <v>51</v>
      </c>
      <c r="AB20" s="13" t="s">
        <v>174</v>
      </c>
      <c r="AC20" s="12" t="s">
        <v>51</v>
      </c>
      <c r="AD20" s="11" t="s">
        <v>174</v>
      </c>
      <c r="AE20" s="14" t="s">
        <v>51</v>
      </c>
    </row>
    <row r="21" spans="1:31" hidden="1">
      <c r="A21" t="s">
        <v>175</v>
      </c>
      <c r="B21" s="23">
        <v>17095</v>
      </c>
      <c r="C21" s="28">
        <v>59425.959760630816</v>
      </c>
      <c r="D21" s="7">
        <v>20240</v>
      </c>
      <c r="E21" s="7"/>
      <c r="F21" s="7"/>
      <c r="G21" s="7">
        <v>47626.710658341093</v>
      </c>
      <c r="H21" s="7">
        <v>113255</v>
      </c>
      <c r="I21" s="7">
        <v>294105.28983237734</v>
      </c>
      <c r="J21" s="7"/>
      <c r="K21" s="7"/>
      <c r="L21" s="7">
        <v>49344</v>
      </c>
      <c r="M21" s="7">
        <v>161392.06734253859</v>
      </c>
      <c r="N21" s="7">
        <v>98444</v>
      </c>
      <c r="O21" s="7">
        <v>302632.43144528178</v>
      </c>
      <c r="P21" s="7">
        <v>171997</v>
      </c>
      <c r="Q21" s="7">
        <v>475956.0415443253</v>
      </c>
      <c r="R21" s="7">
        <v>104107</v>
      </c>
      <c r="S21" s="7">
        <v>315930.70322514081</v>
      </c>
      <c r="T21" s="7">
        <v>27675</v>
      </c>
      <c r="U21" s="7">
        <v>74471.205022043723</v>
      </c>
      <c r="V21" s="7">
        <v>115951</v>
      </c>
      <c r="W21" s="7">
        <v>321616.97996382706</v>
      </c>
      <c r="X21" s="7">
        <v>76835</v>
      </c>
      <c r="Y21" s="7">
        <v>214581.97555906704</v>
      </c>
      <c r="Z21" s="7">
        <v>24912</v>
      </c>
      <c r="AA21" s="7">
        <v>60062.988337621799</v>
      </c>
      <c r="AB21" s="7">
        <v>70152</v>
      </c>
      <c r="AC21" s="7">
        <v>221032.37228658207</v>
      </c>
      <c r="AD21" s="7">
        <v>890007</v>
      </c>
      <c r="AE21" s="7">
        <v>2548834.7249777778</v>
      </c>
    </row>
    <row r="22" spans="1:31" hidden="1">
      <c r="A22" t="s">
        <v>176</v>
      </c>
      <c r="B22" s="23">
        <v>0</v>
      </c>
      <c r="C22" s="28">
        <v>0</v>
      </c>
      <c r="D22" s="7">
        <v>11073</v>
      </c>
      <c r="E22" s="7"/>
      <c r="F22" s="7"/>
      <c r="G22" s="7">
        <v>52513.089803675495</v>
      </c>
      <c r="H22" s="7">
        <v>11128</v>
      </c>
      <c r="I22" s="7">
        <v>51573.4111890114</v>
      </c>
      <c r="J22" s="7"/>
      <c r="K22" s="7"/>
      <c r="L22" s="7">
        <v>0</v>
      </c>
      <c r="M22" s="7">
        <v>0</v>
      </c>
      <c r="N22" s="7">
        <v>25139</v>
      </c>
      <c r="O22" s="7">
        <v>103034.7049441367</v>
      </c>
      <c r="P22" s="7">
        <v>0</v>
      </c>
      <c r="Q22" s="7">
        <v>0</v>
      </c>
      <c r="R22" s="7">
        <v>0</v>
      </c>
      <c r="S22" s="7">
        <v>0</v>
      </c>
      <c r="T22" s="7">
        <v>0</v>
      </c>
      <c r="U22" s="7">
        <v>0</v>
      </c>
      <c r="V22" s="7">
        <v>0</v>
      </c>
      <c r="W22" s="7">
        <v>0</v>
      </c>
      <c r="X22" s="7">
        <v>0</v>
      </c>
      <c r="Y22" s="7">
        <v>0</v>
      </c>
      <c r="Z22" s="7">
        <v>49058</v>
      </c>
      <c r="AA22" s="7">
        <v>134553.71724439057</v>
      </c>
      <c r="AB22" s="7">
        <v>0</v>
      </c>
      <c r="AC22" s="7">
        <v>0</v>
      </c>
      <c r="AD22" s="7">
        <v>96398</v>
      </c>
      <c r="AE22" s="7">
        <v>341674.92318121414</v>
      </c>
    </row>
    <row r="23" spans="1:31" hidden="1">
      <c r="A23" t="s">
        <v>177</v>
      </c>
      <c r="B23" s="23">
        <v>0</v>
      </c>
      <c r="C23" s="28">
        <v>0</v>
      </c>
      <c r="D23" s="7">
        <v>0</v>
      </c>
      <c r="E23" s="7"/>
      <c r="F23" s="7"/>
      <c r="G23" s="7">
        <v>0</v>
      </c>
      <c r="H23" s="7">
        <v>240</v>
      </c>
      <c r="I23" s="7">
        <v>5241.8766368683</v>
      </c>
      <c r="J23" s="7"/>
      <c r="K23" s="7"/>
      <c r="L23" s="7">
        <v>256</v>
      </c>
      <c r="M23" s="7">
        <v>5723.9408032043993</v>
      </c>
      <c r="N23" s="7">
        <v>0</v>
      </c>
      <c r="O23" s="7">
        <v>0</v>
      </c>
      <c r="P23" s="7">
        <v>26408</v>
      </c>
      <c r="Q23" s="7">
        <v>66648.356196108987</v>
      </c>
      <c r="R23" s="7">
        <v>0</v>
      </c>
      <c r="S23" s="7">
        <v>0</v>
      </c>
      <c r="T23" s="7">
        <v>0</v>
      </c>
      <c r="U23" s="7">
        <v>0</v>
      </c>
      <c r="V23" s="7">
        <v>0</v>
      </c>
      <c r="W23" s="7">
        <v>0</v>
      </c>
      <c r="X23" s="7">
        <v>202939</v>
      </c>
      <c r="Y23" s="7">
        <v>425136.28751487291</v>
      </c>
      <c r="Z23" s="7">
        <v>147064</v>
      </c>
      <c r="AA23" s="7">
        <v>307520.49628275103</v>
      </c>
      <c r="AB23" s="7">
        <v>142375</v>
      </c>
      <c r="AC23" s="7">
        <v>297631.92256118997</v>
      </c>
      <c r="AD23" s="7">
        <v>519282</v>
      </c>
      <c r="AE23" s="7">
        <v>1107902.8799949954</v>
      </c>
    </row>
    <row r="24" spans="1:31" hidden="1">
      <c r="A24" t="s">
        <v>185</v>
      </c>
      <c r="B24" s="23">
        <v>24762</v>
      </c>
      <c r="C24" s="28">
        <v>87322.056052643689</v>
      </c>
      <c r="D24" s="7">
        <v>0</v>
      </c>
      <c r="E24" s="7"/>
      <c r="F24" s="7"/>
      <c r="G24" s="7">
        <v>0</v>
      </c>
      <c r="H24" s="7">
        <v>49085</v>
      </c>
      <c r="I24" s="7">
        <v>143595.34639525649</v>
      </c>
      <c r="J24" s="7"/>
      <c r="K24" s="7"/>
      <c r="L24" s="7">
        <v>120172</v>
      </c>
      <c r="M24" s="7">
        <v>377612.05827663059</v>
      </c>
      <c r="N24" s="7">
        <v>148019</v>
      </c>
      <c r="O24" s="7">
        <v>459914.34624514513</v>
      </c>
      <c r="P24" s="7">
        <v>285600</v>
      </c>
      <c r="Q24" s="7">
        <v>935751.24080670462</v>
      </c>
      <c r="R24" s="7">
        <v>49304</v>
      </c>
      <c r="S24" s="7">
        <v>166301.26296174651</v>
      </c>
      <c r="T24" s="7">
        <v>0</v>
      </c>
      <c r="U24" s="7">
        <v>0</v>
      </c>
      <c r="V24" s="7">
        <v>48591</v>
      </c>
      <c r="W24" s="7">
        <v>162136.94272275368</v>
      </c>
      <c r="X24" s="7">
        <v>0</v>
      </c>
      <c r="Y24" s="7">
        <v>0</v>
      </c>
      <c r="Z24" s="7">
        <v>0</v>
      </c>
      <c r="AA24" s="7">
        <v>0</v>
      </c>
      <c r="AB24" s="7">
        <v>0</v>
      </c>
      <c r="AC24" s="7">
        <v>0</v>
      </c>
      <c r="AD24" s="7">
        <v>725533</v>
      </c>
      <c r="AE24" s="7">
        <v>2332633.2534608808</v>
      </c>
    </row>
    <row r="25" spans="1:31" hidden="1">
      <c r="A25" t="s">
        <v>186</v>
      </c>
      <c r="B25" s="23">
        <v>0</v>
      </c>
      <c r="C25" s="28">
        <v>0</v>
      </c>
      <c r="D25" s="7">
        <v>0</v>
      </c>
      <c r="E25" s="7"/>
      <c r="F25" s="7"/>
      <c r="G25" s="7">
        <v>0</v>
      </c>
      <c r="H25" s="7">
        <v>20154</v>
      </c>
      <c r="I25" s="7">
        <v>50482.740819929706</v>
      </c>
      <c r="J25" s="7"/>
      <c r="K25" s="7"/>
      <c r="L25" s="7">
        <v>0</v>
      </c>
      <c r="M25" s="7">
        <v>0</v>
      </c>
      <c r="N25" s="7">
        <v>0</v>
      </c>
      <c r="O25" s="7">
        <v>0</v>
      </c>
      <c r="P25" s="7">
        <v>0</v>
      </c>
      <c r="Q25" s="7">
        <v>0</v>
      </c>
      <c r="R25" s="7">
        <v>0</v>
      </c>
      <c r="S25" s="7">
        <v>0</v>
      </c>
      <c r="T25" s="7">
        <v>0</v>
      </c>
      <c r="U25" s="7">
        <v>0</v>
      </c>
      <c r="V25" s="7">
        <v>0</v>
      </c>
      <c r="W25" s="7">
        <v>0</v>
      </c>
      <c r="X25" s="7">
        <v>0</v>
      </c>
      <c r="Y25" s="7">
        <v>0</v>
      </c>
      <c r="Z25" s="7">
        <v>0</v>
      </c>
      <c r="AA25" s="7">
        <v>0</v>
      </c>
      <c r="AB25" s="7">
        <v>0</v>
      </c>
      <c r="AC25" s="7">
        <v>0</v>
      </c>
      <c r="AD25" s="7">
        <v>20154</v>
      </c>
      <c r="AE25" s="7">
        <v>50482.740819929706</v>
      </c>
    </row>
    <row r="26" spans="1:31" hidden="1">
      <c r="A26" t="s">
        <v>178</v>
      </c>
      <c r="B26" s="23">
        <v>147551</v>
      </c>
      <c r="C26" s="28">
        <v>428849.76631283155</v>
      </c>
      <c r="D26" s="7">
        <v>0</v>
      </c>
      <c r="E26" s="7"/>
      <c r="F26" s="7"/>
      <c r="G26" s="7">
        <v>0</v>
      </c>
      <c r="H26" s="7">
        <v>49830</v>
      </c>
      <c r="I26" s="7">
        <v>146672.58038038461</v>
      </c>
      <c r="J26" s="7"/>
      <c r="K26" s="7"/>
      <c r="L26" s="7">
        <v>98604</v>
      </c>
      <c r="M26" s="7">
        <v>278184.41929174849</v>
      </c>
      <c r="N26" s="7">
        <v>98282</v>
      </c>
      <c r="O26" s="7">
        <v>266516.13159464439</v>
      </c>
      <c r="P26" s="7">
        <v>24136</v>
      </c>
      <c r="Q26" s="7">
        <v>63957.071733313693</v>
      </c>
      <c r="R26" s="7">
        <v>96860</v>
      </c>
      <c r="S26" s="7">
        <v>268012.91385314451</v>
      </c>
      <c r="T26" s="7">
        <v>98488</v>
      </c>
      <c r="U26" s="7">
        <v>250872.5463502733</v>
      </c>
      <c r="V26" s="7">
        <v>24955</v>
      </c>
      <c r="W26" s="7">
        <v>70765.317587294703</v>
      </c>
      <c r="X26" s="7">
        <v>99843</v>
      </c>
      <c r="Y26" s="7">
        <v>230725.60256923252</v>
      </c>
      <c r="Z26" s="7">
        <v>299877</v>
      </c>
      <c r="AA26" s="7">
        <v>682837.39155551745</v>
      </c>
      <c r="AB26" s="7">
        <v>226533</v>
      </c>
      <c r="AC26" s="7">
        <v>505974.32091835362</v>
      </c>
      <c r="AD26" s="7">
        <v>1264959</v>
      </c>
      <c r="AE26" s="7">
        <v>3193368.0621467386</v>
      </c>
    </row>
    <row r="27" spans="1:31" hidden="1">
      <c r="A27" t="s">
        <v>179</v>
      </c>
      <c r="B27" s="23">
        <v>0</v>
      </c>
      <c r="C27" s="28">
        <v>0</v>
      </c>
      <c r="D27" s="7">
        <v>22354</v>
      </c>
      <c r="E27" s="7"/>
      <c r="F27" s="7"/>
      <c r="G27" s="7">
        <v>73374.249888573584</v>
      </c>
      <c r="H27" s="7">
        <v>21592</v>
      </c>
      <c r="I27" s="7">
        <v>70568.419556949579</v>
      </c>
      <c r="J27" s="7"/>
      <c r="K27" s="7"/>
      <c r="L27" s="7">
        <v>0</v>
      </c>
      <c r="M27" s="7">
        <v>0</v>
      </c>
      <c r="N27" s="7">
        <v>67803</v>
      </c>
      <c r="O27" s="7">
        <v>250319.01200221881</v>
      </c>
      <c r="P27" s="7">
        <v>44339</v>
      </c>
      <c r="Q27" s="7">
        <v>162473.2871538341</v>
      </c>
      <c r="R27" s="7">
        <v>67023</v>
      </c>
      <c r="S27" s="7">
        <v>249093.861030806</v>
      </c>
      <c r="T27" s="7">
        <v>107195</v>
      </c>
      <c r="U27" s="7">
        <v>393765.88516089466</v>
      </c>
      <c r="V27" s="7">
        <v>91335</v>
      </c>
      <c r="W27" s="7">
        <v>320307.53994380671</v>
      </c>
      <c r="X27" s="7">
        <v>178034</v>
      </c>
      <c r="Y27" s="7">
        <v>543861.5968825653</v>
      </c>
      <c r="Z27" s="7">
        <v>42978</v>
      </c>
      <c r="AA27" s="7">
        <v>131145.89961432482</v>
      </c>
      <c r="AB27" s="7">
        <v>532458</v>
      </c>
      <c r="AC27" s="7">
        <v>1540284.2847940526</v>
      </c>
      <c r="AD27" s="7">
        <v>1175111</v>
      </c>
      <c r="AE27" s="7">
        <v>3735194.0360280261</v>
      </c>
    </row>
    <row r="28" spans="1:31" hidden="1">
      <c r="A28" t="s">
        <v>180</v>
      </c>
      <c r="B28" s="23">
        <v>69830</v>
      </c>
      <c r="C28" s="28">
        <v>248474.41014031315</v>
      </c>
      <c r="D28" s="7">
        <v>62066</v>
      </c>
      <c r="E28" s="7"/>
      <c r="F28" s="7"/>
      <c r="G28" s="7">
        <v>203399.58146700129</v>
      </c>
      <c r="H28" s="7">
        <v>95428</v>
      </c>
      <c r="I28" s="7">
        <v>417303.14815099561</v>
      </c>
      <c r="J28" s="7"/>
      <c r="K28" s="7"/>
      <c r="L28" s="7">
        <v>71065</v>
      </c>
      <c r="M28" s="7">
        <v>289170.09271154919</v>
      </c>
      <c r="N28" s="7">
        <v>95377</v>
      </c>
      <c r="O28" s="7">
        <v>372758.1771427237</v>
      </c>
      <c r="P28" s="7">
        <v>143373</v>
      </c>
      <c r="Q28" s="7">
        <v>542800.5602395304</v>
      </c>
      <c r="R28" s="7">
        <v>23180</v>
      </c>
      <c r="S28" s="7">
        <v>96168.2198515817</v>
      </c>
      <c r="T28" s="7">
        <v>47782</v>
      </c>
      <c r="U28" s="7">
        <v>134621.50864583239</v>
      </c>
      <c r="V28" s="7">
        <v>47032</v>
      </c>
      <c r="W28" s="7">
        <v>188483.82696249615</v>
      </c>
      <c r="X28" s="7">
        <v>96105</v>
      </c>
      <c r="Y28" s="7">
        <v>253815.51850045923</v>
      </c>
      <c r="Z28" s="7">
        <v>72619</v>
      </c>
      <c r="AA28" s="7">
        <v>180669.22878017588</v>
      </c>
      <c r="AB28" s="7">
        <v>24226</v>
      </c>
      <c r="AC28" s="7">
        <v>57960.379384100597</v>
      </c>
      <c r="AD28" s="7">
        <v>848083</v>
      </c>
      <c r="AE28" s="7">
        <v>2985624.6519767595</v>
      </c>
    </row>
    <row r="29" spans="1:31" hidden="1">
      <c r="A29" t="s">
        <v>181</v>
      </c>
      <c r="B29" s="23">
        <v>69038</v>
      </c>
      <c r="C29" s="28">
        <v>251147.98376702884</v>
      </c>
      <c r="D29" s="7">
        <v>0</v>
      </c>
      <c r="E29" s="7"/>
      <c r="F29" s="7"/>
      <c r="G29" s="7">
        <v>0</v>
      </c>
      <c r="H29" s="7">
        <v>68332</v>
      </c>
      <c r="I29" s="7">
        <v>238580.31437096058</v>
      </c>
      <c r="J29" s="7"/>
      <c r="K29" s="7"/>
      <c r="L29" s="7">
        <v>44808</v>
      </c>
      <c r="M29" s="7">
        <v>171577.83436502912</v>
      </c>
      <c r="N29" s="7">
        <v>46147</v>
      </c>
      <c r="O29" s="7">
        <v>171958.9463963834</v>
      </c>
      <c r="P29" s="7">
        <v>19294</v>
      </c>
      <c r="Q29" s="7">
        <v>67929.954936981201</v>
      </c>
      <c r="R29" s="7">
        <v>23336</v>
      </c>
      <c r="S29" s="7">
        <v>91108.8038444946</v>
      </c>
      <c r="T29" s="7">
        <v>0</v>
      </c>
      <c r="U29" s="7">
        <v>0</v>
      </c>
      <c r="V29" s="7">
        <v>87109</v>
      </c>
      <c r="W29" s="7">
        <v>301507.14986577327</v>
      </c>
      <c r="X29" s="7">
        <v>22746</v>
      </c>
      <c r="Y29" s="7">
        <v>80344.649412216109</v>
      </c>
      <c r="Z29" s="7">
        <v>39605</v>
      </c>
      <c r="AA29" s="7">
        <v>124460.03731811691</v>
      </c>
      <c r="AB29" s="7">
        <v>22480</v>
      </c>
      <c r="AC29" s="7">
        <v>70841.74722800593</v>
      </c>
      <c r="AD29" s="7">
        <v>442895</v>
      </c>
      <c r="AE29" s="7">
        <v>1569457.4215049902</v>
      </c>
    </row>
    <row r="30" spans="1:31" hidden="1">
      <c r="A30" t="s">
        <v>182</v>
      </c>
      <c r="B30" s="23">
        <v>628254</v>
      </c>
      <c r="C30" s="28">
        <v>1521797.900297774</v>
      </c>
      <c r="D30" s="7">
        <v>534037</v>
      </c>
      <c r="E30" s="7"/>
      <c r="F30" s="7"/>
      <c r="G30" s="7">
        <v>1249464.4520623158</v>
      </c>
      <c r="H30" s="7">
        <v>618882</v>
      </c>
      <c r="I30" s="7">
        <v>1428570.1774695474</v>
      </c>
      <c r="J30" s="7"/>
      <c r="K30" s="7"/>
      <c r="L30" s="7">
        <v>306991</v>
      </c>
      <c r="M30" s="7">
        <v>717502.46310779906</v>
      </c>
      <c r="N30" s="7">
        <v>350278</v>
      </c>
      <c r="O30" s="7">
        <v>823073.91689166683</v>
      </c>
      <c r="P30" s="7">
        <v>775338</v>
      </c>
      <c r="Q30" s="7">
        <v>1842924.7793480873</v>
      </c>
      <c r="R30" s="7">
        <v>150327</v>
      </c>
      <c r="S30" s="7">
        <v>357080.12109456037</v>
      </c>
      <c r="T30" s="7">
        <v>679076</v>
      </c>
      <c r="U30" s="7">
        <v>1571502.5466027325</v>
      </c>
      <c r="V30" s="7">
        <v>699823</v>
      </c>
      <c r="W30" s="7">
        <v>1600990.1033615435</v>
      </c>
      <c r="X30" s="7">
        <v>349784</v>
      </c>
      <c r="Y30" s="7">
        <v>780531.36536983633</v>
      </c>
      <c r="Z30" s="7">
        <v>96988</v>
      </c>
      <c r="AA30" s="7">
        <v>223337.16134434199</v>
      </c>
      <c r="AB30" s="7">
        <v>345492</v>
      </c>
      <c r="AC30" s="7">
        <v>770521.24133817677</v>
      </c>
      <c r="AD30" s="7">
        <v>5535270</v>
      </c>
      <c r="AE30" s="7">
        <v>12887296.228288382</v>
      </c>
    </row>
    <row r="31" spans="1:31" hidden="1">
      <c r="A31" t="s">
        <v>183</v>
      </c>
      <c r="B31" s="23">
        <v>45704</v>
      </c>
      <c r="C31" s="28">
        <v>126482.19995521201</v>
      </c>
      <c r="D31" s="7">
        <v>45193</v>
      </c>
      <c r="E31" s="7"/>
      <c r="F31" s="7"/>
      <c r="G31" s="7">
        <v>95817.804146200884</v>
      </c>
      <c r="H31" s="7">
        <v>0</v>
      </c>
      <c r="I31" s="7">
        <v>0</v>
      </c>
      <c r="J31" s="7"/>
      <c r="K31" s="7"/>
      <c r="L31" s="7">
        <v>0</v>
      </c>
      <c r="M31" s="7">
        <v>0</v>
      </c>
      <c r="N31" s="7">
        <v>15903</v>
      </c>
      <c r="O31" s="7">
        <v>54513.368086955605</v>
      </c>
      <c r="P31" s="7">
        <v>28259</v>
      </c>
      <c r="Q31" s="7">
        <v>89381.083579380094</v>
      </c>
      <c r="R31" s="7">
        <v>39751</v>
      </c>
      <c r="S31" s="7">
        <v>101931.1124862266</v>
      </c>
      <c r="T31" s="7">
        <v>73370</v>
      </c>
      <c r="U31" s="7">
        <v>178841.29285917111</v>
      </c>
      <c r="V31" s="7">
        <v>0</v>
      </c>
      <c r="W31" s="7">
        <v>0</v>
      </c>
      <c r="X31" s="7">
        <v>24288</v>
      </c>
      <c r="Y31" s="7">
        <v>76732.61214415291</v>
      </c>
      <c r="Z31" s="7">
        <v>0</v>
      </c>
      <c r="AA31" s="7">
        <v>0</v>
      </c>
      <c r="AB31" s="7">
        <v>26255</v>
      </c>
      <c r="AC31" s="7">
        <v>48973.43439233971</v>
      </c>
      <c r="AD31" s="7">
        <v>298723</v>
      </c>
      <c r="AE31" s="7">
        <v>772672.90764963895</v>
      </c>
    </row>
    <row r="32" spans="1:31" hidden="1">
      <c r="A32" t="s">
        <v>187</v>
      </c>
      <c r="B32" s="24">
        <v>17095</v>
      </c>
      <c r="C32" s="109"/>
      <c r="D32" s="15">
        <v>20240</v>
      </c>
      <c r="E32" s="32"/>
      <c r="F32" s="32"/>
      <c r="G32" s="16"/>
      <c r="H32" s="15">
        <v>113255</v>
      </c>
      <c r="I32" s="16"/>
      <c r="J32" s="32"/>
      <c r="K32" s="32"/>
      <c r="L32" s="15">
        <v>49344</v>
      </c>
      <c r="M32" s="16"/>
      <c r="N32" s="15">
        <v>98444</v>
      </c>
      <c r="O32" s="16"/>
      <c r="P32" s="15">
        <v>171997</v>
      </c>
      <c r="Q32" s="16"/>
      <c r="R32" s="15">
        <v>104107</v>
      </c>
      <c r="S32" s="16"/>
      <c r="T32" s="15">
        <v>27675</v>
      </c>
      <c r="U32" s="16"/>
      <c r="V32" s="15">
        <v>115951</v>
      </c>
      <c r="W32" s="16"/>
      <c r="X32" s="15">
        <v>76835</v>
      </c>
      <c r="Y32" s="16"/>
      <c r="Z32" s="15">
        <v>24912</v>
      </c>
      <c r="AA32" s="16"/>
      <c r="AB32" s="15">
        <v>70152</v>
      </c>
      <c r="AC32" s="17"/>
      <c r="AD32" s="18">
        <v>890007</v>
      </c>
      <c r="AE32" s="19">
        <v>2548834.7249777778</v>
      </c>
    </row>
    <row r="33" spans="1:31" hidden="1"/>
    <row r="34" spans="1:31" hidden="1"/>
    <row r="35" spans="1:31" ht="15" thickBot="1"/>
    <row r="36" spans="1:31">
      <c r="A36" s="235" t="s">
        <v>188</v>
      </c>
      <c r="B36" s="236"/>
      <c r="C36" s="236"/>
      <c r="D36" s="236"/>
      <c r="E36" s="236"/>
      <c r="F36" s="236"/>
      <c r="G36" s="236"/>
      <c r="H36" s="236"/>
      <c r="I36" s="236"/>
      <c r="J36" s="236"/>
      <c r="K36" s="236"/>
      <c r="L36" s="236"/>
      <c r="M36" s="236"/>
      <c r="N36" s="236"/>
      <c r="O36" s="236"/>
      <c r="P36" s="236"/>
      <c r="Q36" s="236"/>
      <c r="R36" s="236"/>
      <c r="S36" s="236"/>
      <c r="T36" s="236"/>
      <c r="U36" s="236"/>
      <c r="V36" s="236"/>
      <c r="W36" s="236"/>
      <c r="X36" s="236"/>
      <c r="Y36" s="236"/>
      <c r="Z36" s="236"/>
      <c r="AA36" s="236"/>
      <c r="AB36" s="236"/>
      <c r="AC36" s="236"/>
      <c r="AD36" s="236"/>
      <c r="AE36" s="237"/>
    </row>
    <row r="37" spans="1:31">
      <c r="A37" s="238"/>
      <c r="B37" s="239"/>
      <c r="C37" s="239"/>
      <c r="D37" s="239"/>
      <c r="E37" s="239"/>
      <c r="F37" s="239"/>
      <c r="G37" s="239"/>
      <c r="H37" s="239"/>
      <c r="I37" s="239"/>
      <c r="J37" s="239"/>
      <c r="K37" s="239"/>
      <c r="L37" s="239"/>
      <c r="M37" s="239"/>
      <c r="N37" s="239"/>
      <c r="O37" s="239"/>
      <c r="P37" s="239"/>
      <c r="Q37" s="239"/>
      <c r="R37" s="239"/>
      <c r="S37" s="239"/>
      <c r="T37" s="239"/>
      <c r="U37" s="239"/>
      <c r="V37" s="239"/>
      <c r="W37" s="239"/>
      <c r="X37" s="239"/>
      <c r="Y37" s="239"/>
      <c r="Z37" s="239"/>
      <c r="AA37" s="239"/>
      <c r="AB37" s="239"/>
      <c r="AC37" s="239"/>
      <c r="AD37" s="239"/>
      <c r="AE37" s="240"/>
    </row>
    <row r="38" spans="1:31" s="6" customFormat="1" ht="15.6">
      <c r="A38" s="20" t="s">
        <v>7</v>
      </c>
      <c r="B38" s="25" t="s">
        <v>189</v>
      </c>
      <c r="C38" s="110" t="s">
        <v>190</v>
      </c>
      <c r="D38" s="6" t="s">
        <v>211</v>
      </c>
      <c r="G38" s="6">
        <v>2025</v>
      </c>
      <c r="H38" s="6">
        <v>2026</v>
      </c>
    </row>
    <row r="39" spans="1:31">
      <c r="A39" t="s">
        <v>175</v>
      </c>
      <c r="B39" s="26">
        <v>44927</v>
      </c>
      <c r="C39" s="28">
        <v>17095</v>
      </c>
      <c r="D39" s="6" t="str">
        <f t="shared" ref="D39:D102" si="0">VLOOKUP(A39,$M$171:$N$181,2,0)</f>
        <v>BR</v>
      </c>
      <c r="G39" s="10" t="s">
        <v>378</v>
      </c>
      <c r="H39" t="s">
        <v>191</v>
      </c>
      <c r="I39" t="s">
        <v>221</v>
      </c>
      <c r="K39" t="s">
        <v>382</v>
      </c>
    </row>
    <row r="40" spans="1:31">
      <c r="A40" t="s">
        <v>176</v>
      </c>
      <c r="B40" s="26">
        <v>44927</v>
      </c>
      <c r="C40" s="28">
        <v>0</v>
      </c>
      <c r="D40" s="6" t="str">
        <f t="shared" si="0"/>
        <v>EU</v>
      </c>
      <c r="F40" t="s">
        <v>192</v>
      </c>
      <c r="G40" s="31">
        <v>44927</v>
      </c>
      <c r="H40" s="28">
        <v>1002234</v>
      </c>
      <c r="I40" s="28">
        <f>AVERAGE(H40:H51)</f>
        <v>984701.25</v>
      </c>
      <c r="J40" s="28">
        <f>AVERAGE(H40)</f>
        <v>1002234</v>
      </c>
      <c r="K40" s="28"/>
    </row>
    <row r="41" spans="1:31">
      <c r="A41" t="s">
        <v>177</v>
      </c>
      <c r="B41" s="26">
        <v>44927</v>
      </c>
      <c r="C41" s="28">
        <v>0</v>
      </c>
      <c r="D41" s="6" t="str">
        <f t="shared" si="0"/>
        <v>CN</v>
      </c>
      <c r="F41" t="s">
        <v>193</v>
      </c>
      <c r="G41" s="31">
        <v>44958</v>
      </c>
      <c r="H41" s="28">
        <v>694963</v>
      </c>
      <c r="J41" s="28">
        <f>AVERAGE(H40:H41)</f>
        <v>848598.5</v>
      </c>
      <c r="K41" s="28"/>
      <c r="M41" s="10" t="s">
        <v>189</v>
      </c>
      <c r="N41" s="31">
        <v>46113</v>
      </c>
      <c r="O41" s="33" t="s">
        <v>206</v>
      </c>
      <c r="Q41" s="10" t="s">
        <v>189</v>
      </c>
      <c r="R41" t="s">
        <v>380</v>
      </c>
      <c r="S41" s="33" t="s">
        <v>436</v>
      </c>
      <c r="U41" s="10" t="s">
        <v>189</v>
      </c>
      <c r="V41" t="s">
        <v>380</v>
      </c>
      <c r="W41" s="33" t="s">
        <v>436</v>
      </c>
    </row>
    <row r="42" spans="1:31">
      <c r="A42" t="s">
        <v>185</v>
      </c>
      <c r="B42" s="26">
        <v>44927</v>
      </c>
      <c r="C42" s="28">
        <v>24762</v>
      </c>
      <c r="D42" s="6" t="str">
        <f t="shared" si="0"/>
        <v>EU</v>
      </c>
      <c r="F42" t="s">
        <v>194</v>
      </c>
      <c r="G42" s="31">
        <v>44986</v>
      </c>
      <c r="H42" s="28">
        <v>1047926</v>
      </c>
      <c r="J42" s="28">
        <f>AVERAGE(H40:H42)</f>
        <v>915041</v>
      </c>
      <c r="K42" s="28"/>
    </row>
    <row r="43" spans="1:31">
      <c r="A43" t="s">
        <v>186</v>
      </c>
      <c r="B43" s="26">
        <v>44927</v>
      </c>
      <c r="C43" s="28">
        <v>0</v>
      </c>
      <c r="D43" s="6" t="str">
        <f t="shared" si="0"/>
        <v>CN</v>
      </c>
      <c r="F43" t="s">
        <v>195</v>
      </c>
      <c r="G43" s="31">
        <v>45017</v>
      </c>
      <c r="H43" s="28">
        <v>691240</v>
      </c>
      <c r="J43" s="28">
        <f>AVERAGE(H40:H43)</f>
        <v>859090.75</v>
      </c>
      <c r="K43" s="28"/>
      <c r="M43" s="10" t="s">
        <v>378</v>
      </c>
      <c r="N43" s="6" t="s">
        <v>381</v>
      </c>
      <c r="O43" s="6" t="s">
        <v>205</v>
      </c>
      <c r="Q43" s="10" t="s">
        <v>378</v>
      </c>
      <c r="R43" s="6" t="s">
        <v>381</v>
      </c>
      <c r="S43" s="6" t="s">
        <v>205</v>
      </c>
      <c r="U43" s="10" t="s">
        <v>378</v>
      </c>
      <c r="V43" s="6" t="s">
        <v>381</v>
      </c>
      <c r="W43" s="6" t="s">
        <v>205</v>
      </c>
    </row>
    <row r="44" spans="1:31">
      <c r="A44" t="s">
        <v>178</v>
      </c>
      <c r="B44" s="26">
        <v>44927</v>
      </c>
      <c r="C44" s="28">
        <v>147551</v>
      </c>
      <c r="D44" s="6" t="str">
        <f>VLOOKUP(A44,$M$171:$N$181,2,0)</f>
        <v>EU</v>
      </c>
      <c r="F44" t="s">
        <v>196</v>
      </c>
      <c r="G44" s="31">
        <v>45047</v>
      </c>
      <c r="H44" s="28">
        <v>945392</v>
      </c>
      <c r="J44" s="28">
        <f>AVERAGE(H40:H44)</f>
        <v>876351</v>
      </c>
      <c r="K44" s="28"/>
      <c r="M44" s="27" t="s">
        <v>177</v>
      </c>
      <c r="N44" s="28">
        <v>375074</v>
      </c>
      <c r="O44" s="3">
        <v>0.32653803896440831</v>
      </c>
      <c r="Q44" s="27" t="s">
        <v>182</v>
      </c>
      <c r="R44" s="28">
        <v>950860</v>
      </c>
      <c r="S44" s="3">
        <v>0.30517686335338939</v>
      </c>
      <c r="U44" s="27" t="s">
        <v>60</v>
      </c>
      <c r="V44" s="28">
        <v>1480537</v>
      </c>
      <c r="W44" s="3">
        <v>0.47517577533878497</v>
      </c>
      <c r="AA44" s="10" t="s">
        <v>7</v>
      </c>
      <c r="AB44" t="s">
        <v>239</v>
      </c>
    </row>
    <row r="45" spans="1:31">
      <c r="A45" t="s">
        <v>179</v>
      </c>
      <c r="B45" s="26">
        <v>44927</v>
      </c>
      <c r="C45" s="28">
        <v>0</v>
      </c>
      <c r="D45" s="6" t="str">
        <f t="shared" si="0"/>
        <v>EU</v>
      </c>
      <c r="F45" t="s">
        <v>197</v>
      </c>
      <c r="G45" s="31">
        <v>45078</v>
      </c>
      <c r="H45" s="28">
        <v>1518744</v>
      </c>
      <c r="J45" s="28">
        <f>AVERAGE(H40:H45)</f>
        <v>983416.5</v>
      </c>
      <c r="K45" s="28"/>
      <c r="M45" s="27" t="s">
        <v>182</v>
      </c>
      <c r="N45" s="28">
        <v>250798</v>
      </c>
      <c r="O45" s="3">
        <v>0.2183438124108727</v>
      </c>
      <c r="Q45" s="27" t="s">
        <v>175</v>
      </c>
      <c r="R45" s="28">
        <v>447600</v>
      </c>
      <c r="S45" s="3">
        <v>0.14365644157602286</v>
      </c>
      <c r="U45" s="27" t="s">
        <v>59</v>
      </c>
      <c r="V45" s="28">
        <v>903912</v>
      </c>
      <c r="W45" s="3">
        <v>0.29010898440095167</v>
      </c>
      <c r="AA45" s="10" t="s">
        <v>233</v>
      </c>
      <c r="AB45" t="s">
        <v>232</v>
      </c>
    </row>
    <row r="46" spans="1:31">
      <c r="A46" t="s">
        <v>180</v>
      </c>
      <c r="B46" s="26">
        <v>44927</v>
      </c>
      <c r="C46" s="28">
        <v>69830</v>
      </c>
      <c r="D46" s="6" t="str">
        <f t="shared" si="0"/>
        <v>EU</v>
      </c>
      <c r="F46" t="s">
        <v>198</v>
      </c>
      <c r="G46" s="31">
        <v>45108</v>
      </c>
      <c r="H46" s="28">
        <v>553888</v>
      </c>
      <c r="J46" s="28">
        <f>AVERAGE(H40:H46)</f>
        <v>922055.28571428568</v>
      </c>
      <c r="K46" s="28"/>
      <c r="M46" s="27" t="s">
        <v>180</v>
      </c>
      <c r="N46" s="28">
        <v>144244</v>
      </c>
      <c r="O46" s="3">
        <v>0.12557829359641592</v>
      </c>
      <c r="Q46" s="27" t="s">
        <v>177</v>
      </c>
      <c r="R46" s="28">
        <v>427469</v>
      </c>
      <c r="S46" s="3">
        <v>0.13719543213597166</v>
      </c>
      <c r="U46" s="27" t="s">
        <v>58</v>
      </c>
      <c r="V46" s="28">
        <v>731318</v>
      </c>
      <c r="W46" s="3">
        <v>0.23471524026026336</v>
      </c>
    </row>
    <row r="47" spans="1:31">
      <c r="A47" t="s">
        <v>181</v>
      </c>
      <c r="B47" s="26">
        <v>44927</v>
      </c>
      <c r="C47" s="28">
        <v>69038</v>
      </c>
      <c r="D47" s="6" t="str">
        <f t="shared" si="0"/>
        <v>EU</v>
      </c>
      <c r="F47" t="s">
        <v>199</v>
      </c>
      <c r="G47" s="31">
        <v>45139</v>
      </c>
      <c r="H47" s="28">
        <v>1033586</v>
      </c>
      <c r="J47" s="28">
        <f>AVERAGE(H40:H47)</f>
        <v>935996.625</v>
      </c>
      <c r="K47" s="28"/>
      <c r="M47" s="27" t="s">
        <v>175</v>
      </c>
      <c r="N47" s="28">
        <v>115560</v>
      </c>
      <c r="O47" s="3">
        <v>0.10060610914840011</v>
      </c>
      <c r="Q47" s="27" t="s">
        <v>180</v>
      </c>
      <c r="R47" s="28">
        <v>338574</v>
      </c>
      <c r="S47" s="3">
        <v>0.10866473648382566</v>
      </c>
      <c r="U47" s="27" t="s">
        <v>379</v>
      </c>
      <c r="V47" s="28">
        <v>3115767</v>
      </c>
      <c r="W47" s="3">
        <v>1</v>
      </c>
      <c r="AA47" s="10" t="s">
        <v>237</v>
      </c>
      <c r="AB47" t="s">
        <v>191</v>
      </c>
    </row>
    <row r="48" spans="1:31">
      <c r="A48" t="s">
        <v>182</v>
      </c>
      <c r="B48" s="26">
        <v>44927</v>
      </c>
      <c r="C48" s="28">
        <v>628254</v>
      </c>
      <c r="D48" s="6" t="str">
        <f t="shared" si="0"/>
        <v>CN</v>
      </c>
      <c r="F48" t="s">
        <v>200</v>
      </c>
      <c r="G48" s="31">
        <v>45170</v>
      </c>
      <c r="H48" s="28">
        <v>1114796</v>
      </c>
      <c r="J48" s="28">
        <f>AVERAGE(H40:H48)</f>
        <v>955863.22222222225</v>
      </c>
      <c r="K48" s="28"/>
      <c r="M48" s="27" t="s">
        <v>186</v>
      </c>
      <c r="N48" s="28">
        <v>102208</v>
      </c>
      <c r="O48" s="3">
        <v>8.8981907267563845E-2</v>
      </c>
      <c r="Q48" s="27" t="s">
        <v>183</v>
      </c>
      <c r="R48" s="28">
        <v>283718</v>
      </c>
      <c r="S48" s="3">
        <v>9.1058798684240508E-2</v>
      </c>
      <c r="AA48" s="27" t="s">
        <v>192</v>
      </c>
      <c r="AB48" s="28">
        <v>1056651</v>
      </c>
    </row>
    <row r="49" spans="1:28">
      <c r="A49" t="s">
        <v>183</v>
      </c>
      <c r="B49" s="26">
        <v>44927</v>
      </c>
      <c r="C49" s="28">
        <v>45704</v>
      </c>
      <c r="D49" s="6" t="str">
        <f t="shared" si="0"/>
        <v>BR</v>
      </c>
      <c r="F49" t="s">
        <v>201</v>
      </c>
      <c r="G49" s="31">
        <v>45200</v>
      </c>
      <c r="H49" s="28">
        <v>1050574</v>
      </c>
      <c r="J49" s="28">
        <f>AVERAGE(H40:H49)</f>
        <v>965334.3</v>
      </c>
      <c r="K49" s="28"/>
      <c r="M49" s="27" t="s">
        <v>183</v>
      </c>
      <c r="N49" s="28">
        <v>70665</v>
      </c>
      <c r="O49" s="3">
        <v>6.1520687980025038E-2</v>
      </c>
      <c r="Q49" s="27" t="s">
        <v>181</v>
      </c>
      <c r="R49" s="28">
        <v>278844</v>
      </c>
      <c r="S49" s="3">
        <v>8.949449686064459E-2</v>
      </c>
      <c r="AA49" s="27" t="s">
        <v>193</v>
      </c>
      <c r="AB49" s="28">
        <v>679739</v>
      </c>
    </row>
    <row r="50" spans="1:28">
      <c r="A50" t="s">
        <v>175</v>
      </c>
      <c r="B50" s="26">
        <v>44958</v>
      </c>
      <c r="C50" s="28">
        <v>20240</v>
      </c>
      <c r="D50" s="6" t="str">
        <f t="shared" si="0"/>
        <v>BR</v>
      </c>
      <c r="F50" t="s">
        <v>202</v>
      </c>
      <c r="G50" s="31">
        <v>45231</v>
      </c>
      <c r="H50" s="28">
        <v>773101</v>
      </c>
      <c r="J50" s="28">
        <f>AVERAGE(H40:H50)</f>
        <v>947858.54545454541</v>
      </c>
      <c r="K50" s="28"/>
      <c r="M50" s="27" t="s">
        <v>181</v>
      </c>
      <c r="N50" s="28">
        <v>68566</v>
      </c>
      <c r="O50" s="3">
        <v>5.9693306333239889E-2</v>
      </c>
      <c r="Q50" s="27" t="s">
        <v>178</v>
      </c>
      <c r="R50" s="28">
        <v>203323</v>
      </c>
      <c r="S50" s="3">
        <v>6.525616324969101E-2</v>
      </c>
      <c r="AA50" s="27" t="s">
        <v>194</v>
      </c>
      <c r="AB50" s="28">
        <v>934747</v>
      </c>
    </row>
    <row r="51" spans="1:28">
      <c r="A51" t="s">
        <v>176</v>
      </c>
      <c r="B51" s="26">
        <v>44958</v>
      </c>
      <c r="C51" s="28">
        <v>11073</v>
      </c>
      <c r="D51" s="6" t="str">
        <f t="shared" si="0"/>
        <v>EU</v>
      </c>
      <c r="F51" t="s">
        <v>203</v>
      </c>
      <c r="G51" s="31">
        <v>45261</v>
      </c>
      <c r="H51" s="28">
        <v>1389971</v>
      </c>
      <c r="J51" s="28">
        <f>AVERAGE(H40:H51)</f>
        <v>984701.25</v>
      </c>
      <c r="K51" s="28"/>
      <c r="M51" s="27" t="s">
        <v>176</v>
      </c>
      <c r="N51" s="28">
        <v>21523</v>
      </c>
      <c r="O51" s="3">
        <v>1.8737844299074206E-2</v>
      </c>
      <c r="Q51" s="27" t="s">
        <v>186</v>
      </c>
      <c r="R51" s="28">
        <v>102208</v>
      </c>
      <c r="S51" s="3">
        <v>3.2803479849423917E-2</v>
      </c>
      <c r="AA51" s="27" t="s">
        <v>195</v>
      </c>
      <c r="AB51" s="28">
        <v>765636</v>
      </c>
    </row>
    <row r="52" spans="1:28">
      <c r="A52" t="s">
        <v>177</v>
      </c>
      <c r="B52" s="26">
        <v>44958</v>
      </c>
      <c r="C52" s="28">
        <v>0</v>
      </c>
      <c r="D52" s="6" t="str">
        <f t="shared" si="0"/>
        <v>CN</v>
      </c>
      <c r="F52" s="44" t="s">
        <v>192</v>
      </c>
      <c r="G52" s="31">
        <v>45292</v>
      </c>
      <c r="H52" s="28">
        <v>1056651</v>
      </c>
      <c r="J52" s="28">
        <f>AVERAGE(H52)</f>
        <v>1056651</v>
      </c>
      <c r="K52" s="28"/>
      <c r="M52" s="27" t="s">
        <v>178</v>
      </c>
      <c r="N52" s="28"/>
      <c r="O52" s="3">
        <v>0</v>
      </c>
      <c r="Q52" s="27" t="s">
        <v>179</v>
      </c>
      <c r="R52" s="28">
        <v>60282</v>
      </c>
      <c r="S52" s="3">
        <v>1.9347403063194393E-2</v>
      </c>
      <c r="AA52" s="27" t="s">
        <v>196</v>
      </c>
      <c r="AB52" s="28">
        <v>804228</v>
      </c>
    </row>
    <row r="53" spans="1:28">
      <c r="A53" t="s">
        <v>185</v>
      </c>
      <c r="B53" s="26">
        <v>44958</v>
      </c>
      <c r="C53" s="28">
        <v>0</v>
      </c>
      <c r="D53" s="6" t="str">
        <f t="shared" si="0"/>
        <v>EU</v>
      </c>
      <c r="F53" t="s">
        <v>193</v>
      </c>
      <c r="G53" s="31">
        <v>45323</v>
      </c>
      <c r="H53" s="28">
        <v>679739</v>
      </c>
      <c r="J53" s="28">
        <f>AVERAGE(H52:H53)</f>
        <v>868195</v>
      </c>
      <c r="K53" s="28"/>
      <c r="M53" s="27" t="s">
        <v>179</v>
      </c>
      <c r="N53" s="28"/>
      <c r="O53" s="3">
        <v>0</v>
      </c>
      <c r="Q53" s="27" t="s">
        <v>176</v>
      </c>
      <c r="R53" s="28">
        <v>22889</v>
      </c>
      <c r="S53" s="3">
        <v>7.3461847435960393E-3</v>
      </c>
      <c r="AA53" s="27" t="s">
        <v>197</v>
      </c>
      <c r="AB53" s="28">
        <v>782142</v>
      </c>
    </row>
    <row r="54" spans="1:28">
      <c r="A54" t="s">
        <v>186</v>
      </c>
      <c r="B54" s="26">
        <v>44958</v>
      </c>
      <c r="C54" s="28">
        <v>0</v>
      </c>
      <c r="D54" s="6" t="str">
        <f t="shared" si="0"/>
        <v>CN</v>
      </c>
      <c r="F54" s="44" t="s">
        <v>194</v>
      </c>
      <c r="G54" s="31">
        <v>45352</v>
      </c>
      <c r="H54" s="28">
        <v>934747</v>
      </c>
      <c r="J54" s="28">
        <f>AVERAGE(H52:H54)</f>
        <v>890379</v>
      </c>
      <c r="K54" s="28"/>
      <c r="M54" s="27" t="s">
        <v>379</v>
      </c>
      <c r="N54" s="28">
        <v>1148638</v>
      </c>
      <c r="O54" s="3">
        <v>1</v>
      </c>
      <c r="Q54" s="27" t="s">
        <v>379</v>
      </c>
      <c r="R54" s="28">
        <v>3115767</v>
      </c>
      <c r="S54" s="3">
        <v>1</v>
      </c>
      <c r="AA54" s="27" t="s">
        <v>198</v>
      </c>
      <c r="AB54" s="28">
        <v>871499</v>
      </c>
    </row>
    <row r="55" spans="1:28">
      <c r="A55" t="s">
        <v>178</v>
      </c>
      <c r="B55" s="26">
        <v>44958</v>
      </c>
      <c r="C55" s="28">
        <v>0</v>
      </c>
      <c r="D55" s="6" t="str">
        <f t="shared" si="0"/>
        <v>EU</v>
      </c>
      <c r="F55" s="44" t="s">
        <v>195</v>
      </c>
      <c r="G55" s="31">
        <v>45383</v>
      </c>
      <c r="H55" s="28">
        <v>765636</v>
      </c>
      <c r="J55" s="28">
        <f>AVERAGE(H52:H55)</f>
        <v>859193.25</v>
      </c>
      <c r="K55" s="28"/>
      <c r="AA55" s="27" t="s">
        <v>199</v>
      </c>
      <c r="AB55" s="28">
        <v>1058985</v>
      </c>
    </row>
    <row r="56" spans="1:28">
      <c r="A56" t="s">
        <v>179</v>
      </c>
      <c r="B56" s="26">
        <v>44958</v>
      </c>
      <c r="C56" s="28">
        <v>22354</v>
      </c>
      <c r="D56" s="6" t="str">
        <f t="shared" si="0"/>
        <v>EU</v>
      </c>
      <c r="F56" s="44" t="s">
        <v>196</v>
      </c>
      <c r="G56" s="31">
        <v>45413</v>
      </c>
      <c r="H56" s="28">
        <v>804228</v>
      </c>
      <c r="J56" s="28">
        <f>AVERAGE(H52:H56)</f>
        <v>848200.2</v>
      </c>
      <c r="K56" s="28"/>
      <c r="AA56" s="27" t="s">
        <v>200</v>
      </c>
      <c r="AB56" s="28">
        <v>1532079</v>
      </c>
    </row>
    <row r="57" spans="1:28">
      <c r="A57" t="s">
        <v>180</v>
      </c>
      <c r="B57" s="26">
        <v>44958</v>
      </c>
      <c r="C57" s="28">
        <v>62066</v>
      </c>
      <c r="D57" s="6" t="str">
        <f t="shared" si="0"/>
        <v>EU</v>
      </c>
      <c r="F57" s="44" t="s">
        <v>197</v>
      </c>
      <c r="G57" s="31">
        <v>45444</v>
      </c>
      <c r="H57" s="28">
        <v>782142</v>
      </c>
      <c r="J57" s="28">
        <f>AVERAGE(H52:H57)</f>
        <v>837190.5</v>
      </c>
      <c r="K57" s="28"/>
      <c r="AA57" s="27" t="s">
        <v>201</v>
      </c>
      <c r="AB57" s="28">
        <v>1300438</v>
      </c>
    </row>
    <row r="58" spans="1:28">
      <c r="A58" t="s">
        <v>181</v>
      </c>
      <c r="B58" s="26">
        <v>44958</v>
      </c>
      <c r="C58" s="28">
        <v>0</v>
      </c>
      <c r="D58" s="6" t="str">
        <f t="shared" si="0"/>
        <v>EU</v>
      </c>
      <c r="F58" s="44" t="s">
        <v>198</v>
      </c>
      <c r="G58" s="31">
        <v>45474</v>
      </c>
      <c r="H58" s="28">
        <v>871499</v>
      </c>
      <c r="J58" s="28">
        <f>AVERAGE(H52:H58)</f>
        <v>842091.71428571432</v>
      </c>
      <c r="K58" s="28"/>
      <c r="AA58" s="27" t="s">
        <v>202</v>
      </c>
      <c r="AB58" s="28">
        <v>1224050</v>
      </c>
    </row>
    <row r="59" spans="1:28">
      <c r="A59" t="s">
        <v>182</v>
      </c>
      <c r="B59" s="26">
        <v>44958</v>
      </c>
      <c r="C59" s="28">
        <v>534037</v>
      </c>
      <c r="D59" s="6" t="str">
        <f t="shared" si="0"/>
        <v>CN</v>
      </c>
      <c r="F59" s="44" t="s">
        <v>199</v>
      </c>
      <c r="G59" s="31">
        <v>45505</v>
      </c>
      <c r="H59" s="28">
        <v>1058985</v>
      </c>
      <c r="J59" s="28">
        <f>AVERAGE(H52:H59)</f>
        <v>869203.375</v>
      </c>
      <c r="K59" s="28"/>
      <c r="AA59" s="27" t="s">
        <v>203</v>
      </c>
      <c r="AB59" s="28">
        <v>921791</v>
      </c>
    </row>
    <row r="60" spans="1:28">
      <c r="A60" t="s">
        <v>183</v>
      </c>
      <c r="B60" s="26">
        <v>44958</v>
      </c>
      <c r="C60" s="28">
        <v>45193</v>
      </c>
      <c r="D60" s="6" t="str">
        <f t="shared" si="0"/>
        <v>BR</v>
      </c>
      <c r="F60" s="44" t="s">
        <v>200</v>
      </c>
      <c r="G60" s="31">
        <v>45536</v>
      </c>
      <c r="H60" s="28">
        <v>1532079</v>
      </c>
      <c r="J60" s="28">
        <f>AVERAGE(H52:H61)</f>
        <v>978614.4</v>
      </c>
      <c r="K60" s="28"/>
      <c r="W60" t="s">
        <v>224</v>
      </c>
      <c r="AA60" s="27" t="s">
        <v>238</v>
      </c>
      <c r="AB60" s="28">
        <v>11931985</v>
      </c>
    </row>
    <row r="61" spans="1:28">
      <c r="A61" t="s">
        <v>175</v>
      </c>
      <c r="B61" s="26">
        <v>44986</v>
      </c>
      <c r="C61" s="28">
        <v>113255</v>
      </c>
      <c r="D61" s="6" t="str">
        <f t="shared" si="0"/>
        <v>BR</v>
      </c>
      <c r="F61" s="44" t="s">
        <v>201</v>
      </c>
      <c r="G61" s="31">
        <v>45566</v>
      </c>
      <c r="H61" s="28">
        <v>1300438</v>
      </c>
      <c r="J61" s="28">
        <f>AVERAGE(H52:H62)</f>
        <v>1000926.7272727273</v>
      </c>
      <c r="K61" s="28"/>
      <c r="W61" t="s">
        <v>225</v>
      </c>
    </row>
    <row r="62" spans="1:28">
      <c r="A62" t="s">
        <v>176</v>
      </c>
      <c r="B62" s="26">
        <v>44986</v>
      </c>
      <c r="C62" s="28">
        <v>11128</v>
      </c>
      <c r="D62" s="6" t="str">
        <f t="shared" si="0"/>
        <v>EU</v>
      </c>
      <c r="F62" s="44" t="s">
        <v>202</v>
      </c>
      <c r="G62" s="31">
        <v>45597</v>
      </c>
      <c r="H62" s="28">
        <v>1224050</v>
      </c>
      <c r="J62" s="28">
        <f>AVERAGE(H52:H63)</f>
        <v>994332.08333333337</v>
      </c>
      <c r="K62" s="28"/>
      <c r="W62" t="s">
        <v>231</v>
      </c>
    </row>
    <row r="63" spans="1:28">
      <c r="A63" t="s">
        <v>177</v>
      </c>
      <c r="B63" s="26">
        <v>44986</v>
      </c>
      <c r="C63" s="28">
        <v>240</v>
      </c>
      <c r="D63" s="6" t="str">
        <f t="shared" si="0"/>
        <v>CN</v>
      </c>
      <c r="F63" s="44" t="s">
        <v>203</v>
      </c>
      <c r="G63" s="31">
        <v>45627</v>
      </c>
      <c r="H63" s="28">
        <v>921791</v>
      </c>
      <c r="J63" s="28">
        <f>AVERAGE(H52:H63)</f>
        <v>994332.08333333337</v>
      </c>
      <c r="K63" s="28"/>
      <c r="W63" t="s">
        <v>435</v>
      </c>
    </row>
    <row r="64" spans="1:28">
      <c r="A64" t="s">
        <v>185</v>
      </c>
      <c r="B64" s="26">
        <v>44986</v>
      </c>
      <c r="C64" s="28">
        <v>49085</v>
      </c>
      <c r="D64" s="6" t="str">
        <f t="shared" si="0"/>
        <v>EU</v>
      </c>
      <c r="F64" s="44" t="s">
        <v>192</v>
      </c>
      <c r="G64" s="31">
        <v>45658</v>
      </c>
      <c r="H64" s="28">
        <v>982542</v>
      </c>
      <c r="J64" s="28">
        <f>AVERAGE(H64)</f>
        <v>982542</v>
      </c>
      <c r="K64" s="7">
        <v>2.5587012126698312</v>
      </c>
    </row>
    <row r="65" spans="1:12">
      <c r="A65" t="s">
        <v>186</v>
      </c>
      <c r="B65" s="26">
        <v>44986</v>
      </c>
      <c r="C65" s="28">
        <v>20154</v>
      </c>
      <c r="D65" s="6" t="str">
        <f t="shared" si="0"/>
        <v>CN</v>
      </c>
      <c r="F65" s="44" t="s">
        <v>193</v>
      </c>
      <c r="G65" s="31">
        <v>45689</v>
      </c>
      <c r="H65" s="28">
        <v>1247419</v>
      </c>
      <c r="J65" s="28">
        <f>AVERAGE($H$64:H65)</f>
        <v>1114980.5</v>
      </c>
      <c r="K65" s="7">
        <v>2.515260515776808</v>
      </c>
    </row>
    <row r="66" spans="1:12">
      <c r="A66" t="s">
        <v>178</v>
      </c>
      <c r="B66" s="26">
        <v>44986</v>
      </c>
      <c r="C66" s="28">
        <v>49830</v>
      </c>
      <c r="D66" s="6" t="str">
        <f t="shared" si="0"/>
        <v>EU</v>
      </c>
      <c r="F66" s="44" t="s">
        <v>194</v>
      </c>
      <c r="G66" s="31">
        <v>45717</v>
      </c>
      <c r="H66" s="28">
        <v>870892</v>
      </c>
      <c r="J66" s="28">
        <f>AVERAGE($H$64:H66)</f>
        <v>1033617.6666666666</v>
      </c>
      <c r="K66" s="7">
        <v>2.4027297656757272</v>
      </c>
    </row>
    <row r="67" spans="1:12">
      <c r="A67" t="s">
        <v>179</v>
      </c>
      <c r="B67" s="26">
        <v>44986</v>
      </c>
      <c r="C67" s="28">
        <v>21592</v>
      </c>
      <c r="D67" s="6" t="str">
        <f t="shared" si="0"/>
        <v>EU</v>
      </c>
      <c r="F67" t="s">
        <v>195</v>
      </c>
      <c r="G67" s="31">
        <v>45748</v>
      </c>
      <c r="H67" s="28">
        <v>845655</v>
      </c>
      <c r="J67" s="28">
        <f>AVERAGE($H$64:H67)</f>
        <v>986627</v>
      </c>
      <c r="K67" s="7">
        <v>2.2689814300404825</v>
      </c>
    </row>
    <row r="68" spans="1:12">
      <c r="A68" t="s">
        <v>180</v>
      </c>
      <c r="B68" s="26">
        <v>44986</v>
      </c>
      <c r="C68" s="28">
        <v>95428</v>
      </c>
      <c r="D68" s="6" t="str">
        <f t="shared" si="0"/>
        <v>EU</v>
      </c>
      <c r="F68" t="s">
        <v>196</v>
      </c>
      <c r="G68" s="31">
        <v>45778</v>
      </c>
      <c r="H68" s="28">
        <v>602505</v>
      </c>
      <c r="J68" s="28">
        <f>AVERAGE($H$64:H68)</f>
        <v>909802.6</v>
      </c>
      <c r="K68" s="7">
        <v>2.2830473814269121</v>
      </c>
    </row>
    <row r="69" spans="1:12">
      <c r="A69" t="s">
        <v>181</v>
      </c>
      <c r="B69" s="26">
        <v>44986</v>
      </c>
      <c r="C69" s="28">
        <v>68332</v>
      </c>
      <c r="D69" s="6" t="str">
        <f t="shared" si="0"/>
        <v>EU</v>
      </c>
      <c r="F69" t="s">
        <v>197</v>
      </c>
      <c r="G69" s="31">
        <v>45809</v>
      </c>
      <c r="H69" s="28">
        <v>327511</v>
      </c>
      <c r="J69" s="28">
        <f>AVERAGE($H$64:H69)</f>
        <v>812754</v>
      </c>
      <c r="K69" s="7">
        <v>2.3452154436754689</v>
      </c>
    </row>
    <row r="70" spans="1:12">
      <c r="A70" t="s">
        <v>182</v>
      </c>
      <c r="B70" s="26">
        <v>44986</v>
      </c>
      <c r="C70" s="28">
        <v>618882</v>
      </c>
      <c r="D70" s="6" t="str">
        <f t="shared" si="0"/>
        <v>CN</v>
      </c>
      <c r="F70" t="s">
        <v>198</v>
      </c>
      <c r="G70" s="31">
        <v>45839</v>
      </c>
      <c r="H70" s="28">
        <v>548581</v>
      </c>
      <c r="J70" s="28">
        <f>AVERAGE($H$64:H70)</f>
        <v>775015</v>
      </c>
      <c r="K70" s="7">
        <v>2.4348755796073003</v>
      </c>
    </row>
    <row r="71" spans="1:12">
      <c r="A71" t="s">
        <v>183</v>
      </c>
      <c r="B71" s="26">
        <v>44986</v>
      </c>
      <c r="C71" s="28">
        <v>0</v>
      </c>
      <c r="D71" s="6" t="str">
        <f t="shared" si="0"/>
        <v>BR</v>
      </c>
      <c r="F71" t="s">
        <v>199</v>
      </c>
      <c r="G71" s="31">
        <v>45870</v>
      </c>
      <c r="H71" s="28">
        <v>560567</v>
      </c>
      <c r="J71" s="28">
        <f>AVERAGE($H$64:H71)</f>
        <v>748209</v>
      </c>
      <c r="K71" s="7">
        <v>2.3898978329888756</v>
      </c>
    </row>
    <row r="72" spans="1:12">
      <c r="A72" t="s">
        <v>175</v>
      </c>
      <c r="B72" s="26">
        <v>45017</v>
      </c>
      <c r="C72" s="28">
        <v>49344</v>
      </c>
      <c r="D72" s="6" t="str">
        <f t="shared" si="0"/>
        <v>BR</v>
      </c>
      <c r="F72" t="s">
        <v>200</v>
      </c>
      <c r="G72" s="31">
        <v>45901</v>
      </c>
      <c r="H72" s="28">
        <v>1060962</v>
      </c>
      <c r="J72" s="28">
        <f>AVERAGE($H$64:H72)</f>
        <v>782959.33333333337</v>
      </c>
      <c r="K72" s="7">
        <v>2.4545888570371264</v>
      </c>
    </row>
    <row r="73" spans="1:12">
      <c r="A73" t="s">
        <v>176</v>
      </c>
      <c r="B73" s="26">
        <v>45017</v>
      </c>
      <c r="C73" s="28">
        <v>0</v>
      </c>
      <c r="D73" s="6" t="str">
        <f t="shared" si="0"/>
        <v>EU</v>
      </c>
      <c r="F73" t="s">
        <v>201</v>
      </c>
      <c r="G73" s="31">
        <v>45931</v>
      </c>
      <c r="H73" s="28">
        <v>1406933</v>
      </c>
      <c r="J73" s="28">
        <f>AVERAGE($H$64:H73)</f>
        <v>845356.7</v>
      </c>
      <c r="K73" s="7">
        <v>2.323795042292506</v>
      </c>
    </row>
    <row r="74" spans="1:12">
      <c r="A74" t="s">
        <v>177</v>
      </c>
      <c r="B74" s="26">
        <v>45017</v>
      </c>
      <c r="C74" s="28">
        <v>256</v>
      </c>
      <c r="D74" s="6" t="str">
        <f t="shared" si="0"/>
        <v>CN</v>
      </c>
      <c r="F74" t="s">
        <v>202</v>
      </c>
      <c r="G74" s="31">
        <v>45962</v>
      </c>
      <c r="H74" s="28">
        <v>1253026</v>
      </c>
      <c r="J74" s="28">
        <f>AVERAGE($H$64:H74)</f>
        <v>882417.54545454541</v>
      </c>
      <c r="K74" s="7">
        <v>2.4333583657092834</v>
      </c>
    </row>
    <row r="75" spans="1:12">
      <c r="A75" t="s">
        <v>185</v>
      </c>
      <c r="B75" s="26">
        <v>45017</v>
      </c>
      <c r="C75" s="28">
        <v>120172</v>
      </c>
      <c r="D75" s="6" t="str">
        <f t="shared" si="0"/>
        <v>EU</v>
      </c>
      <c r="F75" t="s">
        <v>203</v>
      </c>
      <c r="G75" s="31">
        <v>45992</v>
      </c>
      <c r="H75" s="28">
        <v>3323459</v>
      </c>
      <c r="J75" s="28">
        <f>AVERAGE($H$64:H75)</f>
        <v>1085837.6666666667</v>
      </c>
      <c r="K75" s="7">
        <v>2.297804407373425</v>
      </c>
    </row>
    <row r="76" spans="1:12">
      <c r="A76" t="s">
        <v>186</v>
      </c>
      <c r="B76" s="26">
        <v>45017</v>
      </c>
      <c r="C76" s="28">
        <v>0</v>
      </c>
      <c r="D76" s="6" t="str">
        <f t="shared" si="0"/>
        <v>CN</v>
      </c>
      <c r="F76" s="44" t="s">
        <v>192</v>
      </c>
      <c r="G76" s="31">
        <v>46023</v>
      </c>
      <c r="H76" s="28">
        <v>462914</v>
      </c>
      <c r="J76" s="28">
        <f>AVERAGE($H$76:H76)</f>
        <v>462914</v>
      </c>
      <c r="K76" s="7">
        <v>2.58</v>
      </c>
      <c r="L76" t="s">
        <v>434</v>
      </c>
    </row>
    <row r="77" spans="1:12">
      <c r="A77" t="s">
        <v>178</v>
      </c>
      <c r="B77" s="26">
        <v>45017</v>
      </c>
      <c r="C77" s="28">
        <v>98604</v>
      </c>
      <c r="D77" s="6" t="str">
        <f t="shared" si="0"/>
        <v>EU</v>
      </c>
      <c r="F77" s="44" t="s">
        <v>193</v>
      </c>
      <c r="G77" s="31">
        <v>46054</v>
      </c>
      <c r="H77" s="28">
        <v>394209</v>
      </c>
      <c r="J77" s="28">
        <f>AVERAGE($H$76:H77)</f>
        <v>428561.5</v>
      </c>
      <c r="K77" s="7">
        <v>2.27</v>
      </c>
      <c r="L77" t="s">
        <v>434</v>
      </c>
    </row>
    <row r="78" spans="1:12">
      <c r="A78" t="s">
        <v>179</v>
      </c>
      <c r="B78" s="26">
        <v>45017</v>
      </c>
      <c r="C78" s="28">
        <v>0</v>
      </c>
      <c r="D78" s="6" t="str">
        <f t="shared" si="0"/>
        <v>EU</v>
      </c>
      <c r="F78" s="44" t="s">
        <v>194</v>
      </c>
      <c r="G78" s="31">
        <v>46082</v>
      </c>
      <c r="H78" s="28">
        <v>1110006</v>
      </c>
      <c r="J78" s="28">
        <f>AVERAGE($H$76:H78)</f>
        <v>655709.66666666663</v>
      </c>
      <c r="K78" s="7">
        <v>2.34</v>
      </c>
      <c r="L78" t="s">
        <v>434</v>
      </c>
    </row>
    <row r="79" spans="1:12">
      <c r="A79" t="s">
        <v>180</v>
      </c>
      <c r="B79" s="26">
        <v>45017</v>
      </c>
      <c r="C79" s="28">
        <v>71065</v>
      </c>
      <c r="D79" s="6" t="str">
        <f t="shared" si="0"/>
        <v>EU</v>
      </c>
      <c r="F79" t="s">
        <v>195</v>
      </c>
      <c r="G79" s="31">
        <v>46113</v>
      </c>
      <c r="H79" s="28">
        <v>1148638</v>
      </c>
      <c r="J79" s="28">
        <f>AVERAGE($H$76:H79)</f>
        <v>778941.75</v>
      </c>
      <c r="K79" s="7">
        <v>2.37</v>
      </c>
      <c r="L79" t="s">
        <v>434</v>
      </c>
    </row>
    <row r="80" spans="1:12">
      <c r="A80" t="s">
        <v>181</v>
      </c>
      <c r="B80" s="26">
        <v>45017</v>
      </c>
      <c r="C80" s="28">
        <v>44808</v>
      </c>
      <c r="D80" s="6" t="str">
        <f t="shared" si="0"/>
        <v>EU</v>
      </c>
      <c r="F80" t="s">
        <v>196</v>
      </c>
    </row>
    <row r="81" spans="1:6">
      <c r="A81" t="s">
        <v>182</v>
      </c>
      <c r="B81" s="26">
        <v>45017</v>
      </c>
      <c r="C81" s="28">
        <v>306991</v>
      </c>
      <c r="D81" s="6" t="str">
        <f t="shared" si="0"/>
        <v>CN</v>
      </c>
      <c r="F81" t="s">
        <v>197</v>
      </c>
    </row>
    <row r="82" spans="1:6">
      <c r="A82" t="s">
        <v>183</v>
      </c>
      <c r="B82" s="26">
        <v>45017</v>
      </c>
      <c r="C82" s="28">
        <v>0</v>
      </c>
      <c r="D82" s="6" t="str">
        <f t="shared" si="0"/>
        <v>BR</v>
      </c>
      <c r="F82" t="s">
        <v>198</v>
      </c>
    </row>
    <row r="83" spans="1:6">
      <c r="A83" t="s">
        <v>175</v>
      </c>
      <c r="B83" s="26">
        <v>45047</v>
      </c>
      <c r="C83" s="28">
        <v>98444</v>
      </c>
      <c r="D83" s="6" t="str">
        <f t="shared" si="0"/>
        <v>BR</v>
      </c>
      <c r="F83" t="s">
        <v>199</v>
      </c>
    </row>
    <row r="84" spans="1:6">
      <c r="A84" t="s">
        <v>176</v>
      </c>
      <c r="B84" s="26">
        <v>45047</v>
      </c>
      <c r="C84" s="28">
        <v>25139</v>
      </c>
      <c r="D84" s="6" t="str">
        <f t="shared" si="0"/>
        <v>EU</v>
      </c>
      <c r="F84" t="s">
        <v>200</v>
      </c>
    </row>
    <row r="85" spans="1:6">
      <c r="A85" t="s">
        <v>177</v>
      </c>
      <c r="B85" s="26">
        <v>45047</v>
      </c>
      <c r="C85" s="28">
        <v>0</v>
      </c>
      <c r="D85" s="6" t="str">
        <f t="shared" si="0"/>
        <v>CN</v>
      </c>
      <c r="F85" t="s">
        <v>201</v>
      </c>
    </row>
    <row r="86" spans="1:6">
      <c r="A86" t="s">
        <v>185</v>
      </c>
      <c r="B86" s="26">
        <v>45047</v>
      </c>
      <c r="C86" s="28">
        <v>148019</v>
      </c>
      <c r="D86" s="6" t="str">
        <f t="shared" si="0"/>
        <v>EU</v>
      </c>
      <c r="F86" t="s">
        <v>202</v>
      </c>
    </row>
    <row r="87" spans="1:6">
      <c r="A87" t="s">
        <v>186</v>
      </c>
      <c r="B87" s="26">
        <v>45047</v>
      </c>
      <c r="C87" s="28">
        <v>0</v>
      </c>
      <c r="D87" s="6" t="str">
        <f t="shared" si="0"/>
        <v>CN</v>
      </c>
      <c r="F87" t="s">
        <v>203</v>
      </c>
    </row>
    <row r="88" spans="1:6">
      <c r="A88" t="s">
        <v>178</v>
      </c>
      <c r="B88" s="26">
        <v>45047</v>
      </c>
      <c r="C88" s="28">
        <v>98282</v>
      </c>
      <c r="D88" s="6" t="str">
        <f t="shared" si="0"/>
        <v>EU</v>
      </c>
    </row>
    <row r="89" spans="1:6">
      <c r="A89" t="s">
        <v>179</v>
      </c>
      <c r="B89" s="26">
        <v>45047</v>
      </c>
      <c r="C89" s="28">
        <v>67803</v>
      </c>
      <c r="D89" s="6" t="str">
        <f t="shared" si="0"/>
        <v>EU</v>
      </c>
    </row>
    <row r="90" spans="1:6">
      <c r="A90" t="s">
        <v>180</v>
      </c>
      <c r="B90" s="26">
        <v>45047</v>
      </c>
      <c r="C90" s="28">
        <v>95377</v>
      </c>
      <c r="D90" s="6" t="str">
        <f t="shared" si="0"/>
        <v>EU</v>
      </c>
    </row>
    <row r="91" spans="1:6">
      <c r="A91" t="s">
        <v>181</v>
      </c>
      <c r="B91" s="26">
        <v>45047</v>
      </c>
      <c r="C91" s="28">
        <v>46147</v>
      </c>
      <c r="D91" s="6" t="str">
        <f t="shared" si="0"/>
        <v>EU</v>
      </c>
    </row>
    <row r="92" spans="1:6">
      <c r="A92" t="s">
        <v>182</v>
      </c>
      <c r="B92" s="26">
        <v>45047</v>
      </c>
      <c r="C92" s="28">
        <v>350278</v>
      </c>
      <c r="D92" s="6" t="str">
        <f t="shared" si="0"/>
        <v>CN</v>
      </c>
    </row>
    <row r="93" spans="1:6">
      <c r="A93" t="s">
        <v>183</v>
      </c>
      <c r="B93" s="26">
        <v>45047</v>
      </c>
      <c r="C93" s="28">
        <v>15903</v>
      </c>
      <c r="D93" s="6" t="str">
        <f t="shared" si="0"/>
        <v>BR</v>
      </c>
    </row>
    <row r="94" spans="1:6">
      <c r="A94" t="s">
        <v>175</v>
      </c>
      <c r="B94" s="26">
        <v>45078</v>
      </c>
      <c r="C94" s="28">
        <v>171997</v>
      </c>
      <c r="D94" s="6" t="str">
        <f t="shared" si="0"/>
        <v>BR</v>
      </c>
    </row>
    <row r="95" spans="1:6">
      <c r="A95" t="s">
        <v>176</v>
      </c>
      <c r="B95" s="26">
        <v>45078</v>
      </c>
      <c r="C95" s="28">
        <v>0</v>
      </c>
      <c r="D95" s="6" t="str">
        <f t="shared" si="0"/>
        <v>EU</v>
      </c>
    </row>
    <row r="96" spans="1:6">
      <c r="A96" t="s">
        <v>177</v>
      </c>
      <c r="B96" s="26">
        <v>45078</v>
      </c>
      <c r="C96" s="28">
        <v>26408</v>
      </c>
      <c r="D96" s="6" t="str">
        <f t="shared" si="0"/>
        <v>CN</v>
      </c>
    </row>
    <row r="97" spans="1:4">
      <c r="A97" t="s">
        <v>185</v>
      </c>
      <c r="B97" s="26">
        <v>45078</v>
      </c>
      <c r="C97" s="28">
        <v>285600</v>
      </c>
      <c r="D97" s="6" t="str">
        <f t="shared" si="0"/>
        <v>EU</v>
      </c>
    </row>
    <row r="98" spans="1:4">
      <c r="A98" t="s">
        <v>186</v>
      </c>
      <c r="B98" s="26">
        <v>45078</v>
      </c>
      <c r="C98" s="28">
        <v>0</v>
      </c>
      <c r="D98" s="6" t="str">
        <f t="shared" si="0"/>
        <v>CN</v>
      </c>
    </row>
    <row r="99" spans="1:4">
      <c r="A99" t="s">
        <v>178</v>
      </c>
      <c r="B99" s="26">
        <v>45078</v>
      </c>
      <c r="C99" s="28">
        <v>24136</v>
      </c>
      <c r="D99" s="6" t="str">
        <f t="shared" si="0"/>
        <v>EU</v>
      </c>
    </row>
    <row r="100" spans="1:4">
      <c r="A100" t="s">
        <v>179</v>
      </c>
      <c r="B100" s="26">
        <v>45078</v>
      </c>
      <c r="C100" s="28">
        <v>44339</v>
      </c>
      <c r="D100" s="6" t="str">
        <f t="shared" si="0"/>
        <v>EU</v>
      </c>
    </row>
    <row r="101" spans="1:4">
      <c r="A101" t="s">
        <v>180</v>
      </c>
      <c r="B101" s="26">
        <v>45078</v>
      </c>
      <c r="C101" s="28">
        <v>143373</v>
      </c>
      <c r="D101" s="6" t="str">
        <f t="shared" si="0"/>
        <v>EU</v>
      </c>
    </row>
    <row r="102" spans="1:4">
      <c r="A102" t="s">
        <v>181</v>
      </c>
      <c r="B102" s="26">
        <v>45078</v>
      </c>
      <c r="C102" s="28">
        <v>19294</v>
      </c>
      <c r="D102" s="6" t="str">
        <f t="shared" si="0"/>
        <v>EU</v>
      </c>
    </row>
    <row r="103" spans="1:4">
      <c r="A103" t="s">
        <v>182</v>
      </c>
      <c r="B103" s="26">
        <v>45078</v>
      </c>
      <c r="C103" s="28">
        <v>775338</v>
      </c>
      <c r="D103" s="6" t="str">
        <f t="shared" ref="D103:D166" si="1">VLOOKUP(A103,$M$171:$N$181,2,0)</f>
        <v>CN</v>
      </c>
    </row>
    <row r="104" spans="1:4">
      <c r="A104" t="s">
        <v>183</v>
      </c>
      <c r="B104" s="26">
        <v>45078</v>
      </c>
      <c r="C104" s="28">
        <v>28259</v>
      </c>
      <c r="D104" s="6" t="str">
        <f t="shared" si="1"/>
        <v>BR</v>
      </c>
    </row>
    <row r="105" spans="1:4">
      <c r="A105" t="s">
        <v>175</v>
      </c>
      <c r="B105" s="26">
        <v>45108</v>
      </c>
      <c r="C105" s="28">
        <v>104107</v>
      </c>
      <c r="D105" s="6" t="str">
        <f t="shared" si="1"/>
        <v>BR</v>
      </c>
    </row>
    <row r="106" spans="1:4">
      <c r="A106" t="s">
        <v>176</v>
      </c>
      <c r="B106" s="26">
        <v>45108</v>
      </c>
      <c r="C106" s="28">
        <v>0</v>
      </c>
      <c r="D106" s="6" t="str">
        <f t="shared" si="1"/>
        <v>EU</v>
      </c>
    </row>
    <row r="107" spans="1:4">
      <c r="A107" t="s">
        <v>177</v>
      </c>
      <c r="B107" s="26">
        <v>45108</v>
      </c>
      <c r="C107" s="28">
        <v>0</v>
      </c>
      <c r="D107" s="6" t="str">
        <f t="shared" si="1"/>
        <v>CN</v>
      </c>
    </row>
    <row r="108" spans="1:4">
      <c r="A108" t="s">
        <v>185</v>
      </c>
      <c r="B108" s="26">
        <v>45108</v>
      </c>
      <c r="C108" s="28">
        <v>49304</v>
      </c>
      <c r="D108" s="6" t="str">
        <f t="shared" si="1"/>
        <v>EU</v>
      </c>
    </row>
    <row r="109" spans="1:4">
      <c r="A109" t="s">
        <v>186</v>
      </c>
      <c r="B109" s="26">
        <v>45108</v>
      </c>
      <c r="C109" s="28">
        <v>0</v>
      </c>
      <c r="D109" s="6" t="str">
        <f t="shared" si="1"/>
        <v>CN</v>
      </c>
    </row>
    <row r="110" spans="1:4">
      <c r="A110" t="s">
        <v>178</v>
      </c>
      <c r="B110" s="26">
        <v>45108</v>
      </c>
      <c r="C110" s="28">
        <v>96860</v>
      </c>
      <c r="D110" s="6" t="str">
        <f t="shared" si="1"/>
        <v>EU</v>
      </c>
    </row>
    <row r="111" spans="1:4">
      <c r="A111" t="s">
        <v>179</v>
      </c>
      <c r="B111" s="26">
        <v>45108</v>
      </c>
      <c r="C111" s="28">
        <v>67023</v>
      </c>
      <c r="D111" s="6" t="str">
        <f t="shared" si="1"/>
        <v>EU</v>
      </c>
    </row>
    <row r="112" spans="1:4">
      <c r="A112" t="s">
        <v>180</v>
      </c>
      <c r="B112" s="26">
        <v>45108</v>
      </c>
      <c r="C112" s="28">
        <v>23180</v>
      </c>
      <c r="D112" s="6" t="str">
        <f t="shared" si="1"/>
        <v>EU</v>
      </c>
    </row>
    <row r="113" spans="1:4">
      <c r="A113" t="s">
        <v>181</v>
      </c>
      <c r="B113" s="26">
        <v>45108</v>
      </c>
      <c r="C113" s="28">
        <v>23336</v>
      </c>
      <c r="D113" s="6" t="str">
        <f t="shared" si="1"/>
        <v>EU</v>
      </c>
    </row>
    <row r="114" spans="1:4">
      <c r="A114" t="s">
        <v>182</v>
      </c>
      <c r="B114" s="26">
        <v>45108</v>
      </c>
      <c r="C114" s="28">
        <v>150327</v>
      </c>
      <c r="D114" s="6" t="str">
        <f t="shared" si="1"/>
        <v>CN</v>
      </c>
    </row>
    <row r="115" spans="1:4">
      <c r="A115" t="s">
        <v>183</v>
      </c>
      <c r="B115" s="26">
        <v>45108</v>
      </c>
      <c r="C115" s="28">
        <v>39751</v>
      </c>
      <c r="D115" s="6" t="str">
        <f t="shared" si="1"/>
        <v>BR</v>
      </c>
    </row>
    <row r="116" spans="1:4">
      <c r="A116" t="s">
        <v>175</v>
      </c>
      <c r="B116" s="26">
        <v>45139</v>
      </c>
      <c r="C116" s="28">
        <v>27675</v>
      </c>
      <c r="D116" s="6" t="str">
        <f t="shared" si="1"/>
        <v>BR</v>
      </c>
    </row>
    <row r="117" spans="1:4">
      <c r="A117" t="s">
        <v>176</v>
      </c>
      <c r="B117" s="26">
        <v>45139</v>
      </c>
      <c r="C117" s="28">
        <v>0</v>
      </c>
      <c r="D117" s="6" t="str">
        <f t="shared" si="1"/>
        <v>EU</v>
      </c>
    </row>
    <row r="118" spans="1:4">
      <c r="A118" t="s">
        <v>177</v>
      </c>
      <c r="B118" s="26">
        <v>45139</v>
      </c>
      <c r="C118" s="28">
        <v>0</v>
      </c>
      <c r="D118" s="6" t="str">
        <f t="shared" si="1"/>
        <v>CN</v>
      </c>
    </row>
    <row r="119" spans="1:4">
      <c r="A119" t="s">
        <v>185</v>
      </c>
      <c r="B119" s="26">
        <v>45139</v>
      </c>
      <c r="C119" s="28">
        <v>0</v>
      </c>
      <c r="D119" s="6" t="str">
        <f t="shared" si="1"/>
        <v>EU</v>
      </c>
    </row>
    <row r="120" spans="1:4">
      <c r="A120" t="s">
        <v>186</v>
      </c>
      <c r="B120" s="26">
        <v>45139</v>
      </c>
      <c r="C120" s="28">
        <v>0</v>
      </c>
      <c r="D120" s="6" t="str">
        <f t="shared" si="1"/>
        <v>CN</v>
      </c>
    </row>
    <row r="121" spans="1:4">
      <c r="A121" t="s">
        <v>178</v>
      </c>
      <c r="B121" s="26">
        <v>45139</v>
      </c>
      <c r="C121" s="28">
        <v>98488</v>
      </c>
      <c r="D121" s="6" t="str">
        <f t="shared" si="1"/>
        <v>EU</v>
      </c>
    </row>
    <row r="122" spans="1:4">
      <c r="A122" t="s">
        <v>179</v>
      </c>
      <c r="B122" s="26">
        <v>45139</v>
      </c>
      <c r="C122" s="28">
        <v>107195</v>
      </c>
      <c r="D122" s="6" t="str">
        <f t="shared" si="1"/>
        <v>EU</v>
      </c>
    </row>
    <row r="123" spans="1:4">
      <c r="A123" t="s">
        <v>180</v>
      </c>
      <c r="B123" s="26">
        <v>45139</v>
      </c>
      <c r="C123" s="28">
        <v>47782</v>
      </c>
      <c r="D123" s="6" t="str">
        <f t="shared" si="1"/>
        <v>EU</v>
      </c>
    </row>
    <row r="124" spans="1:4">
      <c r="A124" t="s">
        <v>181</v>
      </c>
      <c r="B124" s="26">
        <v>45139</v>
      </c>
      <c r="C124" s="28">
        <v>0</v>
      </c>
      <c r="D124" s="6" t="str">
        <f t="shared" si="1"/>
        <v>EU</v>
      </c>
    </row>
    <row r="125" spans="1:4">
      <c r="A125" t="s">
        <v>182</v>
      </c>
      <c r="B125" s="26">
        <v>45139</v>
      </c>
      <c r="C125" s="28">
        <v>679076</v>
      </c>
      <c r="D125" s="6" t="str">
        <f t="shared" si="1"/>
        <v>CN</v>
      </c>
    </row>
    <row r="126" spans="1:4">
      <c r="A126" t="s">
        <v>183</v>
      </c>
      <c r="B126" s="26">
        <v>45139</v>
      </c>
      <c r="C126" s="28">
        <v>73370</v>
      </c>
      <c r="D126" s="6" t="str">
        <f t="shared" si="1"/>
        <v>BR</v>
      </c>
    </row>
    <row r="127" spans="1:4">
      <c r="A127" t="s">
        <v>175</v>
      </c>
      <c r="B127" s="26">
        <v>45170</v>
      </c>
      <c r="C127" s="28">
        <v>115951</v>
      </c>
      <c r="D127" s="6" t="str">
        <f t="shared" si="1"/>
        <v>BR</v>
      </c>
    </row>
    <row r="128" spans="1:4">
      <c r="A128" t="s">
        <v>176</v>
      </c>
      <c r="B128" s="26">
        <v>45170</v>
      </c>
      <c r="C128" s="28">
        <v>0</v>
      </c>
      <c r="D128" s="6" t="str">
        <f t="shared" si="1"/>
        <v>EU</v>
      </c>
    </row>
    <row r="129" spans="1:4">
      <c r="A129" t="s">
        <v>177</v>
      </c>
      <c r="B129" s="26">
        <v>45170</v>
      </c>
      <c r="C129" s="28">
        <v>0</v>
      </c>
      <c r="D129" s="6" t="str">
        <f t="shared" si="1"/>
        <v>CN</v>
      </c>
    </row>
    <row r="130" spans="1:4">
      <c r="A130" t="s">
        <v>185</v>
      </c>
      <c r="B130" s="26">
        <v>45170</v>
      </c>
      <c r="C130" s="28">
        <v>48591</v>
      </c>
      <c r="D130" s="6" t="str">
        <f t="shared" si="1"/>
        <v>EU</v>
      </c>
    </row>
    <row r="131" spans="1:4">
      <c r="A131" t="s">
        <v>186</v>
      </c>
      <c r="B131" s="26">
        <v>45170</v>
      </c>
      <c r="C131" s="28">
        <v>0</v>
      </c>
      <c r="D131" s="6" t="str">
        <f t="shared" si="1"/>
        <v>CN</v>
      </c>
    </row>
    <row r="132" spans="1:4">
      <c r="A132" t="s">
        <v>178</v>
      </c>
      <c r="B132" s="26">
        <v>45170</v>
      </c>
      <c r="C132" s="28">
        <v>24955</v>
      </c>
      <c r="D132" s="6" t="str">
        <f t="shared" si="1"/>
        <v>EU</v>
      </c>
    </row>
    <row r="133" spans="1:4">
      <c r="A133" t="s">
        <v>179</v>
      </c>
      <c r="B133" s="26">
        <v>45170</v>
      </c>
      <c r="C133" s="28">
        <v>91335</v>
      </c>
      <c r="D133" s="6" t="str">
        <f t="shared" si="1"/>
        <v>EU</v>
      </c>
    </row>
    <row r="134" spans="1:4">
      <c r="A134" t="s">
        <v>180</v>
      </c>
      <c r="B134" s="26">
        <v>45170</v>
      </c>
      <c r="C134" s="28">
        <v>47032</v>
      </c>
      <c r="D134" s="6" t="str">
        <f t="shared" si="1"/>
        <v>EU</v>
      </c>
    </row>
    <row r="135" spans="1:4">
      <c r="A135" t="s">
        <v>181</v>
      </c>
      <c r="B135" s="26">
        <v>45170</v>
      </c>
      <c r="C135" s="28">
        <v>87109</v>
      </c>
      <c r="D135" s="6" t="str">
        <f t="shared" si="1"/>
        <v>EU</v>
      </c>
    </row>
    <row r="136" spans="1:4">
      <c r="A136" t="s">
        <v>182</v>
      </c>
      <c r="B136" s="26">
        <v>45170</v>
      </c>
      <c r="C136" s="28">
        <v>699823</v>
      </c>
      <c r="D136" s="6" t="str">
        <f t="shared" si="1"/>
        <v>CN</v>
      </c>
    </row>
    <row r="137" spans="1:4">
      <c r="A137" t="s">
        <v>183</v>
      </c>
      <c r="B137" s="26">
        <v>45170</v>
      </c>
      <c r="C137" s="28">
        <v>0</v>
      </c>
      <c r="D137" s="6" t="str">
        <f t="shared" si="1"/>
        <v>BR</v>
      </c>
    </row>
    <row r="138" spans="1:4">
      <c r="A138" t="s">
        <v>175</v>
      </c>
      <c r="B138" s="26">
        <v>45200</v>
      </c>
      <c r="C138" s="28">
        <v>76835</v>
      </c>
      <c r="D138" s="6" t="str">
        <f t="shared" si="1"/>
        <v>BR</v>
      </c>
    </row>
    <row r="139" spans="1:4">
      <c r="A139" t="s">
        <v>176</v>
      </c>
      <c r="B139" s="26">
        <v>45200</v>
      </c>
      <c r="C139" s="28">
        <v>0</v>
      </c>
      <c r="D139" s="6" t="str">
        <f t="shared" si="1"/>
        <v>EU</v>
      </c>
    </row>
    <row r="140" spans="1:4">
      <c r="A140" t="s">
        <v>177</v>
      </c>
      <c r="B140" s="26">
        <v>45200</v>
      </c>
      <c r="C140" s="28">
        <v>202939</v>
      </c>
      <c r="D140" s="6" t="str">
        <f t="shared" si="1"/>
        <v>CN</v>
      </c>
    </row>
    <row r="141" spans="1:4">
      <c r="A141" t="s">
        <v>185</v>
      </c>
      <c r="B141" s="26">
        <v>45200</v>
      </c>
      <c r="C141" s="28">
        <v>0</v>
      </c>
      <c r="D141" s="6" t="str">
        <f t="shared" si="1"/>
        <v>EU</v>
      </c>
    </row>
    <row r="142" spans="1:4">
      <c r="A142" t="s">
        <v>186</v>
      </c>
      <c r="B142" s="26">
        <v>45200</v>
      </c>
      <c r="C142" s="28">
        <v>0</v>
      </c>
      <c r="D142" s="6" t="str">
        <f t="shared" si="1"/>
        <v>CN</v>
      </c>
    </row>
    <row r="143" spans="1:4">
      <c r="A143" t="s">
        <v>178</v>
      </c>
      <c r="B143" s="26">
        <v>45200</v>
      </c>
      <c r="C143" s="28">
        <v>99843</v>
      </c>
      <c r="D143" s="6" t="str">
        <f t="shared" si="1"/>
        <v>EU</v>
      </c>
    </row>
    <row r="144" spans="1:4">
      <c r="A144" t="s">
        <v>179</v>
      </c>
      <c r="B144" s="26">
        <v>45200</v>
      </c>
      <c r="C144" s="28">
        <v>178034</v>
      </c>
      <c r="D144" s="6" t="str">
        <f t="shared" si="1"/>
        <v>EU</v>
      </c>
    </row>
    <row r="145" spans="1:4">
      <c r="A145" t="s">
        <v>180</v>
      </c>
      <c r="B145" s="26">
        <v>45200</v>
      </c>
      <c r="C145" s="28">
        <v>96105</v>
      </c>
      <c r="D145" s="6" t="str">
        <f t="shared" si="1"/>
        <v>EU</v>
      </c>
    </row>
    <row r="146" spans="1:4">
      <c r="A146" t="s">
        <v>181</v>
      </c>
      <c r="B146" s="26">
        <v>45200</v>
      </c>
      <c r="C146" s="28">
        <v>22746</v>
      </c>
      <c r="D146" s="6" t="str">
        <f t="shared" si="1"/>
        <v>EU</v>
      </c>
    </row>
    <row r="147" spans="1:4">
      <c r="A147" t="s">
        <v>182</v>
      </c>
      <c r="B147" s="26">
        <v>45200</v>
      </c>
      <c r="C147" s="28">
        <v>349784</v>
      </c>
      <c r="D147" s="6" t="str">
        <f t="shared" si="1"/>
        <v>CN</v>
      </c>
    </row>
    <row r="148" spans="1:4">
      <c r="A148" t="s">
        <v>183</v>
      </c>
      <c r="B148" s="26">
        <v>45200</v>
      </c>
      <c r="C148" s="28">
        <v>24288</v>
      </c>
      <c r="D148" s="6" t="str">
        <f t="shared" si="1"/>
        <v>BR</v>
      </c>
    </row>
    <row r="149" spans="1:4">
      <c r="A149" t="s">
        <v>175</v>
      </c>
      <c r="B149" s="26">
        <v>45231</v>
      </c>
      <c r="C149" s="28">
        <v>24912</v>
      </c>
      <c r="D149" s="6" t="str">
        <f t="shared" si="1"/>
        <v>BR</v>
      </c>
    </row>
    <row r="150" spans="1:4">
      <c r="A150" t="s">
        <v>176</v>
      </c>
      <c r="B150" s="26">
        <v>45231</v>
      </c>
      <c r="C150" s="28">
        <v>49058</v>
      </c>
      <c r="D150" s="6" t="str">
        <f t="shared" si="1"/>
        <v>EU</v>
      </c>
    </row>
    <row r="151" spans="1:4">
      <c r="A151" t="s">
        <v>177</v>
      </c>
      <c r="B151" s="26">
        <v>45231</v>
      </c>
      <c r="C151" s="28">
        <v>147064</v>
      </c>
      <c r="D151" s="6" t="str">
        <f t="shared" si="1"/>
        <v>CN</v>
      </c>
    </row>
    <row r="152" spans="1:4">
      <c r="A152" t="s">
        <v>185</v>
      </c>
      <c r="B152" s="26">
        <v>45231</v>
      </c>
      <c r="C152" s="28">
        <v>0</v>
      </c>
      <c r="D152" s="6" t="str">
        <f t="shared" si="1"/>
        <v>EU</v>
      </c>
    </row>
    <row r="153" spans="1:4">
      <c r="A153" t="s">
        <v>186</v>
      </c>
      <c r="B153" s="26">
        <v>45231</v>
      </c>
      <c r="C153" s="28">
        <v>0</v>
      </c>
      <c r="D153" s="6" t="str">
        <f t="shared" si="1"/>
        <v>CN</v>
      </c>
    </row>
    <row r="154" spans="1:4">
      <c r="A154" t="s">
        <v>178</v>
      </c>
      <c r="B154" s="26">
        <v>45231</v>
      </c>
      <c r="C154" s="28">
        <v>299877</v>
      </c>
      <c r="D154" s="6" t="str">
        <f t="shared" si="1"/>
        <v>EU</v>
      </c>
    </row>
    <row r="155" spans="1:4">
      <c r="A155" t="s">
        <v>179</v>
      </c>
      <c r="B155" s="26">
        <v>45231</v>
      </c>
      <c r="C155" s="28">
        <v>42978</v>
      </c>
      <c r="D155" s="6" t="str">
        <f t="shared" si="1"/>
        <v>EU</v>
      </c>
    </row>
    <row r="156" spans="1:4">
      <c r="A156" t="s">
        <v>180</v>
      </c>
      <c r="B156" s="26">
        <v>45231</v>
      </c>
      <c r="C156" s="28">
        <v>72619</v>
      </c>
      <c r="D156" s="6" t="str">
        <f t="shared" si="1"/>
        <v>EU</v>
      </c>
    </row>
    <row r="157" spans="1:4">
      <c r="A157" t="s">
        <v>181</v>
      </c>
      <c r="B157" s="26">
        <v>45231</v>
      </c>
      <c r="C157" s="28">
        <v>39605</v>
      </c>
      <c r="D157" s="6" t="str">
        <f t="shared" si="1"/>
        <v>EU</v>
      </c>
    </row>
    <row r="158" spans="1:4">
      <c r="A158" t="s">
        <v>182</v>
      </c>
      <c r="B158" s="26">
        <v>45231</v>
      </c>
      <c r="C158" s="28">
        <v>96988</v>
      </c>
      <c r="D158" s="6" t="str">
        <f t="shared" si="1"/>
        <v>CN</v>
      </c>
    </row>
    <row r="159" spans="1:4">
      <c r="A159" t="s">
        <v>183</v>
      </c>
      <c r="B159" s="26">
        <v>45231</v>
      </c>
      <c r="C159" s="28">
        <v>0</v>
      </c>
      <c r="D159" s="6" t="str">
        <f t="shared" si="1"/>
        <v>BR</v>
      </c>
    </row>
    <row r="160" spans="1:4">
      <c r="A160" t="s">
        <v>175</v>
      </c>
      <c r="B160" s="26">
        <v>45261</v>
      </c>
      <c r="C160" s="28">
        <v>70152</v>
      </c>
      <c r="D160" s="6" t="str">
        <f t="shared" si="1"/>
        <v>BR</v>
      </c>
    </row>
    <row r="161" spans="1:15">
      <c r="A161" t="s">
        <v>176</v>
      </c>
      <c r="B161" s="26">
        <v>45261</v>
      </c>
      <c r="C161" s="28">
        <v>0</v>
      </c>
      <c r="D161" s="6" t="str">
        <f t="shared" si="1"/>
        <v>EU</v>
      </c>
    </row>
    <row r="162" spans="1:15">
      <c r="A162" t="s">
        <v>177</v>
      </c>
      <c r="B162" s="26">
        <v>45261</v>
      </c>
      <c r="C162" s="28">
        <v>142375</v>
      </c>
      <c r="D162" s="6" t="str">
        <f t="shared" si="1"/>
        <v>CN</v>
      </c>
    </row>
    <row r="163" spans="1:15">
      <c r="A163" t="s">
        <v>185</v>
      </c>
      <c r="B163" s="26">
        <v>45261</v>
      </c>
      <c r="C163" s="28">
        <v>0</v>
      </c>
      <c r="D163" s="6" t="str">
        <f t="shared" si="1"/>
        <v>EU</v>
      </c>
    </row>
    <row r="164" spans="1:15">
      <c r="A164" t="s">
        <v>186</v>
      </c>
      <c r="B164" s="26">
        <v>45261</v>
      </c>
      <c r="C164" s="28">
        <v>0</v>
      </c>
      <c r="D164" s="6" t="str">
        <f t="shared" si="1"/>
        <v>CN</v>
      </c>
    </row>
    <row r="165" spans="1:15">
      <c r="A165" t="s">
        <v>178</v>
      </c>
      <c r="B165" s="26">
        <v>45261</v>
      </c>
      <c r="C165" s="28">
        <v>226533</v>
      </c>
      <c r="D165" s="6" t="str">
        <f t="shared" si="1"/>
        <v>EU</v>
      </c>
    </row>
    <row r="166" spans="1:15">
      <c r="A166" t="s">
        <v>179</v>
      </c>
      <c r="B166" s="26">
        <v>45261</v>
      </c>
      <c r="C166" s="28">
        <v>532458</v>
      </c>
      <c r="D166" s="6" t="str">
        <f t="shared" si="1"/>
        <v>EU</v>
      </c>
    </row>
    <row r="167" spans="1:15">
      <c r="A167" t="s">
        <v>180</v>
      </c>
      <c r="B167" s="26">
        <v>45261</v>
      </c>
      <c r="C167" s="28">
        <v>24226</v>
      </c>
      <c r="D167" s="6" t="str">
        <f t="shared" ref="D167:D170" si="2">VLOOKUP(A167,$M$171:$N$181,2,0)</f>
        <v>EU</v>
      </c>
    </row>
    <row r="168" spans="1:15">
      <c r="A168" t="s">
        <v>181</v>
      </c>
      <c r="B168" s="26">
        <v>45261</v>
      </c>
      <c r="C168" s="28">
        <v>22480</v>
      </c>
      <c r="D168" s="6" t="str">
        <f t="shared" si="2"/>
        <v>EU</v>
      </c>
    </row>
    <row r="169" spans="1:15">
      <c r="A169" t="s">
        <v>182</v>
      </c>
      <c r="B169" s="26">
        <v>45261</v>
      </c>
      <c r="C169" s="28">
        <v>345492</v>
      </c>
      <c r="D169" s="6" t="str">
        <f t="shared" si="2"/>
        <v>CN</v>
      </c>
    </row>
    <row r="170" spans="1:15">
      <c r="A170" t="s">
        <v>183</v>
      </c>
      <c r="B170" s="26">
        <v>45261</v>
      </c>
      <c r="C170" s="28">
        <v>26255</v>
      </c>
      <c r="D170" s="6" t="str">
        <f t="shared" si="2"/>
        <v>BR</v>
      </c>
    </row>
    <row r="171" spans="1:15">
      <c r="A171" t="s">
        <v>175</v>
      </c>
      <c r="B171" s="26">
        <v>45292</v>
      </c>
      <c r="C171" s="28">
        <v>105869</v>
      </c>
      <c r="D171" s="6" t="str">
        <f>VLOOKUP(A171,$M$171:$N$181,2,0)</f>
        <v>BR</v>
      </c>
      <c r="E171" s="6"/>
      <c r="M171" s="34" t="s">
        <v>175</v>
      </c>
      <c r="N171" s="36" t="s">
        <v>58</v>
      </c>
      <c r="O171" s="7"/>
    </row>
    <row r="172" spans="1:15">
      <c r="A172" t="s">
        <v>176</v>
      </c>
      <c r="B172" s="26">
        <v>45292</v>
      </c>
      <c r="C172" s="28">
        <v>0</v>
      </c>
      <c r="D172" s="6" t="str">
        <f t="shared" ref="D172:D230" si="3">VLOOKUP(A172,$M$171:$N$181,2,0)</f>
        <v>EU</v>
      </c>
      <c r="E172" s="6"/>
      <c r="M172" s="34" t="s">
        <v>176</v>
      </c>
      <c r="N172" s="36" t="s">
        <v>59</v>
      </c>
      <c r="O172" s="7"/>
    </row>
    <row r="173" spans="1:15">
      <c r="A173" t="s">
        <v>177</v>
      </c>
      <c r="B173" s="26">
        <v>45292</v>
      </c>
      <c r="C173" s="28">
        <v>224517</v>
      </c>
      <c r="D173" s="6" t="str">
        <f t="shared" si="3"/>
        <v>CN</v>
      </c>
      <c r="E173" s="6"/>
      <c r="M173" s="34" t="s">
        <v>177</v>
      </c>
      <c r="N173" s="36" t="s">
        <v>60</v>
      </c>
      <c r="O173" s="7"/>
    </row>
    <row r="174" spans="1:15">
      <c r="A174" t="s">
        <v>185</v>
      </c>
      <c r="B174" s="26">
        <v>45292</v>
      </c>
      <c r="C174" s="28">
        <v>0</v>
      </c>
      <c r="D174" s="6" t="str">
        <f t="shared" si="3"/>
        <v>EU</v>
      </c>
      <c r="E174" s="6"/>
      <c r="M174" s="34" t="s">
        <v>185</v>
      </c>
      <c r="N174" s="36" t="s">
        <v>59</v>
      </c>
      <c r="O174" s="7"/>
    </row>
    <row r="175" spans="1:15">
      <c r="A175" t="s">
        <v>186</v>
      </c>
      <c r="B175" s="26">
        <v>45292</v>
      </c>
      <c r="C175" s="28">
        <v>0</v>
      </c>
      <c r="D175" s="6" t="str">
        <f t="shared" si="3"/>
        <v>CN</v>
      </c>
      <c r="E175" s="6"/>
      <c r="M175" s="34" t="s">
        <v>186</v>
      </c>
      <c r="N175" s="36" t="s">
        <v>60</v>
      </c>
      <c r="O175" s="7"/>
    </row>
    <row r="176" spans="1:15">
      <c r="A176" t="s">
        <v>178</v>
      </c>
      <c r="B176" s="26">
        <v>45292</v>
      </c>
      <c r="C176" s="28">
        <v>75767</v>
      </c>
      <c r="D176" s="6" t="str">
        <f t="shared" si="3"/>
        <v>EU</v>
      </c>
      <c r="E176" s="6"/>
      <c r="M176" s="34" t="s">
        <v>178</v>
      </c>
      <c r="N176" s="36" t="s">
        <v>59</v>
      </c>
      <c r="O176" s="7"/>
    </row>
    <row r="177" spans="1:15">
      <c r="A177" t="s">
        <v>179</v>
      </c>
      <c r="B177" s="26">
        <v>45292</v>
      </c>
      <c r="C177" s="28">
        <v>353284</v>
      </c>
      <c r="D177" s="6" t="str">
        <f t="shared" si="3"/>
        <v>EU</v>
      </c>
      <c r="E177" s="6"/>
      <c r="M177" s="34" t="s">
        <v>179</v>
      </c>
      <c r="N177" s="36" t="s">
        <v>59</v>
      </c>
      <c r="O177" s="7"/>
    </row>
    <row r="178" spans="1:15">
      <c r="A178" t="s">
        <v>180</v>
      </c>
      <c r="B178" s="26">
        <v>45292</v>
      </c>
      <c r="C178" s="28">
        <v>24301</v>
      </c>
      <c r="D178" s="6" t="str">
        <f t="shared" si="3"/>
        <v>EU</v>
      </c>
      <c r="E178" s="6"/>
      <c r="M178" s="34" t="s">
        <v>180</v>
      </c>
      <c r="N178" s="36" t="s">
        <v>59</v>
      </c>
      <c r="O178" s="7"/>
    </row>
    <row r="179" spans="1:15">
      <c r="A179" t="s">
        <v>181</v>
      </c>
      <c r="B179" s="26">
        <v>45292</v>
      </c>
      <c r="C179" s="28">
        <v>44036</v>
      </c>
      <c r="D179" s="6" t="str">
        <f t="shared" si="3"/>
        <v>EU</v>
      </c>
      <c r="E179" s="6"/>
      <c r="M179" s="34" t="s">
        <v>181</v>
      </c>
      <c r="N179" s="36" t="s">
        <v>59</v>
      </c>
      <c r="O179" s="7"/>
    </row>
    <row r="180" spans="1:15">
      <c r="A180" t="s">
        <v>182</v>
      </c>
      <c r="B180" s="26">
        <v>45292</v>
      </c>
      <c r="C180" s="28">
        <v>228877</v>
      </c>
      <c r="D180" s="6" t="str">
        <f t="shared" si="3"/>
        <v>CN</v>
      </c>
      <c r="E180" s="6"/>
      <c r="M180" s="34" t="s">
        <v>182</v>
      </c>
      <c r="N180" s="36" t="s">
        <v>60</v>
      </c>
      <c r="O180" s="7"/>
    </row>
    <row r="181" spans="1:15">
      <c r="A181" t="s">
        <v>183</v>
      </c>
      <c r="B181" s="26">
        <v>45292</v>
      </c>
      <c r="C181" s="28">
        <v>0</v>
      </c>
      <c r="D181" s="6" t="str">
        <f t="shared" si="3"/>
        <v>BR</v>
      </c>
      <c r="E181" s="6"/>
      <c r="M181" s="34" t="s">
        <v>183</v>
      </c>
      <c r="N181" s="36" t="s">
        <v>58</v>
      </c>
      <c r="O181" s="7"/>
    </row>
    <row r="182" spans="1:15">
      <c r="A182" t="s">
        <v>175</v>
      </c>
      <c r="B182" s="26">
        <v>45323</v>
      </c>
      <c r="C182" s="28">
        <v>106874</v>
      </c>
      <c r="D182" s="6" t="str">
        <f t="shared" si="3"/>
        <v>BR</v>
      </c>
      <c r="E182" s="6"/>
      <c r="M182" s="34" t="s">
        <v>223</v>
      </c>
      <c r="N182" s="36" t="s">
        <v>208</v>
      </c>
    </row>
    <row r="183" spans="1:15">
      <c r="A183" t="s">
        <v>176</v>
      </c>
      <c r="B183" s="26">
        <v>45323</v>
      </c>
      <c r="C183" s="28">
        <v>0</v>
      </c>
      <c r="D183" s="6" t="str">
        <f t="shared" si="3"/>
        <v>EU</v>
      </c>
      <c r="E183" s="6"/>
    </row>
    <row r="184" spans="1:15">
      <c r="A184" t="s">
        <v>177</v>
      </c>
      <c r="B184" s="26">
        <v>45323</v>
      </c>
      <c r="C184" s="28">
        <v>0</v>
      </c>
      <c r="D184" s="6" t="str">
        <f t="shared" si="3"/>
        <v>CN</v>
      </c>
      <c r="E184" s="6"/>
    </row>
    <row r="185" spans="1:15">
      <c r="A185" t="s">
        <v>185</v>
      </c>
      <c r="B185" s="26">
        <v>45323</v>
      </c>
      <c r="C185" s="28">
        <v>0</v>
      </c>
      <c r="D185" s="6" t="str">
        <f t="shared" si="3"/>
        <v>EU</v>
      </c>
      <c r="E185" s="6"/>
    </row>
    <row r="186" spans="1:15">
      <c r="A186" t="s">
        <v>186</v>
      </c>
      <c r="B186" s="26">
        <v>45323</v>
      </c>
      <c r="C186" s="28">
        <v>0</v>
      </c>
      <c r="D186" s="6" t="str">
        <f t="shared" si="3"/>
        <v>CN</v>
      </c>
      <c r="E186" s="6"/>
    </row>
    <row r="187" spans="1:15">
      <c r="A187" t="s">
        <v>178</v>
      </c>
      <c r="B187" s="26">
        <v>45323</v>
      </c>
      <c r="C187" s="28">
        <v>75996</v>
      </c>
      <c r="D187" s="6" t="str">
        <f t="shared" si="3"/>
        <v>EU</v>
      </c>
      <c r="E187" s="6"/>
    </row>
    <row r="188" spans="1:15">
      <c r="A188" t="s">
        <v>179</v>
      </c>
      <c r="B188" s="26">
        <v>45323</v>
      </c>
      <c r="C188" s="28">
        <v>156730</v>
      </c>
      <c r="D188" s="6" t="str">
        <f t="shared" si="3"/>
        <v>EU</v>
      </c>
      <c r="E188" s="6"/>
    </row>
    <row r="189" spans="1:15">
      <c r="A189" t="s">
        <v>180</v>
      </c>
      <c r="B189" s="26">
        <v>45323</v>
      </c>
      <c r="C189" s="28">
        <v>46617</v>
      </c>
      <c r="D189" s="6" t="str">
        <f t="shared" si="3"/>
        <v>EU</v>
      </c>
      <c r="E189" s="6"/>
    </row>
    <row r="190" spans="1:15">
      <c r="A190" t="s">
        <v>181</v>
      </c>
      <c r="B190" s="26">
        <v>45323</v>
      </c>
      <c r="C190" s="28">
        <v>42846</v>
      </c>
      <c r="D190" s="6" t="str">
        <f t="shared" si="3"/>
        <v>EU</v>
      </c>
      <c r="E190" s="6"/>
    </row>
    <row r="191" spans="1:15">
      <c r="A191" t="s">
        <v>182</v>
      </c>
      <c r="B191" s="26">
        <v>45323</v>
      </c>
      <c r="C191" s="28">
        <v>226609</v>
      </c>
      <c r="D191" s="6" t="str">
        <f t="shared" si="3"/>
        <v>CN</v>
      </c>
      <c r="E191" s="6"/>
    </row>
    <row r="192" spans="1:15">
      <c r="A192" t="s">
        <v>183</v>
      </c>
      <c r="B192" s="26">
        <v>45323</v>
      </c>
      <c r="C192" s="28">
        <v>24067</v>
      </c>
      <c r="D192" s="6" t="str">
        <f t="shared" si="3"/>
        <v>BR</v>
      </c>
      <c r="E192" s="6"/>
    </row>
    <row r="193" spans="1:5">
      <c r="A193" t="s">
        <v>175</v>
      </c>
      <c r="B193" s="26">
        <v>45352</v>
      </c>
      <c r="C193" s="28">
        <v>43751</v>
      </c>
      <c r="D193" s="6" t="str">
        <f t="shared" si="3"/>
        <v>BR</v>
      </c>
      <c r="E193" s="6"/>
    </row>
    <row r="194" spans="1:5">
      <c r="A194" t="s">
        <v>176</v>
      </c>
      <c r="B194" s="26">
        <v>45352</v>
      </c>
      <c r="C194" s="28">
        <v>27920</v>
      </c>
      <c r="D194" s="6" t="str">
        <f t="shared" si="3"/>
        <v>EU</v>
      </c>
      <c r="E194" s="6"/>
    </row>
    <row r="195" spans="1:5">
      <c r="A195" t="s">
        <v>177</v>
      </c>
      <c r="B195" s="26">
        <v>45352</v>
      </c>
      <c r="C195" s="28">
        <v>50237</v>
      </c>
      <c r="D195" s="6" t="str">
        <f t="shared" si="3"/>
        <v>CN</v>
      </c>
      <c r="E195" s="6"/>
    </row>
    <row r="196" spans="1:5">
      <c r="A196" t="s">
        <v>185</v>
      </c>
      <c r="B196" s="26">
        <v>45352</v>
      </c>
      <c r="C196" s="28">
        <v>0</v>
      </c>
      <c r="D196" s="6" t="str">
        <f t="shared" si="3"/>
        <v>EU</v>
      </c>
      <c r="E196" s="6"/>
    </row>
    <row r="197" spans="1:5">
      <c r="A197" t="s">
        <v>186</v>
      </c>
      <c r="B197" s="26">
        <v>45352</v>
      </c>
      <c r="C197" s="28">
        <v>0</v>
      </c>
      <c r="D197" s="6" t="str">
        <f t="shared" si="3"/>
        <v>CN</v>
      </c>
      <c r="E197" s="6"/>
    </row>
    <row r="198" spans="1:5">
      <c r="A198" t="s">
        <v>178</v>
      </c>
      <c r="B198" s="26">
        <v>45352</v>
      </c>
      <c r="C198" s="28">
        <v>0</v>
      </c>
      <c r="D198" s="6" t="str">
        <f t="shared" si="3"/>
        <v>EU</v>
      </c>
      <c r="E198" s="6"/>
    </row>
    <row r="199" spans="1:5">
      <c r="A199" t="s">
        <v>179</v>
      </c>
      <c r="B199" s="26">
        <v>45352</v>
      </c>
      <c r="C199" s="28">
        <v>151200</v>
      </c>
      <c r="D199" s="6" t="str">
        <f t="shared" si="3"/>
        <v>EU</v>
      </c>
      <c r="E199" s="6"/>
    </row>
    <row r="200" spans="1:5">
      <c r="A200" t="s">
        <v>180</v>
      </c>
      <c r="B200" s="26">
        <v>45352</v>
      </c>
      <c r="C200" s="28">
        <v>24327</v>
      </c>
      <c r="D200" s="6" t="str">
        <f t="shared" si="3"/>
        <v>EU</v>
      </c>
      <c r="E200" s="6"/>
    </row>
    <row r="201" spans="1:5">
      <c r="A201" t="s">
        <v>181</v>
      </c>
      <c r="B201" s="26">
        <v>45352</v>
      </c>
      <c r="C201" s="28">
        <v>206576</v>
      </c>
      <c r="D201" s="6" t="str">
        <f t="shared" si="3"/>
        <v>EU</v>
      </c>
      <c r="E201" s="6"/>
    </row>
    <row r="202" spans="1:5">
      <c r="A202" t="s">
        <v>182</v>
      </c>
      <c r="B202" s="26">
        <v>45352</v>
      </c>
      <c r="C202" s="28">
        <v>430736</v>
      </c>
      <c r="D202" s="6" t="str">
        <f t="shared" si="3"/>
        <v>CN</v>
      </c>
      <c r="E202" s="6"/>
    </row>
    <row r="203" spans="1:5">
      <c r="A203" t="s">
        <v>183</v>
      </c>
      <c r="B203" s="26">
        <v>45352</v>
      </c>
      <c r="C203" s="28">
        <v>0</v>
      </c>
      <c r="D203" s="6" t="str">
        <f t="shared" si="3"/>
        <v>BR</v>
      </c>
      <c r="E203" s="6"/>
    </row>
    <row r="204" spans="1:5">
      <c r="A204" t="s">
        <v>175</v>
      </c>
      <c r="B204" s="26">
        <v>45383</v>
      </c>
      <c r="C204" s="28">
        <v>102176</v>
      </c>
      <c r="D204" s="6" t="str">
        <f t="shared" si="3"/>
        <v>BR</v>
      </c>
      <c r="E204" s="6"/>
    </row>
    <row r="205" spans="1:5">
      <c r="A205" t="s">
        <v>176</v>
      </c>
      <c r="B205" s="26">
        <v>45383</v>
      </c>
      <c r="C205" s="28">
        <v>0</v>
      </c>
      <c r="D205" s="6" t="str">
        <f t="shared" si="3"/>
        <v>EU</v>
      </c>
      <c r="E205" s="6"/>
    </row>
    <row r="206" spans="1:5">
      <c r="A206" t="s">
        <v>177</v>
      </c>
      <c r="B206" s="26">
        <v>45383</v>
      </c>
      <c r="C206" s="28">
        <v>203837</v>
      </c>
      <c r="D206" s="6" t="str">
        <f t="shared" si="3"/>
        <v>CN</v>
      </c>
      <c r="E206" s="6"/>
    </row>
    <row r="207" spans="1:5">
      <c r="A207" t="s">
        <v>178</v>
      </c>
      <c r="B207" s="26">
        <v>45383</v>
      </c>
      <c r="C207" s="28">
        <v>99338</v>
      </c>
      <c r="D207" s="6" t="str">
        <f t="shared" si="3"/>
        <v>EU</v>
      </c>
      <c r="E207" s="6"/>
    </row>
    <row r="208" spans="1:5">
      <c r="A208" t="s">
        <v>179</v>
      </c>
      <c r="B208" s="26">
        <v>45383</v>
      </c>
      <c r="C208" s="28">
        <v>0</v>
      </c>
      <c r="D208" s="6" t="str">
        <f t="shared" si="3"/>
        <v>EU</v>
      </c>
      <c r="E208" s="6"/>
    </row>
    <row r="209" spans="1:5">
      <c r="A209" t="s">
        <v>180</v>
      </c>
      <c r="B209" s="26">
        <v>45383</v>
      </c>
      <c r="C209" s="28">
        <v>48186</v>
      </c>
      <c r="D209" s="6" t="str">
        <f t="shared" si="3"/>
        <v>EU</v>
      </c>
      <c r="E209" s="6"/>
    </row>
    <row r="210" spans="1:5">
      <c r="A210" t="s">
        <v>181</v>
      </c>
      <c r="B210" s="26">
        <v>45383</v>
      </c>
      <c r="C210" s="28">
        <v>23255</v>
      </c>
      <c r="D210" s="6" t="str">
        <f t="shared" si="3"/>
        <v>EU</v>
      </c>
      <c r="E210" s="6"/>
    </row>
    <row r="211" spans="1:5">
      <c r="A211" t="s">
        <v>182</v>
      </c>
      <c r="B211" s="26">
        <v>45383</v>
      </c>
      <c r="C211" s="28">
        <v>272303</v>
      </c>
      <c r="D211" s="6" t="str">
        <f t="shared" si="3"/>
        <v>CN</v>
      </c>
      <c r="E211" s="6"/>
    </row>
    <row r="212" spans="1:5">
      <c r="A212" t="s">
        <v>183</v>
      </c>
      <c r="B212" s="26">
        <v>45383</v>
      </c>
      <c r="C212" s="28">
        <v>16541</v>
      </c>
      <c r="D212" s="6" t="str">
        <f t="shared" si="3"/>
        <v>BR</v>
      </c>
      <c r="E212" s="6"/>
    </row>
    <row r="213" spans="1:5">
      <c r="A213" t="s">
        <v>175</v>
      </c>
      <c r="B213" s="26">
        <v>45413</v>
      </c>
      <c r="C213" s="28">
        <v>125794</v>
      </c>
      <c r="D213" s="6" t="str">
        <f t="shared" si="3"/>
        <v>BR</v>
      </c>
      <c r="E213" s="6"/>
    </row>
    <row r="214" spans="1:5">
      <c r="A214" t="s">
        <v>176</v>
      </c>
      <c r="B214" s="26">
        <v>45413</v>
      </c>
      <c r="C214" s="28">
        <v>0</v>
      </c>
      <c r="D214" s="6" t="str">
        <f t="shared" si="3"/>
        <v>EU</v>
      </c>
      <c r="E214" s="6"/>
    </row>
    <row r="215" spans="1:5">
      <c r="A215" t="s">
        <v>177</v>
      </c>
      <c r="B215" s="26">
        <v>45413</v>
      </c>
      <c r="C215" s="28">
        <v>0</v>
      </c>
      <c r="D215" s="6" t="str">
        <f t="shared" si="3"/>
        <v>CN</v>
      </c>
      <c r="E215" s="6"/>
    </row>
    <row r="216" spans="1:5">
      <c r="A216" t="s">
        <v>178</v>
      </c>
      <c r="B216" s="26">
        <v>45413</v>
      </c>
      <c r="C216" s="28">
        <v>75986</v>
      </c>
      <c r="D216" s="6" t="str">
        <f t="shared" si="3"/>
        <v>EU</v>
      </c>
      <c r="E216" s="6"/>
    </row>
    <row r="217" spans="1:5">
      <c r="A217" t="s">
        <v>179</v>
      </c>
      <c r="B217" s="26">
        <v>45413</v>
      </c>
      <c r="C217" s="28">
        <v>154443</v>
      </c>
      <c r="D217" s="6" t="str">
        <f t="shared" si="3"/>
        <v>EU</v>
      </c>
      <c r="E217" s="6"/>
    </row>
    <row r="218" spans="1:5">
      <c r="A218" t="s">
        <v>180</v>
      </c>
      <c r="B218" s="26">
        <v>45413</v>
      </c>
      <c r="C218" s="28">
        <v>48281</v>
      </c>
      <c r="D218" s="6" t="str">
        <f t="shared" si="3"/>
        <v>EU</v>
      </c>
      <c r="E218" s="6"/>
    </row>
    <row r="219" spans="1:5">
      <c r="A219" t="s">
        <v>181</v>
      </c>
      <c r="B219" s="26">
        <v>45413</v>
      </c>
      <c r="C219" s="28">
        <v>65699</v>
      </c>
      <c r="D219" s="6" t="str">
        <f t="shared" si="3"/>
        <v>EU</v>
      </c>
      <c r="E219" s="6"/>
    </row>
    <row r="220" spans="1:5">
      <c r="A220" t="s">
        <v>182</v>
      </c>
      <c r="B220" s="26">
        <v>45413</v>
      </c>
      <c r="C220" s="28">
        <v>312092</v>
      </c>
      <c r="D220" s="6" t="str">
        <f t="shared" si="3"/>
        <v>CN</v>
      </c>
      <c r="E220" s="6"/>
    </row>
    <row r="221" spans="1:5">
      <c r="A221" t="s">
        <v>183</v>
      </c>
      <c r="B221" s="26">
        <v>45413</v>
      </c>
      <c r="C221" s="28">
        <v>21933</v>
      </c>
      <c r="D221" s="6" t="str">
        <f t="shared" si="3"/>
        <v>BR</v>
      </c>
      <c r="E221" s="6"/>
    </row>
    <row r="222" spans="1:5">
      <c r="A222" t="s">
        <v>175</v>
      </c>
      <c r="B222" s="26">
        <v>45444</v>
      </c>
      <c r="C222" s="28">
        <v>106055</v>
      </c>
      <c r="D222" s="6" t="str">
        <f t="shared" si="3"/>
        <v>BR</v>
      </c>
      <c r="E222" s="6"/>
    </row>
    <row r="223" spans="1:5">
      <c r="A223" t="s">
        <v>176</v>
      </c>
      <c r="B223" s="26">
        <v>45444</v>
      </c>
      <c r="C223" s="28">
        <v>0</v>
      </c>
      <c r="D223" s="6" t="str">
        <f t="shared" si="3"/>
        <v>EU</v>
      </c>
      <c r="E223" s="6"/>
    </row>
    <row r="224" spans="1:5">
      <c r="A224" t="s">
        <v>177</v>
      </c>
      <c r="B224" s="26">
        <v>45444</v>
      </c>
      <c r="C224" s="28">
        <v>92420</v>
      </c>
      <c r="D224" s="6" t="str">
        <f t="shared" si="3"/>
        <v>CN</v>
      </c>
      <c r="E224" s="6"/>
    </row>
    <row r="225" spans="1:5">
      <c r="A225" t="s">
        <v>178</v>
      </c>
      <c r="B225" s="26">
        <v>45444</v>
      </c>
      <c r="C225" s="28">
        <v>50331</v>
      </c>
      <c r="D225" s="6" t="str">
        <f t="shared" si="3"/>
        <v>EU</v>
      </c>
      <c r="E225" s="6"/>
    </row>
    <row r="226" spans="1:5">
      <c r="A226" t="s">
        <v>179</v>
      </c>
      <c r="B226" s="26">
        <v>45444</v>
      </c>
      <c r="C226" s="28">
        <v>368870</v>
      </c>
      <c r="D226" s="6" t="str">
        <f t="shared" si="3"/>
        <v>EU</v>
      </c>
    </row>
    <row r="227" spans="1:5">
      <c r="A227" t="s">
        <v>180</v>
      </c>
      <c r="B227" s="26">
        <v>45444</v>
      </c>
      <c r="C227" s="28">
        <v>71945</v>
      </c>
      <c r="D227" s="6" t="str">
        <f t="shared" si="3"/>
        <v>EU</v>
      </c>
    </row>
    <row r="228" spans="1:5">
      <c r="A228" t="s">
        <v>181</v>
      </c>
      <c r="B228" s="26">
        <v>45444</v>
      </c>
      <c r="C228" s="28">
        <v>42109</v>
      </c>
      <c r="D228" s="6" t="str">
        <f t="shared" si="3"/>
        <v>EU</v>
      </c>
    </row>
    <row r="229" spans="1:5">
      <c r="A229" t="s">
        <v>182</v>
      </c>
      <c r="B229" s="26">
        <v>45444</v>
      </c>
      <c r="C229" s="28">
        <v>46929</v>
      </c>
      <c r="D229" s="6" t="str">
        <f t="shared" si="3"/>
        <v>CN</v>
      </c>
    </row>
    <row r="230" spans="1:5">
      <c r="A230" t="s">
        <v>183</v>
      </c>
      <c r="B230" s="26">
        <v>45444</v>
      </c>
      <c r="C230" s="28">
        <v>3483</v>
      </c>
      <c r="D230" s="6" t="str">
        <f t="shared" si="3"/>
        <v>BR</v>
      </c>
    </row>
    <row r="231" spans="1:5">
      <c r="A231" t="s">
        <v>175</v>
      </c>
      <c r="B231" s="26">
        <v>45474</v>
      </c>
      <c r="C231" s="28">
        <v>289344</v>
      </c>
      <c r="D231" s="6" t="str">
        <f t="shared" ref="D231:D239" si="4">VLOOKUP(A231,$M$171:$N$181,2,0)</f>
        <v>BR</v>
      </c>
    </row>
    <row r="232" spans="1:5">
      <c r="A232" t="s">
        <v>176</v>
      </c>
      <c r="B232" s="26">
        <v>45474</v>
      </c>
      <c r="C232" s="28">
        <v>0</v>
      </c>
      <c r="D232" s="6" t="str">
        <f t="shared" si="4"/>
        <v>EU</v>
      </c>
    </row>
    <row r="233" spans="1:5">
      <c r="A233" t="s">
        <v>177</v>
      </c>
      <c r="B233" s="26">
        <v>45474</v>
      </c>
      <c r="C233" s="28">
        <v>76797</v>
      </c>
      <c r="D233" s="6" t="str">
        <f t="shared" si="4"/>
        <v>CN</v>
      </c>
    </row>
    <row r="234" spans="1:5">
      <c r="A234" t="s">
        <v>178</v>
      </c>
      <c r="B234" s="26">
        <v>45474</v>
      </c>
      <c r="C234" s="28">
        <v>75027</v>
      </c>
      <c r="D234" s="6" t="str">
        <f t="shared" si="4"/>
        <v>EU</v>
      </c>
    </row>
    <row r="235" spans="1:5">
      <c r="A235" t="s">
        <v>179</v>
      </c>
      <c r="B235" s="26">
        <v>45474</v>
      </c>
      <c r="C235" s="28">
        <v>153503</v>
      </c>
      <c r="D235" s="6" t="str">
        <f t="shared" si="4"/>
        <v>EU</v>
      </c>
    </row>
    <row r="236" spans="1:5">
      <c r="A236" t="s">
        <v>180</v>
      </c>
      <c r="B236" s="26">
        <v>45474</v>
      </c>
      <c r="C236" s="28">
        <v>20857</v>
      </c>
      <c r="D236" s="6" t="str">
        <f t="shared" si="4"/>
        <v>EU</v>
      </c>
    </row>
    <row r="237" spans="1:5">
      <c r="A237" t="s">
        <v>181</v>
      </c>
      <c r="B237" s="26">
        <v>45474</v>
      </c>
      <c r="C237" s="28">
        <v>132635</v>
      </c>
      <c r="D237" s="6" t="str">
        <f t="shared" si="4"/>
        <v>EU</v>
      </c>
    </row>
    <row r="238" spans="1:5">
      <c r="A238" t="s">
        <v>182</v>
      </c>
      <c r="B238" s="26">
        <v>45474</v>
      </c>
      <c r="C238" s="28">
        <v>123336</v>
      </c>
      <c r="D238" s="6" t="str">
        <f t="shared" si="4"/>
        <v>CN</v>
      </c>
    </row>
    <row r="239" spans="1:5">
      <c r="A239" t="s">
        <v>183</v>
      </c>
      <c r="B239" s="26">
        <v>45474</v>
      </c>
      <c r="C239" s="28">
        <v>0</v>
      </c>
      <c r="D239" s="6" t="str">
        <f t="shared" si="4"/>
        <v>BR</v>
      </c>
    </row>
    <row r="240" spans="1:5">
      <c r="A240" t="s">
        <v>175</v>
      </c>
      <c r="B240" s="26">
        <v>45505</v>
      </c>
      <c r="C240" s="28">
        <v>224112</v>
      </c>
      <c r="D240" s="6" t="str">
        <f t="shared" ref="D240:D256" si="5">VLOOKUP(A240,$M$171:$N$181,2,0)</f>
        <v>BR</v>
      </c>
    </row>
    <row r="241" spans="1:4">
      <c r="A241" t="s">
        <v>176</v>
      </c>
      <c r="B241" s="26">
        <v>45505</v>
      </c>
      <c r="C241" s="28">
        <v>0</v>
      </c>
      <c r="D241" s="6" t="str">
        <f t="shared" si="5"/>
        <v>EU</v>
      </c>
    </row>
    <row r="242" spans="1:4">
      <c r="A242" t="s">
        <v>177</v>
      </c>
      <c r="B242" s="26">
        <v>45505</v>
      </c>
      <c r="C242" s="28">
        <v>154093</v>
      </c>
      <c r="D242" s="6" t="str">
        <f t="shared" si="5"/>
        <v>CN</v>
      </c>
    </row>
    <row r="243" spans="1:4">
      <c r="A243" t="s">
        <v>178</v>
      </c>
      <c r="B243" s="26">
        <v>45505</v>
      </c>
      <c r="C243" s="28">
        <v>74359</v>
      </c>
      <c r="D243" s="6" t="str">
        <f t="shared" si="5"/>
        <v>EU</v>
      </c>
    </row>
    <row r="244" spans="1:4">
      <c r="A244" t="s">
        <v>179</v>
      </c>
      <c r="B244" s="26">
        <v>45505</v>
      </c>
      <c r="C244" s="28">
        <v>134095</v>
      </c>
      <c r="D244" s="6" t="str">
        <f t="shared" si="5"/>
        <v>EU</v>
      </c>
    </row>
    <row r="245" spans="1:4">
      <c r="A245" t="s">
        <v>180</v>
      </c>
      <c r="B245" s="26">
        <v>45505</v>
      </c>
      <c r="C245" s="28">
        <f>68712+71271</f>
        <v>139983</v>
      </c>
      <c r="D245" s="6" t="str">
        <f t="shared" si="5"/>
        <v>EU</v>
      </c>
    </row>
    <row r="246" spans="1:4">
      <c r="A246" t="s">
        <v>181</v>
      </c>
      <c r="B246" s="26">
        <v>45505</v>
      </c>
      <c r="C246" s="28">
        <v>39500</v>
      </c>
      <c r="D246" s="6" t="str">
        <f t="shared" si="5"/>
        <v>EU</v>
      </c>
    </row>
    <row r="247" spans="1:4">
      <c r="A247" t="s">
        <v>182</v>
      </c>
      <c r="B247" s="26">
        <v>45505</v>
      </c>
      <c r="C247" s="28">
        <v>277295</v>
      </c>
      <c r="D247" s="6" t="str">
        <f t="shared" si="5"/>
        <v>CN</v>
      </c>
    </row>
    <row r="248" spans="1:4">
      <c r="A248" t="s">
        <v>183</v>
      </c>
      <c r="B248" s="26">
        <v>45505</v>
      </c>
      <c r="C248" s="28">
        <v>15548</v>
      </c>
      <c r="D248" s="6" t="str">
        <f t="shared" si="5"/>
        <v>BR</v>
      </c>
    </row>
    <row r="249" spans="1:4">
      <c r="A249" t="s">
        <v>175</v>
      </c>
      <c r="B249" s="26">
        <v>45536</v>
      </c>
      <c r="C249" s="28">
        <v>100394</v>
      </c>
      <c r="D249" s="6" t="str">
        <f t="shared" si="5"/>
        <v>BR</v>
      </c>
    </row>
    <row r="250" spans="1:4">
      <c r="A250" t="s">
        <v>176</v>
      </c>
      <c r="B250" s="26">
        <v>45536</v>
      </c>
      <c r="C250" s="28">
        <v>24973</v>
      </c>
      <c r="D250" s="6" t="str">
        <f t="shared" si="5"/>
        <v>EU</v>
      </c>
    </row>
    <row r="251" spans="1:4">
      <c r="A251" t="s">
        <v>177</v>
      </c>
      <c r="B251" s="26">
        <v>45536</v>
      </c>
      <c r="C251" s="28">
        <v>434247</v>
      </c>
      <c r="D251" s="6" t="str">
        <f t="shared" si="5"/>
        <v>CN</v>
      </c>
    </row>
    <row r="252" spans="1:4">
      <c r="A252" t="s">
        <v>178</v>
      </c>
      <c r="B252" s="26">
        <v>45536</v>
      </c>
      <c r="C252" s="28">
        <v>73778</v>
      </c>
      <c r="D252" s="6" t="str">
        <f t="shared" si="5"/>
        <v>EU</v>
      </c>
    </row>
    <row r="253" spans="1:4">
      <c r="A253" t="s">
        <v>179</v>
      </c>
      <c r="B253" s="26">
        <v>45536</v>
      </c>
      <c r="C253" s="28">
        <v>328414</v>
      </c>
      <c r="D253" s="6" t="str">
        <f t="shared" si="5"/>
        <v>EU</v>
      </c>
    </row>
    <row r="254" spans="1:4">
      <c r="A254" t="s">
        <v>180</v>
      </c>
      <c r="B254" s="26">
        <v>45536</v>
      </c>
      <c r="C254" s="28">
        <v>47903</v>
      </c>
      <c r="D254" s="6" t="str">
        <f t="shared" si="5"/>
        <v>EU</v>
      </c>
    </row>
    <row r="255" spans="1:4">
      <c r="A255" t="s">
        <v>181</v>
      </c>
      <c r="B255" s="26">
        <v>45536</v>
      </c>
      <c r="C255" s="28">
        <v>68827</v>
      </c>
      <c r="D255" s="6" t="str">
        <f>VLOOKUP(A255,$M$171:$N$181,2,0)</f>
        <v>EU</v>
      </c>
    </row>
    <row r="256" spans="1:4">
      <c r="A256" t="s">
        <v>182</v>
      </c>
      <c r="B256" s="26">
        <v>45536</v>
      </c>
      <c r="C256" s="28">
        <v>430479</v>
      </c>
      <c r="D256" s="6" t="str">
        <f t="shared" si="5"/>
        <v>CN</v>
      </c>
    </row>
    <row r="257" spans="1:4">
      <c r="A257" t="s">
        <v>183</v>
      </c>
      <c r="B257" s="26">
        <v>45536</v>
      </c>
      <c r="C257" s="28">
        <v>4824</v>
      </c>
      <c r="D257" s="6" t="str">
        <f>VLOOKUP(A257,$M$171:$N$181,2,0)</f>
        <v>BR</v>
      </c>
    </row>
    <row r="258" spans="1:4">
      <c r="A258" t="s">
        <v>223</v>
      </c>
      <c r="B258" s="26">
        <v>45536</v>
      </c>
      <c r="C258" s="28">
        <v>18240</v>
      </c>
      <c r="D258" s="6" t="str">
        <f>VLOOKUP(A258,$M$171:$N$182,2,0)</f>
        <v>JP</v>
      </c>
    </row>
    <row r="259" spans="1:4">
      <c r="A259" t="s">
        <v>175</v>
      </c>
      <c r="B259" s="26">
        <v>45566</v>
      </c>
      <c r="C259" s="28">
        <v>504897</v>
      </c>
      <c r="D259" s="6" t="str">
        <f t="shared" ref="D259:D278" si="6">VLOOKUP(A259,$M$171:$N$182,2,0)</f>
        <v>BR</v>
      </c>
    </row>
    <row r="260" spans="1:4">
      <c r="A260" t="s">
        <v>176</v>
      </c>
      <c r="B260" s="26">
        <v>45566</v>
      </c>
      <c r="C260" s="28">
        <v>0</v>
      </c>
      <c r="D260" s="6" t="str">
        <f t="shared" si="6"/>
        <v>EU</v>
      </c>
    </row>
    <row r="261" spans="1:4">
      <c r="A261" t="s">
        <v>177</v>
      </c>
      <c r="B261" s="26">
        <v>45566</v>
      </c>
      <c r="C261" s="28">
        <v>128413</v>
      </c>
      <c r="D261" s="6" t="str">
        <f t="shared" si="6"/>
        <v>CN</v>
      </c>
    </row>
    <row r="262" spans="1:4">
      <c r="A262" t="s">
        <v>178</v>
      </c>
      <c r="B262" s="26">
        <v>45566</v>
      </c>
      <c r="C262" s="28">
        <v>74959</v>
      </c>
      <c r="D262" s="6" t="str">
        <f t="shared" si="6"/>
        <v>EU</v>
      </c>
    </row>
    <row r="263" spans="1:4">
      <c r="A263" t="s">
        <v>179</v>
      </c>
      <c r="B263" s="26">
        <v>45566</v>
      </c>
      <c r="C263" s="28">
        <v>131868</v>
      </c>
      <c r="D263" s="6" t="str">
        <f t="shared" si="6"/>
        <v>EU</v>
      </c>
    </row>
    <row r="264" spans="1:4">
      <c r="A264" t="s">
        <v>180</v>
      </c>
      <c r="B264" s="26">
        <v>45566</v>
      </c>
      <c r="C264" s="28">
        <v>72087</v>
      </c>
      <c r="D264" s="6" t="str">
        <f t="shared" si="6"/>
        <v>EU</v>
      </c>
    </row>
    <row r="265" spans="1:4">
      <c r="A265" t="s">
        <v>181</v>
      </c>
      <c r="B265" s="26">
        <v>45566</v>
      </c>
      <c r="C265" s="28">
        <v>22330</v>
      </c>
      <c r="D265" s="6" t="str">
        <f t="shared" si="6"/>
        <v>EU</v>
      </c>
    </row>
    <row r="266" spans="1:4">
      <c r="A266" t="s">
        <v>182</v>
      </c>
      <c r="B266" s="26">
        <v>45566</v>
      </c>
      <c r="C266" s="28">
        <v>356490</v>
      </c>
      <c r="D266" s="6" t="str">
        <f t="shared" si="6"/>
        <v>CN</v>
      </c>
    </row>
    <row r="267" spans="1:4">
      <c r="A267" t="s">
        <v>183</v>
      </c>
      <c r="B267" s="26">
        <v>45566</v>
      </c>
      <c r="C267" s="28">
        <v>9394</v>
      </c>
      <c r="D267" s="6" t="str">
        <f t="shared" si="6"/>
        <v>BR</v>
      </c>
    </row>
    <row r="268" spans="1:4">
      <c r="A268" t="s">
        <v>223</v>
      </c>
      <c r="B268" s="26">
        <v>45566</v>
      </c>
      <c r="C268" s="28">
        <v>0</v>
      </c>
      <c r="D268" s="6" t="str">
        <f t="shared" si="6"/>
        <v>JP</v>
      </c>
    </row>
    <row r="269" spans="1:4">
      <c r="A269" t="s">
        <v>175</v>
      </c>
      <c r="B269" s="26">
        <v>45597</v>
      </c>
      <c r="C269" s="111">
        <v>286195</v>
      </c>
      <c r="D269" s="6" t="str">
        <f t="shared" si="6"/>
        <v>BR</v>
      </c>
    </row>
    <row r="270" spans="1:4">
      <c r="A270" t="s">
        <v>176</v>
      </c>
      <c r="B270" s="26">
        <v>45597</v>
      </c>
      <c r="C270" s="111">
        <v>25111</v>
      </c>
      <c r="D270" s="6" t="str">
        <f t="shared" si="6"/>
        <v>EU</v>
      </c>
    </row>
    <row r="271" spans="1:4">
      <c r="A271" t="s">
        <v>177</v>
      </c>
      <c r="B271" s="26">
        <v>45597</v>
      </c>
      <c r="C271" s="111">
        <v>178686</v>
      </c>
      <c r="D271" s="6" t="str">
        <f t="shared" si="6"/>
        <v>CN</v>
      </c>
    </row>
    <row r="272" spans="1:4">
      <c r="A272" t="s">
        <v>178</v>
      </c>
      <c r="B272" s="26">
        <v>45597</v>
      </c>
      <c r="C272" s="111">
        <v>99936</v>
      </c>
      <c r="D272" s="6" t="str">
        <f t="shared" si="6"/>
        <v>EU</v>
      </c>
    </row>
    <row r="273" spans="1:4">
      <c r="A273" t="s">
        <v>179</v>
      </c>
      <c r="B273" s="26">
        <v>45597</v>
      </c>
      <c r="C273" s="111">
        <v>219031</v>
      </c>
      <c r="D273" s="6" t="str">
        <f t="shared" si="6"/>
        <v>EU</v>
      </c>
    </row>
    <row r="274" spans="1:4">
      <c r="A274" t="s">
        <v>180</v>
      </c>
      <c r="B274" s="26">
        <v>45597</v>
      </c>
      <c r="C274" s="111">
        <v>0</v>
      </c>
      <c r="D274" s="6" t="str">
        <f t="shared" si="6"/>
        <v>EU</v>
      </c>
    </row>
    <row r="275" spans="1:4">
      <c r="A275" t="s">
        <v>181</v>
      </c>
      <c r="B275" s="26">
        <v>45597</v>
      </c>
      <c r="C275" s="111">
        <v>23301</v>
      </c>
      <c r="D275" s="6" t="str">
        <f t="shared" si="6"/>
        <v>EU</v>
      </c>
    </row>
    <row r="276" spans="1:4">
      <c r="A276" t="s">
        <v>182</v>
      </c>
      <c r="B276" s="26">
        <v>45597</v>
      </c>
      <c r="C276" s="111">
        <v>335005</v>
      </c>
      <c r="D276" s="6" t="str">
        <f t="shared" si="6"/>
        <v>CN</v>
      </c>
    </row>
    <row r="277" spans="1:4">
      <c r="A277" t="s">
        <v>183</v>
      </c>
      <c r="B277" s="26">
        <v>45597</v>
      </c>
      <c r="C277" s="111">
        <v>56785</v>
      </c>
      <c r="D277" s="6" t="str">
        <f t="shared" si="6"/>
        <v>BR</v>
      </c>
    </row>
    <row r="278" spans="1:4">
      <c r="A278" t="s">
        <v>223</v>
      </c>
      <c r="B278" s="26">
        <v>45597</v>
      </c>
      <c r="C278" s="111">
        <v>0</v>
      </c>
      <c r="D278" s="6" t="str">
        <f t="shared" si="6"/>
        <v>JP</v>
      </c>
    </row>
    <row r="279" spans="1:4">
      <c r="A279" t="s">
        <v>175</v>
      </c>
      <c r="B279" s="26">
        <v>45627</v>
      </c>
      <c r="C279" s="111">
        <v>282117</v>
      </c>
      <c r="D279" s="6" t="str">
        <f t="shared" ref="D279:D342" si="7">VLOOKUP(A279,$M$171:$N$182,2,0)</f>
        <v>BR</v>
      </c>
    </row>
    <row r="280" spans="1:4">
      <c r="A280" t="s">
        <v>176</v>
      </c>
      <c r="B280" s="26">
        <v>45627</v>
      </c>
      <c r="C280" s="111">
        <v>0</v>
      </c>
      <c r="D280" s="6" t="str">
        <f t="shared" si="7"/>
        <v>EU</v>
      </c>
    </row>
    <row r="281" spans="1:4">
      <c r="A281" t="s">
        <v>177</v>
      </c>
      <c r="B281" s="26">
        <v>45627</v>
      </c>
      <c r="C281" s="111">
        <v>176195</v>
      </c>
      <c r="D281" s="6" t="str">
        <f t="shared" si="7"/>
        <v>CN</v>
      </c>
    </row>
    <row r="282" spans="1:4">
      <c r="A282" t="s">
        <v>178</v>
      </c>
      <c r="B282" s="26">
        <v>45627</v>
      </c>
      <c r="C282" s="111">
        <v>49082</v>
      </c>
      <c r="D282" s="6" t="str">
        <f t="shared" si="7"/>
        <v>EU</v>
      </c>
    </row>
    <row r="283" spans="1:4">
      <c r="A283" t="s">
        <v>179</v>
      </c>
      <c r="B283" s="26">
        <v>45627</v>
      </c>
      <c r="C283" s="111">
        <v>106167</v>
      </c>
      <c r="D283" s="6" t="str">
        <f t="shared" si="7"/>
        <v>EU</v>
      </c>
    </row>
    <row r="284" spans="1:4">
      <c r="A284" t="s">
        <v>180</v>
      </c>
      <c r="B284" s="26">
        <v>45627</v>
      </c>
      <c r="C284" s="111">
        <v>73176</v>
      </c>
      <c r="D284" s="6" t="str">
        <f t="shared" si="7"/>
        <v>EU</v>
      </c>
    </row>
    <row r="285" spans="1:4">
      <c r="A285" t="s">
        <v>181</v>
      </c>
      <c r="B285" s="26">
        <v>45627</v>
      </c>
      <c r="C285" s="111">
        <v>64665</v>
      </c>
      <c r="D285" s="6" t="str">
        <f t="shared" si="7"/>
        <v>EU</v>
      </c>
    </row>
    <row r="286" spans="1:4">
      <c r="A286" t="s">
        <v>182</v>
      </c>
      <c r="B286" s="26">
        <v>45627</v>
      </c>
      <c r="C286" s="111">
        <v>53063</v>
      </c>
      <c r="D286" s="6" t="str">
        <f t="shared" si="7"/>
        <v>CN</v>
      </c>
    </row>
    <row r="287" spans="1:4">
      <c r="A287" t="s">
        <v>183</v>
      </c>
      <c r="B287" s="26">
        <v>45627</v>
      </c>
      <c r="C287" s="111">
        <v>99086</v>
      </c>
      <c r="D287" s="6" t="str">
        <f t="shared" si="7"/>
        <v>BR</v>
      </c>
    </row>
    <row r="288" spans="1:4">
      <c r="A288" t="s">
        <v>223</v>
      </c>
      <c r="B288" s="26">
        <v>45627</v>
      </c>
      <c r="C288" s="111">
        <v>18240</v>
      </c>
      <c r="D288" s="6" t="str">
        <f t="shared" si="7"/>
        <v>JP</v>
      </c>
    </row>
    <row r="289" spans="1:4">
      <c r="A289" t="s">
        <v>175</v>
      </c>
      <c r="B289" s="26">
        <v>45658</v>
      </c>
      <c r="C289" s="28">
        <v>283931</v>
      </c>
      <c r="D289" s="6" t="str">
        <f t="shared" si="7"/>
        <v>BR</v>
      </c>
    </row>
    <row r="290" spans="1:4">
      <c r="A290" t="s">
        <v>176</v>
      </c>
      <c r="B290" s="26">
        <v>45658</v>
      </c>
      <c r="C290" s="28">
        <v>0</v>
      </c>
      <c r="D290" s="6" t="str">
        <f t="shared" si="7"/>
        <v>EU</v>
      </c>
    </row>
    <row r="291" spans="1:4">
      <c r="A291" t="s">
        <v>177</v>
      </c>
      <c r="B291" s="26">
        <v>45658</v>
      </c>
      <c r="C291" s="28">
        <v>153364</v>
      </c>
      <c r="D291" s="6" t="str">
        <f t="shared" si="7"/>
        <v>CN</v>
      </c>
    </row>
    <row r="292" spans="1:4">
      <c r="A292" t="s">
        <v>178</v>
      </c>
      <c r="B292" s="26">
        <v>45658</v>
      </c>
      <c r="C292" s="28">
        <v>49717</v>
      </c>
      <c r="D292" s="6" t="str">
        <f t="shared" si="7"/>
        <v>EU</v>
      </c>
    </row>
    <row r="293" spans="1:4">
      <c r="A293" t="s">
        <v>179</v>
      </c>
      <c r="B293" s="26">
        <v>45658</v>
      </c>
      <c r="C293" s="28">
        <v>237825</v>
      </c>
      <c r="D293" s="6" t="str">
        <f t="shared" si="7"/>
        <v>EU</v>
      </c>
    </row>
    <row r="294" spans="1:4">
      <c r="A294" t="s">
        <v>180</v>
      </c>
      <c r="B294" s="26">
        <v>45658</v>
      </c>
      <c r="C294" s="28">
        <v>36033</v>
      </c>
      <c r="D294" s="6" t="str">
        <f t="shared" si="7"/>
        <v>EU</v>
      </c>
    </row>
    <row r="295" spans="1:4">
      <c r="A295" t="s">
        <v>181</v>
      </c>
      <c r="B295" s="26">
        <v>45658</v>
      </c>
      <c r="C295" s="28">
        <v>64966</v>
      </c>
      <c r="D295" s="6" t="str">
        <f t="shared" si="7"/>
        <v>EU</v>
      </c>
    </row>
    <row r="296" spans="1:4">
      <c r="A296" t="s">
        <v>182</v>
      </c>
      <c r="B296" s="26">
        <v>45658</v>
      </c>
      <c r="C296" s="28">
        <v>75793</v>
      </c>
      <c r="D296" s="6" t="str">
        <f t="shared" si="7"/>
        <v>CN</v>
      </c>
    </row>
    <row r="297" spans="1:4">
      <c r="A297" t="s">
        <v>183</v>
      </c>
      <c r="B297" s="26">
        <v>45658</v>
      </c>
      <c r="C297" s="28">
        <v>80913</v>
      </c>
      <c r="D297" s="6" t="str">
        <f t="shared" si="7"/>
        <v>BR</v>
      </c>
    </row>
    <row r="298" spans="1:4">
      <c r="A298" t="s">
        <v>223</v>
      </c>
      <c r="B298" s="26">
        <v>45658</v>
      </c>
      <c r="C298" s="28">
        <v>0</v>
      </c>
      <c r="D298" s="6" t="str">
        <f t="shared" si="7"/>
        <v>JP</v>
      </c>
    </row>
    <row r="299" spans="1:4">
      <c r="A299" t="s">
        <v>175</v>
      </c>
      <c r="B299" s="26">
        <v>45689</v>
      </c>
      <c r="C299" s="28">
        <v>143371</v>
      </c>
      <c r="D299" s="6" t="str">
        <f t="shared" si="7"/>
        <v>BR</v>
      </c>
    </row>
    <row r="300" spans="1:4">
      <c r="A300" t="s">
        <v>176</v>
      </c>
      <c r="B300" s="26">
        <v>45689</v>
      </c>
      <c r="C300" s="28">
        <v>0</v>
      </c>
      <c r="D300" s="6" t="str">
        <f t="shared" si="7"/>
        <v>EU</v>
      </c>
    </row>
    <row r="301" spans="1:4">
      <c r="A301" t="s">
        <v>177</v>
      </c>
      <c r="B301" s="26">
        <v>45689</v>
      </c>
      <c r="C301" s="28">
        <v>178863</v>
      </c>
      <c r="D301" s="6" t="str">
        <f t="shared" si="7"/>
        <v>CN</v>
      </c>
    </row>
    <row r="302" spans="1:4">
      <c r="A302" t="s">
        <v>178</v>
      </c>
      <c r="B302" s="26">
        <v>45689</v>
      </c>
      <c r="C302" s="28">
        <v>100356</v>
      </c>
      <c r="D302" s="6" t="str">
        <f t="shared" si="7"/>
        <v>EU</v>
      </c>
    </row>
    <row r="303" spans="1:4">
      <c r="A303" t="s">
        <v>179</v>
      </c>
      <c r="B303" s="26">
        <v>45689</v>
      </c>
      <c r="C303" s="28">
        <v>173018</v>
      </c>
      <c r="D303" s="6" t="str">
        <f t="shared" si="7"/>
        <v>EU</v>
      </c>
    </row>
    <row r="304" spans="1:4">
      <c r="A304" t="s">
        <v>180</v>
      </c>
      <c r="B304" s="26">
        <v>45689</v>
      </c>
      <c r="C304" s="28">
        <v>95974</v>
      </c>
      <c r="D304" s="6" t="str">
        <f t="shared" si="7"/>
        <v>EU</v>
      </c>
    </row>
    <row r="305" spans="1:4">
      <c r="A305" t="s">
        <v>181</v>
      </c>
      <c r="B305" s="26">
        <v>45689</v>
      </c>
      <c r="C305" s="28">
        <v>89834</v>
      </c>
      <c r="D305" s="6" t="str">
        <f t="shared" si="7"/>
        <v>EU</v>
      </c>
    </row>
    <row r="306" spans="1:4">
      <c r="A306" t="s">
        <v>182</v>
      </c>
      <c r="B306" s="26">
        <v>45689</v>
      </c>
      <c r="C306" s="28">
        <v>383285</v>
      </c>
      <c r="D306" s="6" t="str">
        <f t="shared" si="7"/>
        <v>CN</v>
      </c>
    </row>
    <row r="307" spans="1:4">
      <c r="A307" t="s">
        <v>183</v>
      </c>
      <c r="B307" s="26">
        <v>45689</v>
      </c>
      <c r="C307" s="28">
        <v>82718</v>
      </c>
      <c r="D307" s="6" t="str">
        <f t="shared" si="7"/>
        <v>BR</v>
      </c>
    </row>
    <row r="308" spans="1:4">
      <c r="A308" t="s">
        <v>223</v>
      </c>
      <c r="B308" s="26">
        <v>45689</v>
      </c>
      <c r="C308" s="28">
        <v>0</v>
      </c>
      <c r="D308" s="6" t="str">
        <f t="shared" si="7"/>
        <v>JP</v>
      </c>
    </row>
    <row r="309" spans="1:4">
      <c r="A309" t="s">
        <v>175</v>
      </c>
      <c r="B309" s="26">
        <v>45717</v>
      </c>
      <c r="C309" s="28">
        <v>30959</v>
      </c>
      <c r="D309" s="6" t="str">
        <f t="shared" si="7"/>
        <v>BR</v>
      </c>
    </row>
    <row r="310" spans="1:4">
      <c r="A310" t="s">
        <v>176</v>
      </c>
      <c r="B310" s="26">
        <v>45717</v>
      </c>
      <c r="C310" s="28">
        <v>24291</v>
      </c>
      <c r="D310" s="6" t="str">
        <f t="shared" si="7"/>
        <v>EU</v>
      </c>
    </row>
    <row r="311" spans="1:4">
      <c r="A311" t="s">
        <v>177</v>
      </c>
      <c r="B311" s="26">
        <v>45717</v>
      </c>
      <c r="C311" s="28">
        <v>0</v>
      </c>
      <c r="D311" s="6" t="str">
        <f t="shared" si="7"/>
        <v>CN</v>
      </c>
    </row>
    <row r="312" spans="1:4">
      <c r="A312" t="s">
        <v>178</v>
      </c>
      <c r="B312" s="26">
        <v>45717</v>
      </c>
      <c r="C312" s="28">
        <v>24858</v>
      </c>
      <c r="D312" s="6" t="str">
        <f t="shared" si="7"/>
        <v>EU</v>
      </c>
    </row>
    <row r="313" spans="1:4">
      <c r="A313" t="s">
        <v>179</v>
      </c>
      <c r="B313" s="26">
        <v>45717</v>
      </c>
      <c r="C313" s="28">
        <v>87081</v>
      </c>
      <c r="D313" s="6" t="str">
        <f t="shared" si="7"/>
        <v>EU</v>
      </c>
    </row>
    <row r="314" spans="1:4">
      <c r="A314" t="s">
        <v>180</v>
      </c>
      <c r="B314" s="26">
        <v>45717</v>
      </c>
      <c r="C314" s="28">
        <v>24179</v>
      </c>
      <c r="D314" s="6" t="str">
        <f t="shared" si="7"/>
        <v>EU</v>
      </c>
    </row>
    <row r="315" spans="1:4">
      <c r="A315" t="s">
        <v>181</v>
      </c>
      <c r="B315" s="26">
        <v>45717</v>
      </c>
      <c r="C315" s="28">
        <v>64692</v>
      </c>
      <c r="D315" s="6" t="str">
        <f t="shared" si="7"/>
        <v>EU</v>
      </c>
    </row>
    <row r="316" spans="1:4">
      <c r="A316" t="s">
        <v>182</v>
      </c>
      <c r="B316" s="26">
        <v>45717</v>
      </c>
      <c r="C316" s="28">
        <v>577252</v>
      </c>
      <c r="D316" s="6" t="str">
        <f t="shared" si="7"/>
        <v>CN</v>
      </c>
    </row>
    <row r="317" spans="1:4">
      <c r="A317" t="s">
        <v>183</v>
      </c>
      <c r="B317" s="26">
        <v>45717</v>
      </c>
      <c r="C317" s="28">
        <v>37580</v>
      </c>
      <c r="D317" s="6" t="str">
        <f t="shared" si="7"/>
        <v>BR</v>
      </c>
    </row>
    <row r="318" spans="1:4">
      <c r="A318" t="s">
        <v>223</v>
      </c>
      <c r="B318" s="26">
        <v>45717</v>
      </c>
      <c r="C318" s="28">
        <v>0</v>
      </c>
      <c r="D318" s="6" t="str">
        <f t="shared" si="7"/>
        <v>JP</v>
      </c>
    </row>
    <row r="319" spans="1:4">
      <c r="A319" t="s">
        <v>175</v>
      </c>
      <c r="B319" s="26">
        <v>45748</v>
      </c>
      <c r="C319" s="28">
        <v>49316</v>
      </c>
      <c r="D319" s="6" t="str">
        <f t="shared" si="7"/>
        <v>BR</v>
      </c>
    </row>
    <row r="320" spans="1:4">
      <c r="A320" t="s">
        <v>176</v>
      </c>
      <c r="B320" s="26">
        <v>45748</v>
      </c>
      <c r="C320" s="28">
        <v>24648</v>
      </c>
      <c r="D320" s="6" t="str">
        <f t="shared" si="7"/>
        <v>EU</v>
      </c>
    </row>
    <row r="321" spans="1:4">
      <c r="A321" t="s">
        <v>177</v>
      </c>
      <c r="B321" s="26">
        <v>45748</v>
      </c>
      <c r="C321" s="28">
        <v>224094</v>
      </c>
      <c r="D321" s="6" t="str">
        <f t="shared" si="7"/>
        <v>CN</v>
      </c>
    </row>
    <row r="322" spans="1:4">
      <c r="A322" t="s">
        <v>178</v>
      </c>
      <c r="B322" s="26">
        <v>45748</v>
      </c>
      <c r="C322" s="28">
        <v>49511</v>
      </c>
      <c r="D322" s="6" t="str">
        <f t="shared" si="7"/>
        <v>EU</v>
      </c>
    </row>
    <row r="323" spans="1:4">
      <c r="A323" t="s">
        <v>179</v>
      </c>
      <c r="B323" s="26">
        <v>45748</v>
      </c>
      <c r="C323" s="28">
        <v>21690</v>
      </c>
      <c r="D323" s="6" t="str">
        <f t="shared" si="7"/>
        <v>EU</v>
      </c>
    </row>
    <row r="324" spans="1:4">
      <c r="A324" t="s">
        <v>180</v>
      </c>
      <c r="B324" s="26">
        <v>45748</v>
      </c>
      <c r="C324" s="28">
        <v>34341</v>
      </c>
      <c r="D324" s="6" t="str">
        <f t="shared" si="7"/>
        <v>EU</v>
      </c>
    </row>
    <row r="325" spans="1:4">
      <c r="A325" t="s">
        <v>181</v>
      </c>
      <c r="B325" s="26">
        <v>45748</v>
      </c>
      <c r="C325" s="28">
        <v>67171</v>
      </c>
      <c r="D325" s="6" t="str">
        <f t="shared" si="7"/>
        <v>EU</v>
      </c>
    </row>
    <row r="326" spans="1:4">
      <c r="A326" t="s">
        <v>182</v>
      </c>
      <c r="B326" s="26">
        <v>45748</v>
      </c>
      <c r="C326" s="28">
        <v>374884</v>
      </c>
      <c r="D326" s="6" t="str">
        <f t="shared" si="7"/>
        <v>CN</v>
      </c>
    </row>
    <row r="327" spans="1:4">
      <c r="A327" t="s">
        <v>183</v>
      </c>
      <c r="B327" s="26">
        <v>45748</v>
      </c>
      <c r="C327" s="28">
        <v>0</v>
      </c>
      <c r="D327" s="6" t="str">
        <f t="shared" si="7"/>
        <v>BR</v>
      </c>
    </row>
    <row r="328" spans="1:4">
      <c r="A328" t="s">
        <v>223</v>
      </c>
      <c r="B328" s="26">
        <v>45748</v>
      </c>
      <c r="C328" s="28">
        <v>0</v>
      </c>
      <c r="D328" s="6" t="str">
        <f t="shared" si="7"/>
        <v>JP</v>
      </c>
    </row>
    <row r="329" spans="1:4">
      <c r="A329" t="s">
        <v>175</v>
      </c>
      <c r="B329" s="26">
        <v>45778</v>
      </c>
      <c r="C329" s="28">
        <v>55992</v>
      </c>
      <c r="D329" s="6" t="str">
        <f t="shared" si="7"/>
        <v>BR</v>
      </c>
    </row>
    <row r="330" spans="1:4">
      <c r="A330" t="s">
        <v>176</v>
      </c>
      <c r="B330" s="26">
        <v>45778</v>
      </c>
      <c r="C330" s="28">
        <v>0</v>
      </c>
      <c r="D330" s="6" t="str">
        <f t="shared" si="7"/>
        <v>EU</v>
      </c>
    </row>
    <row r="331" spans="1:4">
      <c r="A331" t="s">
        <v>177</v>
      </c>
      <c r="B331" s="26">
        <v>45778</v>
      </c>
      <c r="C331" s="28">
        <v>25037</v>
      </c>
      <c r="D331" s="6" t="str">
        <f t="shared" si="7"/>
        <v>CN</v>
      </c>
    </row>
    <row r="332" spans="1:4">
      <c r="A332" t="s">
        <v>178</v>
      </c>
      <c r="B332" s="26">
        <v>45778</v>
      </c>
      <c r="C332" s="28">
        <v>0</v>
      </c>
      <c r="D332" s="6" t="str">
        <f t="shared" si="7"/>
        <v>EU</v>
      </c>
    </row>
    <row r="333" spans="1:4">
      <c r="A333" t="s">
        <v>179</v>
      </c>
      <c r="B333" s="26">
        <v>45778</v>
      </c>
      <c r="C333" s="28">
        <v>42925</v>
      </c>
      <c r="D333" s="6" t="str">
        <f t="shared" si="7"/>
        <v>EU</v>
      </c>
    </row>
    <row r="334" spans="1:4">
      <c r="A334" t="s">
        <v>180</v>
      </c>
      <c r="B334" s="26">
        <v>45778</v>
      </c>
      <c r="C334" s="28">
        <v>24204</v>
      </c>
      <c r="D334" s="6" t="str">
        <f t="shared" si="7"/>
        <v>EU</v>
      </c>
    </row>
    <row r="335" spans="1:4">
      <c r="A335" t="s">
        <v>181</v>
      </c>
      <c r="B335" s="26">
        <v>45778</v>
      </c>
      <c r="C335" s="28">
        <v>12064</v>
      </c>
      <c r="D335" s="6" t="str">
        <f t="shared" si="7"/>
        <v>EU</v>
      </c>
    </row>
    <row r="336" spans="1:4">
      <c r="A336" t="s">
        <v>182</v>
      </c>
      <c r="B336" s="26">
        <v>45778</v>
      </c>
      <c r="C336" s="28">
        <v>375594</v>
      </c>
      <c r="D336" s="6" t="str">
        <f t="shared" si="7"/>
        <v>CN</v>
      </c>
    </row>
    <row r="337" spans="1:4">
      <c r="A337" t="s">
        <v>183</v>
      </c>
      <c r="B337" s="26">
        <v>45778</v>
      </c>
      <c r="C337" s="28">
        <v>66689</v>
      </c>
      <c r="D337" s="6" t="str">
        <f t="shared" si="7"/>
        <v>BR</v>
      </c>
    </row>
    <row r="338" spans="1:4">
      <c r="A338" t="s">
        <v>223</v>
      </c>
      <c r="B338" s="26">
        <v>45778</v>
      </c>
      <c r="C338" s="28">
        <v>0</v>
      </c>
      <c r="D338" s="6" t="str">
        <f t="shared" si="7"/>
        <v>JP</v>
      </c>
    </row>
    <row r="339" spans="1:4">
      <c r="A339" t="s">
        <v>175</v>
      </c>
      <c r="B339" s="26">
        <v>45809</v>
      </c>
      <c r="C339" s="28">
        <v>25433</v>
      </c>
      <c r="D339" s="6" t="str">
        <f t="shared" si="7"/>
        <v>BR</v>
      </c>
    </row>
    <row r="340" spans="1:4">
      <c r="A340" t="s">
        <v>176</v>
      </c>
      <c r="B340" s="26">
        <v>45809</v>
      </c>
      <c r="C340" s="28">
        <v>0</v>
      </c>
      <c r="D340" s="6" t="str">
        <f t="shared" si="7"/>
        <v>EU</v>
      </c>
    </row>
    <row r="341" spans="1:4">
      <c r="A341" t="s">
        <v>177</v>
      </c>
      <c r="B341" s="26">
        <v>45809</v>
      </c>
      <c r="C341" s="28">
        <v>26341</v>
      </c>
      <c r="D341" s="6" t="str">
        <f t="shared" si="7"/>
        <v>CN</v>
      </c>
    </row>
    <row r="342" spans="1:4">
      <c r="A342" t="s">
        <v>178</v>
      </c>
      <c r="B342" s="26">
        <v>45809</v>
      </c>
      <c r="C342" s="28">
        <v>24939</v>
      </c>
      <c r="D342" s="6" t="str">
        <f t="shared" si="7"/>
        <v>EU</v>
      </c>
    </row>
    <row r="343" spans="1:4">
      <c r="A343" t="s">
        <v>179</v>
      </c>
      <c r="B343" s="26">
        <v>45809</v>
      </c>
      <c r="C343" s="28">
        <v>0</v>
      </c>
      <c r="D343" s="6" t="str">
        <f t="shared" ref="D343:D406" si="8">VLOOKUP(A343,$M$171:$N$182,2,0)</f>
        <v>EU</v>
      </c>
    </row>
    <row r="344" spans="1:4">
      <c r="A344" t="s">
        <v>180</v>
      </c>
      <c r="B344" s="26">
        <v>45809</v>
      </c>
      <c r="C344" s="28">
        <v>48737</v>
      </c>
      <c r="D344" s="6" t="str">
        <f t="shared" si="8"/>
        <v>EU</v>
      </c>
    </row>
    <row r="345" spans="1:4">
      <c r="A345" t="s">
        <v>181</v>
      </c>
      <c r="B345" s="26">
        <v>45809</v>
      </c>
      <c r="C345" s="28">
        <v>0</v>
      </c>
      <c r="D345" s="6" t="str">
        <f t="shared" si="8"/>
        <v>EU</v>
      </c>
    </row>
    <row r="346" spans="1:4">
      <c r="A346" t="s">
        <v>182</v>
      </c>
      <c r="B346" s="26">
        <v>45809</v>
      </c>
      <c r="C346" s="28">
        <v>201755</v>
      </c>
      <c r="D346" s="6" t="str">
        <f t="shared" si="8"/>
        <v>CN</v>
      </c>
    </row>
    <row r="347" spans="1:4">
      <c r="A347" t="s">
        <v>183</v>
      </c>
      <c r="B347" s="26">
        <v>45809</v>
      </c>
      <c r="C347" s="28">
        <v>306</v>
      </c>
      <c r="D347" s="6" t="str">
        <f t="shared" si="8"/>
        <v>BR</v>
      </c>
    </row>
    <row r="348" spans="1:4">
      <c r="A348" t="s">
        <v>175</v>
      </c>
      <c r="B348" s="26">
        <v>45839</v>
      </c>
      <c r="C348" s="28">
        <v>157586</v>
      </c>
      <c r="D348" s="6" t="str">
        <f t="shared" si="8"/>
        <v>BR</v>
      </c>
    </row>
    <row r="349" spans="1:4">
      <c r="A349" t="s">
        <v>176</v>
      </c>
      <c r="B349" s="26">
        <v>45839</v>
      </c>
      <c r="C349" s="28">
        <v>0</v>
      </c>
      <c r="D349" s="6" t="str">
        <f t="shared" si="8"/>
        <v>EU</v>
      </c>
    </row>
    <row r="350" spans="1:4">
      <c r="A350" t="s">
        <v>177</v>
      </c>
      <c r="B350" s="26">
        <v>45839</v>
      </c>
      <c r="C350" s="28">
        <v>24633</v>
      </c>
      <c r="D350" s="6" t="str">
        <f t="shared" si="8"/>
        <v>CN</v>
      </c>
    </row>
    <row r="351" spans="1:4">
      <c r="A351" t="s">
        <v>178</v>
      </c>
      <c r="B351" s="26">
        <v>45839</v>
      </c>
      <c r="C351" s="28">
        <v>24809</v>
      </c>
      <c r="D351" s="6" t="str">
        <f t="shared" si="8"/>
        <v>EU</v>
      </c>
    </row>
    <row r="352" spans="1:4">
      <c r="A352" t="s">
        <v>179</v>
      </c>
      <c r="B352" s="26">
        <v>45839</v>
      </c>
      <c r="C352" s="28">
        <v>0</v>
      </c>
      <c r="D352" s="6" t="str">
        <f t="shared" si="8"/>
        <v>EU</v>
      </c>
    </row>
    <row r="353" spans="1:4">
      <c r="A353" t="s">
        <v>180</v>
      </c>
      <c r="B353" s="26">
        <v>45839</v>
      </c>
      <c r="C353" s="28">
        <f>47886+31037</f>
        <v>78923</v>
      </c>
      <c r="D353" s="6" t="str">
        <f t="shared" si="8"/>
        <v>EU</v>
      </c>
    </row>
    <row r="354" spans="1:4">
      <c r="A354" t="s">
        <v>181</v>
      </c>
      <c r="B354" s="26">
        <v>45839</v>
      </c>
      <c r="C354" s="28">
        <v>55126</v>
      </c>
      <c r="D354" s="6" t="str">
        <f t="shared" si="8"/>
        <v>EU</v>
      </c>
    </row>
    <row r="355" spans="1:4">
      <c r="A355" t="s">
        <v>182</v>
      </c>
      <c r="B355" s="26">
        <v>45839</v>
      </c>
      <c r="C355" s="28">
        <v>180130</v>
      </c>
      <c r="D355" s="6" t="str">
        <f t="shared" si="8"/>
        <v>CN</v>
      </c>
    </row>
    <row r="356" spans="1:4">
      <c r="A356" t="s">
        <v>183</v>
      </c>
      <c r="B356" s="26">
        <v>45839</v>
      </c>
      <c r="C356" s="28">
        <v>27374</v>
      </c>
      <c r="D356" s="6" t="str">
        <f t="shared" si="8"/>
        <v>BR</v>
      </c>
    </row>
    <row r="357" spans="1:4">
      <c r="A357" t="s">
        <v>175</v>
      </c>
      <c r="B357" s="26">
        <v>45870</v>
      </c>
      <c r="C357" s="112">
        <v>199449</v>
      </c>
      <c r="D357" s="6" t="str">
        <f t="shared" si="8"/>
        <v>BR</v>
      </c>
    </row>
    <row r="358" spans="1:4">
      <c r="A358" t="s">
        <v>176</v>
      </c>
      <c r="B358" s="26">
        <v>45870</v>
      </c>
      <c r="C358" s="28">
        <v>0</v>
      </c>
      <c r="D358" s="6" t="str">
        <f t="shared" si="8"/>
        <v>EU</v>
      </c>
    </row>
    <row r="359" spans="1:4">
      <c r="A359" t="s">
        <v>177</v>
      </c>
      <c r="B359" s="26">
        <v>45870</v>
      </c>
      <c r="C359" s="28">
        <v>0</v>
      </c>
      <c r="D359" s="6" t="str">
        <f t="shared" si="8"/>
        <v>CN</v>
      </c>
    </row>
    <row r="360" spans="1:4">
      <c r="A360" t="s">
        <v>178</v>
      </c>
      <c r="B360" s="26">
        <v>45870</v>
      </c>
      <c r="C360" s="112">
        <v>98867</v>
      </c>
      <c r="D360" s="6" t="str">
        <f t="shared" si="8"/>
        <v>EU</v>
      </c>
    </row>
    <row r="361" spans="1:4">
      <c r="A361" t="s">
        <v>179</v>
      </c>
      <c r="B361" s="26">
        <v>45870</v>
      </c>
      <c r="C361" s="112">
        <v>21726</v>
      </c>
      <c r="D361" s="6" t="str">
        <f t="shared" si="8"/>
        <v>EU</v>
      </c>
    </row>
    <row r="362" spans="1:4">
      <c r="A362" t="s">
        <v>180</v>
      </c>
      <c r="B362" s="26">
        <v>45870</v>
      </c>
      <c r="C362" s="28">
        <v>0</v>
      </c>
      <c r="D362" s="6" t="str">
        <f t="shared" si="8"/>
        <v>EU</v>
      </c>
    </row>
    <row r="363" spans="1:4">
      <c r="A363" t="s">
        <v>181</v>
      </c>
      <c r="B363" s="26">
        <v>45870</v>
      </c>
      <c r="C363" s="112">
        <v>23133</v>
      </c>
      <c r="D363" s="6" t="str">
        <f t="shared" si="8"/>
        <v>EU</v>
      </c>
    </row>
    <row r="364" spans="1:4">
      <c r="A364" t="s">
        <v>182</v>
      </c>
      <c r="B364" s="26">
        <v>45870</v>
      </c>
      <c r="C364" s="112">
        <v>174173</v>
      </c>
      <c r="D364" s="6" t="str">
        <f t="shared" si="8"/>
        <v>CN</v>
      </c>
    </row>
    <row r="365" spans="1:4">
      <c r="A365" t="s">
        <v>183</v>
      </c>
      <c r="B365" s="26">
        <v>45870</v>
      </c>
      <c r="C365" s="112">
        <v>43219</v>
      </c>
      <c r="D365" s="6" t="str">
        <f t="shared" si="8"/>
        <v>BR</v>
      </c>
    </row>
    <row r="366" spans="1:4">
      <c r="A366" t="s">
        <v>175</v>
      </c>
      <c r="B366" s="26">
        <v>45901</v>
      </c>
      <c r="C366" s="28">
        <v>174500</v>
      </c>
      <c r="D366" s="6" t="str">
        <f t="shared" si="8"/>
        <v>BR</v>
      </c>
    </row>
    <row r="367" spans="1:4">
      <c r="A367" t="s">
        <v>176</v>
      </c>
      <c r="B367" s="26">
        <v>45901</v>
      </c>
      <c r="C367" s="28">
        <v>1942</v>
      </c>
      <c r="D367" s="6" t="str">
        <f t="shared" si="8"/>
        <v>EU</v>
      </c>
    </row>
    <row r="368" spans="1:4">
      <c r="A368" t="s">
        <v>177</v>
      </c>
      <c r="B368" s="26">
        <v>45901</v>
      </c>
      <c r="C368" s="28">
        <v>149810</v>
      </c>
      <c r="D368" s="6" t="str">
        <f t="shared" si="8"/>
        <v>CN</v>
      </c>
    </row>
    <row r="369" spans="1:4">
      <c r="A369" t="s">
        <v>186</v>
      </c>
      <c r="B369" s="26">
        <v>45901</v>
      </c>
      <c r="C369" s="28">
        <v>24486</v>
      </c>
      <c r="D369" s="6" t="str">
        <f t="shared" si="8"/>
        <v>CN</v>
      </c>
    </row>
    <row r="370" spans="1:4">
      <c r="A370" t="s">
        <v>178</v>
      </c>
      <c r="B370" s="26">
        <v>45901</v>
      </c>
      <c r="C370" s="28">
        <v>74070</v>
      </c>
      <c r="D370" s="6" t="str">
        <f t="shared" si="8"/>
        <v>EU</v>
      </c>
    </row>
    <row r="371" spans="1:4">
      <c r="A371" t="s">
        <v>179</v>
      </c>
      <c r="B371" s="26">
        <v>45901</v>
      </c>
      <c r="C371" s="28">
        <v>110029</v>
      </c>
      <c r="D371" s="6" t="str">
        <f t="shared" si="8"/>
        <v>EU</v>
      </c>
    </row>
    <row r="372" spans="1:4">
      <c r="A372" t="s">
        <v>180</v>
      </c>
      <c r="B372" s="26">
        <v>45901</v>
      </c>
      <c r="C372" s="28">
        <v>0</v>
      </c>
      <c r="D372" s="6" t="str">
        <f t="shared" si="8"/>
        <v>EU</v>
      </c>
    </row>
    <row r="373" spans="1:4">
      <c r="A373" t="s">
        <v>181</v>
      </c>
      <c r="B373" s="26">
        <v>45901</v>
      </c>
      <c r="C373" s="28">
        <v>66695</v>
      </c>
      <c r="D373" s="6" t="str">
        <f t="shared" si="8"/>
        <v>EU</v>
      </c>
    </row>
    <row r="374" spans="1:4">
      <c r="A374" t="s">
        <v>182</v>
      </c>
      <c r="B374" s="26">
        <v>45901</v>
      </c>
      <c r="C374" s="28">
        <v>405297</v>
      </c>
      <c r="D374" s="6" t="str">
        <f t="shared" si="8"/>
        <v>CN</v>
      </c>
    </row>
    <row r="375" spans="1:4">
      <c r="A375" t="s">
        <v>183</v>
      </c>
      <c r="B375" s="26">
        <v>45901</v>
      </c>
      <c r="C375" s="28">
        <v>54133</v>
      </c>
      <c r="D375" s="6" t="str">
        <f t="shared" si="8"/>
        <v>BR</v>
      </c>
    </row>
    <row r="376" spans="1:4">
      <c r="A376" t="s">
        <v>175</v>
      </c>
      <c r="B376" s="26">
        <v>45931</v>
      </c>
      <c r="C376" s="28">
        <v>118170</v>
      </c>
      <c r="D376" s="6" t="str">
        <f t="shared" si="8"/>
        <v>BR</v>
      </c>
    </row>
    <row r="377" spans="1:4">
      <c r="A377" t="s">
        <v>176</v>
      </c>
      <c r="B377" s="26">
        <v>45931</v>
      </c>
      <c r="C377" s="28">
        <v>0</v>
      </c>
      <c r="D377" s="6" t="str">
        <f t="shared" si="8"/>
        <v>EU</v>
      </c>
    </row>
    <row r="378" spans="1:4">
      <c r="A378" t="s">
        <v>177</v>
      </c>
      <c r="B378" s="26">
        <v>45931</v>
      </c>
      <c r="C378" s="28">
        <v>101272</v>
      </c>
      <c r="D378" s="6" t="str">
        <f t="shared" si="8"/>
        <v>CN</v>
      </c>
    </row>
    <row r="379" spans="1:4">
      <c r="A379" t="s">
        <v>186</v>
      </c>
      <c r="B379" s="26">
        <v>45931</v>
      </c>
      <c r="C379" s="28">
        <v>0</v>
      </c>
      <c r="D379" s="6" t="str">
        <f t="shared" si="8"/>
        <v>CN</v>
      </c>
    </row>
    <row r="380" spans="1:4">
      <c r="A380" t="s">
        <v>178</v>
      </c>
      <c r="B380" s="26">
        <v>45931</v>
      </c>
      <c r="C380" s="28">
        <v>100537</v>
      </c>
      <c r="D380" s="6" t="str">
        <f t="shared" si="8"/>
        <v>EU</v>
      </c>
    </row>
    <row r="381" spans="1:4">
      <c r="A381" t="s">
        <v>179</v>
      </c>
      <c r="B381" s="26">
        <v>45931</v>
      </c>
      <c r="C381" s="28">
        <v>21333</v>
      </c>
      <c r="D381" s="6" t="str">
        <f t="shared" si="8"/>
        <v>EU</v>
      </c>
    </row>
    <row r="382" spans="1:4">
      <c r="A382" t="s">
        <v>180</v>
      </c>
      <c r="B382" s="26">
        <v>45931</v>
      </c>
      <c r="C382" s="28">
        <v>143308</v>
      </c>
      <c r="D382" s="6" t="str">
        <f t="shared" si="8"/>
        <v>EU</v>
      </c>
    </row>
    <row r="383" spans="1:4">
      <c r="A383" t="s">
        <v>181</v>
      </c>
      <c r="B383" s="26">
        <v>45931</v>
      </c>
      <c r="C383" s="28">
        <v>1017</v>
      </c>
      <c r="D383" s="6" t="str">
        <f t="shared" si="8"/>
        <v>EU</v>
      </c>
    </row>
    <row r="384" spans="1:4">
      <c r="A384" t="s">
        <v>182</v>
      </c>
      <c r="B384" s="26">
        <v>45931</v>
      </c>
      <c r="C384" s="28">
        <v>865315</v>
      </c>
      <c r="D384" s="6" t="str">
        <f t="shared" si="8"/>
        <v>CN</v>
      </c>
    </row>
    <row r="385" spans="1:4">
      <c r="A385" t="s">
        <v>183</v>
      </c>
      <c r="B385" s="26">
        <v>45931</v>
      </c>
      <c r="C385" s="28">
        <v>55981</v>
      </c>
      <c r="D385" s="6" t="str">
        <f t="shared" si="8"/>
        <v>BR</v>
      </c>
    </row>
    <row r="386" spans="1:4">
      <c r="A386" t="s">
        <v>175</v>
      </c>
      <c r="B386" s="26">
        <v>45962</v>
      </c>
      <c r="C386" s="28">
        <v>252743</v>
      </c>
      <c r="D386" s="6" t="str">
        <f t="shared" si="8"/>
        <v>BR</v>
      </c>
    </row>
    <row r="387" spans="1:4">
      <c r="A387" t="s">
        <v>176</v>
      </c>
      <c r="B387" s="26">
        <v>45962</v>
      </c>
      <c r="C387" s="28">
        <v>0</v>
      </c>
      <c r="D387" s="6" t="str">
        <f t="shared" si="8"/>
        <v>EU</v>
      </c>
    </row>
    <row r="388" spans="1:4">
      <c r="A388" t="s">
        <v>177</v>
      </c>
      <c r="B388" s="26">
        <v>45962</v>
      </c>
      <c r="C388" s="28">
        <v>321461</v>
      </c>
      <c r="D388" s="6" t="str">
        <f t="shared" si="8"/>
        <v>CN</v>
      </c>
    </row>
    <row r="389" spans="1:4">
      <c r="A389" t="s">
        <v>186</v>
      </c>
      <c r="B389" s="26">
        <v>45962</v>
      </c>
      <c r="C389" s="28">
        <v>0</v>
      </c>
      <c r="D389" s="6" t="str">
        <f t="shared" si="8"/>
        <v>CN</v>
      </c>
    </row>
    <row r="390" spans="1:4">
      <c r="A390" t="s">
        <v>178</v>
      </c>
      <c r="B390" s="26">
        <v>45962</v>
      </c>
      <c r="C390" s="28">
        <v>64542</v>
      </c>
      <c r="D390" s="6" t="str">
        <f t="shared" si="8"/>
        <v>EU</v>
      </c>
    </row>
    <row r="391" spans="1:4">
      <c r="A391" t="s">
        <v>179</v>
      </c>
      <c r="B391" s="26">
        <v>45962</v>
      </c>
      <c r="C391" s="28">
        <v>87648</v>
      </c>
      <c r="D391" s="6" t="str">
        <f t="shared" si="8"/>
        <v>EU</v>
      </c>
    </row>
    <row r="392" spans="1:4">
      <c r="A392" t="s">
        <v>180</v>
      </c>
      <c r="B392" s="26">
        <v>45962</v>
      </c>
      <c r="C392" s="28">
        <v>23415</v>
      </c>
      <c r="D392" s="6" t="str">
        <f t="shared" si="8"/>
        <v>EU</v>
      </c>
    </row>
    <row r="393" spans="1:4">
      <c r="A393" t="s">
        <v>181</v>
      </c>
      <c r="B393" s="26">
        <v>45962</v>
      </c>
      <c r="C393" s="28">
        <v>89385</v>
      </c>
      <c r="D393" s="6" t="str">
        <f t="shared" si="8"/>
        <v>EU</v>
      </c>
    </row>
    <row r="394" spans="1:4">
      <c r="A394" t="s">
        <v>182</v>
      </c>
      <c r="B394" s="26">
        <v>45962</v>
      </c>
      <c r="C394" s="28">
        <v>398010</v>
      </c>
      <c r="D394" s="6" t="str">
        <f t="shared" si="8"/>
        <v>CN</v>
      </c>
    </row>
    <row r="395" spans="1:4">
      <c r="A395" t="s">
        <v>183</v>
      </c>
      <c r="B395" s="26">
        <v>45962</v>
      </c>
      <c r="C395" s="28">
        <v>15822</v>
      </c>
      <c r="D395" s="6" t="str">
        <f t="shared" si="8"/>
        <v>BR</v>
      </c>
    </row>
    <row r="396" spans="1:4">
      <c r="A396" t="s">
        <v>175</v>
      </c>
      <c r="B396" s="26">
        <v>45992</v>
      </c>
      <c r="C396" s="28">
        <v>101349</v>
      </c>
      <c r="D396" s="6" t="str">
        <f t="shared" si="8"/>
        <v>BR</v>
      </c>
    </row>
    <row r="397" spans="1:4">
      <c r="A397" t="s">
        <v>176</v>
      </c>
      <c r="B397" s="26">
        <v>45992</v>
      </c>
      <c r="C397" s="28">
        <v>25142</v>
      </c>
      <c r="D397" s="6" t="str">
        <f t="shared" si="8"/>
        <v>EU</v>
      </c>
    </row>
    <row r="398" spans="1:4">
      <c r="A398" t="s">
        <v>177</v>
      </c>
      <c r="B398" s="26">
        <v>45992</v>
      </c>
      <c r="C398" s="28">
        <v>728824</v>
      </c>
      <c r="D398" s="6" t="str">
        <f t="shared" si="8"/>
        <v>CN</v>
      </c>
    </row>
    <row r="399" spans="1:4">
      <c r="A399" t="s">
        <v>186</v>
      </c>
      <c r="B399" s="26">
        <v>45992</v>
      </c>
      <c r="C399" s="28">
        <v>0</v>
      </c>
      <c r="D399" s="6" t="str">
        <f t="shared" si="8"/>
        <v>CN</v>
      </c>
    </row>
    <row r="400" spans="1:4">
      <c r="A400" t="s">
        <v>178</v>
      </c>
      <c r="B400" s="26">
        <v>45992</v>
      </c>
      <c r="C400" s="28">
        <v>81378</v>
      </c>
      <c r="D400" s="6" t="str">
        <f t="shared" si="8"/>
        <v>EU</v>
      </c>
    </row>
    <row r="401" spans="1:4">
      <c r="A401" t="s">
        <v>179</v>
      </c>
      <c r="B401" s="26">
        <v>45992</v>
      </c>
      <c r="C401" s="28">
        <v>78359</v>
      </c>
      <c r="D401" s="6" t="str">
        <f t="shared" si="8"/>
        <v>EU</v>
      </c>
    </row>
    <row r="402" spans="1:4">
      <c r="A402" t="s">
        <v>180</v>
      </c>
      <c r="B402" s="26">
        <v>45992</v>
      </c>
      <c r="C402" s="28">
        <v>127878</v>
      </c>
      <c r="D402" s="6" t="str">
        <f t="shared" si="8"/>
        <v>EU</v>
      </c>
    </row>
    <row r="403" spans="1:4">
      <c r="A403" t="s">
        <v>181</v>
      </c>
      <c r="B403" s="26">
        <v>45992</v>
      </c>
      <c r="C403" s="28">
        <v>23324</v>
      </c>
      <c r="D403" s="6" t="str">
        <f t="shared" si="8"/>
        <v>EU</v>
      </c>
    </row>
    <row r="404" spans="1:4">
      <c r="A404" t="s">
        <v>182</v>
      </c>
      <c r="B404" s="26">
        <v>45992</v>
      </c>
      <c r="C404" s="28">
        <v>2116973</v>
      </c>
      <c r="D404" s="6" t="str">
        <f t="shared" si="8"/>
        <v>CN</v>
      </c>
    </row>
    <row r="405" spans="1:4">
      <c r="A405" t="s">
        <v>183</v>
      </c>
      <c r="B405" s="26">
        <v>45992</v>
      </c>
      <c r="C405" s="28">
        <v>40232</v>
      </c>
      <c r="D405" s="6" t="str">
        <f t="shared" si="8"/>
        <v>BR</v>
      </c>
    </row>
    <row r="406" spans="1:4">
      <c r="A406" t="s">
        <v>175</v>
      </c>
      <c r="B406" s="26">
        <v>46023</v>
      </c>
      <c r="C406" s="28">
        <v>77515</v>
      </c>
      <c r="D406" s="6" t="str">
        <f t="shared" si="8"/>
        <v>BR</v>
      </c>
    </row>
    <row r="407" spans="1:4">
      <c r="A407" t="s">
        <v>176</v>
      </c>
      <c r="B407" s="26">
        <v>46023</v>
      </c>
      <c r="D407" s="6" t="str">
        <f t="shared" ref="D407:D435" si="9">VLOOKUP(A407,$M$171:$N$182,2,0)</f>
        <v>EU</v>
      </c>
    </row>
    <row r="408" spans="1:4">
      <c r="A408" t="s">
        <v>177</v>
      </c>
      <c r="B408" s="26">
        <v>46023</v>
      </c>
      <c r="C408" s="28">
        <v>25137</v>
      </c>
      <c r="D408" s="6" t="str">
        <f t="shared" si="9"/>
        <v>CN</v>
      </c>
    </row>
    <row r="409" spans="1:4">
      <c r="A409" t="s">
        <v>186</v>
      </c>
      <c r="B409" s="26">
        <v>46023</v>
      </c>
      <c r="D409" s="6" t="str">
        <f t="shared" si="9"/>
        <v>CN</v>
      </c>
    </row>
    <row r="410" spans="1:4">
      <c r="A410" t="s">
        <v>178</v>
      </c>
      <c r="B410" s="26">
        <v>46023</v>
      </c>
      <c r="C410" s="28">
        <v>76011</v>
      </c>
      <c r="D410" s="6" t="str">
        <f t="shared" si="9"/>
        <v>EU</v>
      </c>
    </row>
    <row r="411" spans="1:4">
      <c r="A411" t="s">
        <v>179</v>
      </c>
      <c r="B411" s="26">
        <v>46023</v>
      </c>
      <c r="D411" s="6" t="str">
        <f t="shared" si="9"/>
        <v>EU</v>
      </c>
    </row>
    <row r="412" spans="1:4">
      <c r="A412" t="s">
        <v>180</v>
      </c>
      <c r="B412" s="26">
        <v>46023</v>
      </c>
      <c r="C412" s="28">
        <v>71703</v>
      </c>
      <c r="D412" s="6" t="str">
        <f t="shared" si="9"/>
        <v>EU</v>
      </c>
    </row>
    <row r="413" spans="1:4">
      <c r="A413" t="s">
        <v>181</v>
      </c>
      <c r="B413" s="26">
        <v>46023</v>
      </c>
      <c r="C413" s="28">
        <v>90596</v>
      </c>
      <c r="D413" s="6" t="str">
        <f t="shared" si="9"/>
        <v>EU</v>
      </c>
    </row>
    <row r="414" spans="1:4">
      <c r="A414" t="s">
        <v>182</v>
      </c>
      <c r="B414" s="26">
        <v>46023</v>
      </c>
      <c r="C414" s="28">
        <v>50606</v>
      </c>
      <c r="D414" s="6" t="str">
        <f t="shared" si="9"/>
        <v>CN</v>
      </c>
    </row>
    <row r="415" spans="1:4">
      <c r="A415" t="s">
        <v>183</v>
      </c>
      <c r="B415" s="26">
        <v>46023</v>
      </c>
      <c r="C415" s="28">
        <v>71346</v>
      </c>
      <c r="D415" s="6" t="str">
        <f t="shared" si="9"/>
        <v>BR</v>
      </c>
    </row>
    <row r="416" spans="1:4">
      <c r="A416" t="s">
        <v>175</v>
      </c>
      <c r="B416" s="26">
        <v>46054</v>
      </c>
      <c r="C416" s="28">
        <v>151970</v>
      </c>
      <c r="D416" s="6" t="str">
        <f t="shared" si="9"/>
        <v>BR</v>
      </c>
    </row>
    <row r="417" spans="1:4">
      <c r="A417" t="s">
        <v>176</v>
      </c>
      <c r="B417" s="26">
        <v>46054</v>
      </c>
      <c r="D417" s="6" t="str">
        <f t="shared" si="9"/>
        <v>EU</v>
      </c>
    </row>
    <row r="418" spans="1:4">
      <c r="A418" t="s">
        <v>177</v>
      </c>
      <c r="B418" s="26">
        <v>46054</v>
      </c>
      <c r="C418" s="28">
        <v>25228</v>
      </c>
      <c r="D418" s="6" t="str">
        <f t="shared" si="9"/>
        <v>CN</v>
      </c>
    </row>
    <row r="419" spans="1:4">
      <c r="A419" t="s">
        <v>186</v>
      </c>
      <c r="B419" s="26">
        <v>46054</v>
      </c>
      <c r="D419" s="6" t="str">
        <f t="shared" si="9"/>
        <v>CN</v>
      </c>
    </row>
    <row r="420" spans="1:4">
      <c r="A420" t="s">
        <v>178</v>
      </c>
      <c r="B420" s="26">
        <v>46054</v>
      </c>
      <c r="C420" s="28">
        <v>0</v>
      </c>
      <c r="D420" s="6" t="str">
        <f t="shared" si="9"/>
        <v>EU</v>
      </c>
    </row>
    <row r="421" spans="1:4">
      <c r="A421" t="s">
        <v>179</v>
      </c>
      <c r="B421" s="26">
        <v>46054</v>
      </c>
      <c r="D421" s="6" t="str">
        <f t="shared" si="9"/>
        <v>EU</v>
      </c>
    </row>
    <row r="422" spans="1:4">
      <c r="A422" t="s">
        <v>180</v>
      </c>
      <c r="B422" s="26">
        <v>46054</v>
      </c>
      <c r="C422" s="28">
        <v>0</v>
      </c>
      <c r="D422" s="6" t="str">
        <f t="shared" si="9"/>
        <v>EU</v>
      </c>
    </row>
    <row r="423" spans="1:4">
      <c r="A423" t="s">
        <v>181</v>
      </c>
      <c r="B423" s="26">
        <v>46054</v>
      </c>
      <c r="C423" s="28">
        <v>0</v>
      </c>
      <c r="D423" s="6" t="str">
        <f t="shared" si="9"/>
        <v>EU</v>
      </c>
    </row>
    <row r="424" spans="1:4">
      <c r="A424" t="s">
        <v>182</v>
      </c>
      <c r="B424" s="26">
        <v>46054</v>
      </c>
      <c r="C424" s="28">
        <v>171600</v>
      </c>
      <c r="D424" s="6" t="str">
        <f t="shared" si="9"/>
        <v>CN</v>
      </c>
    </row>
    <row r="425" spans="1:4">
      <c r="A425" t="s">
        <v>183</v>
      </c>
      <c r="B425" s="26">
        <v>46054</v>
      </c>
      <c r="C425" s="28">
        <v>45411</v>
      </c>
      <c r="D425" s="6" t="str">
        <f t="shared" si="9"/>
        <v>BR</v>
      </c>
    </row>
    <row r="426" spans="1:4">
      <c r="A426" t="s">
        <v>175</v>
      </c>
      <c r="B426" s="26">
        <v>46082</v>
      </c>
      <c r="C426" s="28">
        <v>102555</v>
      </c>
      <c r="D426" s="6" t="str">
        <f t="shared" si="9"/>
        <v>BR</v>
      </c>
    </row>
    <row r="427" spans="1:4">
      <c r="A427" t="s">
        <v>176</v>
      </c>
      <c r="B427" s="26">
        <v>46082</v>
      </c>
      <c r="C427" s="28">
        <v>1366</v>
      </c>
      <c r="D427" s="6" t="str">
        <f t="shared" si="9"/>
        <v>EU</v>
      </c>
    </row>
    <row r="428" spans="1:4">
      <c r="A428" t="s">
        <v>177</v>
      </c>
      <c r="B428" s="26">
        <v>46082</v>
      </c>
      <c r="C428" s="28">
        <v>2030</v>
      </c>
      <c r="D428" s="6" t="str">
        <f t="shared" si="9"/>
        <v>CN</v>
      </c>
    </row>
    <row r="429" spans="1:4">
      <c r="A429" t="s">
        <v>186</v>
      </c>
      <c r="B429" s="26">
        <v>46082</v>
      </c>
      <c r="C429" s="28">
        <v>0</v>
      </c>
      <c r="D429" s="6" t="str">
        <f t="shared" si="9"/>
        <v>CN</v>
      </c>
    </row>
    <row r="430" spans="1:4">
      <c r="A430" t="s">
        <v>178</v>
      </c>
      <c r="B430" s="26">
        <v>46082</v>
      </c>
      <c r="C430" s="28">
        <v>127312</v>
      </c>
      <c r="D430" s="6" t="str">
        <f t="shared" si="9"/>
        <v>EU</v>
      </c>
    </row>
    <row r="431" spans="1:4">
      <c r="A431" t="s">
        <v>179</v>
      </c>
      <c r="B431" s="26">
        <v>46082</v>
      </c>
      <c r="C431" s="28">
        <v>60282</v>
      </c>
      <c r="D431" s="6" t="str">
        <f t="shared" si="9"/>
        <v>EU</v>
      </c>
    </row>
    <row r="432" spans="1:4">
      <c r="A432" t="s">
        <v>180</v>
      </c>
      <c r="B432" s="26">
        <v>46082</v>
      </c>
      <c r="C432" s="28">
        <v>122627</v>
      </c>
      <c r="D432" s="6" t="str">
        <f t="shared" si="9"/>
        <v>EU</v>
      </c>
    </row>
    <row r="433" spans="1:4">
      <c r="A433" t="s">
        <v>181</v>
      </c>
      <c r="B433" s="26">
        <v>46082</v>
      </c>
      <c r="C433" s="28">
        <v>119682</v>
      </c>
      <c r="D433" s="6" t="str">
        <f t="shared" si="9"/>
        <v>EU</v>
      </c>
    </row>
    <row r="434" spans="1:4">
      <c r="A434" t="s">
        <v>182</v>
      </c>
      <c r="B434" s="26">
        <v>46082</v>
      </c>
      <c r="C434" s="28">
        <v>477856</v>
      </c>
      <c r="D434" s="6" t="str">
        <f t="shared" si="9"/>
        <v>CN</v>
      </c>
    </row>
    <row r="435" spans="1:4">
      <c r="A435" t="s">
        <v>183</v>
      </c>
      <c r="B435" s="26">
        <v>46082</v>
      </c>
      <c r="C435" s="28">
        <v>96296</v>
      </c>
      <c r="D435" s="6" t="str">
        <f t="shared" si="9"/>
        <v>BR</v>
      </c>
    </row>
    <row r="436" spans="1:4">
      <c r="A436" t="s">
        <v>175</v>
      </c>
      <c r="B436" s="26">
        <v>46113</v>
      </c>
      <c r="C436" s="28">
        <v>115560</v>
      </c>
      <c r="D436" s="6" t="str">
        <f t="shared" ref="D436:D445" si="10">VLOOKUP(A436,$M$171:$N$182,2,0)</f>
        <v>BR</v>
      </c>
    </row>
    <row r="437" spans="1:4">
      <c r="A437" t="s">
        <v>176</v>
      </c>
      <c r="B437" s="26">
        <v>46113</v>
      </c>
      <c r="C437" s="28">
        <v>21523</v>
      </c>
      <c r="D437" s="6" t="str">
        <f t="shared" si="10"/>
        <v>EU</v>
      </c>
    </row>
    <row r="438" spans="1:4">
      <c r="A438" t="s">
        <v>177</v>
      </c>
      <c r="B438" s="26">
        <v>46113</v>
      </c>
      <c r="C438" s="28">
        <v>375074</v>
      </c>
      <c r="D438" s="6" t="str">
        <f t="shared" si="10"/>
        <v>CN</v>
      </c>
    </row>
    <row r="439" spans="1:4">
      <c r="A439" t="s">
        <v>186</v>
      </c>
      <c r="B439" s="26">
        <v>46113</v>
      </c>
      <c r="C439" s="28">
        <v>102208</v>
      </c>
      <c r="D439" s="6" t="str">
        <f t="shared" si="10"/>
        <v>CN</v>
      </c>
    </row>
    <row r="440" spans="1:4">
      <c r="A440" t="s">
        <v>178</v>
      </c>
      <c r="B440" s="26">
        <v>46113</v>
      </c>
      <c r="D440" s="6" t="str">
        <f t="shared" si="10"/>
        <v>EU</v>
      </c>
    </row>
    <row r="441" spans="1:4">
      <c r="A441" t="s">
        <v>179</v>
      </c>
      <c r="B441" s="26">
        <v>46113</v>
      </c>
      <c r="D441" s="6" t="str">
        <f t="shared" si="10"/>
        <v>EU</v>
      </c>
    </row>
    <row r="442" spans="1:4">
      <c r="A442" t="s">
        <v>180</v>
      </c>
      <c r="B442" s="26">
        <v>46113</v>
      </c>
      <c r="C442" s="28">
        <v>144244</v>
      </c>
      <c r="D442" s="6" t="str">
        <f t="shared" si="10"/>
        <v>EU</v>
      </c>
    </row>
    <row r="443" spans="1:4">
      <c r="A443" t="s">
        <v>181</v>
      </c>
      <c r="B443" s="26">
        <v>46113</v>
      </c>
      <c r="C443" s="28">
        <v>68566</v>
      </c>
      <c r="D443" s="6" t="str">
        <f t="shared" si="10"/>
        <v>EU</v>
      </c>
    </row>
    <row r="444" spans="1:4">
      <c r="A444" t="s">
        <v>182</v>
      </c>
      <c r="B444" s="26">
        <v>46113</v>
      </c>
      <c r="C444" s="28">
        <v>250798</v>
      </c>
      <c r="D444" s="6" t="str">
        <f t="shared" si="10"/>
        <v>CN</v>
      </c>
    </row>
    <row r="445" spans="1:4">
      <c r="A445" t="s">
        <v>183</v>
      </c>
      <c r="B445" s="26">
        <v>46113</v>
      </c>
      <c r="C445" s="28">
        <v>70665</v>
      </c>
      <c r="D445" s="6" t="str">
        <f t="shared" si="10"/>
        <v>BR</v>
      </c>
    </row>
    <row r="446" spans="1:4">
      <c r="A446" t="s">
        <v>175</v>
      </c>
      <c r="B446" s="26">
        <v>46143</v>
      </c>
      <c r="C446" s="28">
        <v>76469</v>
      </c>
      <c r="D446" s="6" t="str">
        <f t="shared" ref="D446:D455" si="11">VLOOKUP(A446,$M$171:$N$182,2,0)</f>
        <v>BR</v>
      </c>
    </row>
    <row r="447" spans="1:4">
      <c r="A447" t="s">
        <v>176</v>
      </c>
      <c r="B447" s="26">
        <v>46143</v>
      </c>
      <c r="D447" s="6" t="str">
        <f t="shared" si="11"/>
        <v>EU</v>
      </c>
    </row>
    <row r="448" spans="1:4">
      <c r="A448" t="s">
        <v>177</v>
      </c>
      <c r="B448" s="26">
        <v>46143</v>
      </c>
      <c r="C448" s="220">
        <v>49815</v>
      </c>
      <c r="D448" s="6" t="str">
        <f t="shared" si="11"/>
        <v>CN</v>
      </c>
    </row>
    <row r="449" spans="1:4">
      <c r="A449" t="s">
        <v>186</v>
      </c>
      <c r="B449" s="26">
        <v>46143</v>
      </c>
      <c r="D449" s="6" t="str">
        <f t="shared" si="11"/>
        <v>CN</v>
      </c>
    </row>
    <row r="450" spans="1:4">
      <c r="A450" t="s">
        <v>178</v>
      </c>
      <c r="B450" s="26">
        <v>46143</v>
      </c>
      <c r="C450" s="32">
        <v>74596</v>
      </c>
      <c r="D450" s="6" t="str">
        <f t="shared" si="11"/>
        <v>EU</v>
      </c>
    </row>
    <row r="451" spans="1:4">
      <c r="A451" t="s">
        <v>179</v>
      </c>
      <c r="B451" s="26">
        <v>46143</v>
      </c>
      <c r="D451" s="6" t="str">
        <f t="shared" si="11"/>
        <v>EU</v>
      </c>
    </row>
    <row r="452" spans="1:4">
      <c r="A452" t="s">
        <v>180</v>
      </c>
      <c r="B452" s="26">
        <v>46143</v>
      </c>
      <c r="C452" s="28">
        <v>84659</v>
      </c>
      <c r="D452" s="6" t="str">
        <f t="shared" si="11"/>
        <v>EU</v>
      </c>
    </row>
    <row r="453" spans="1:4">
      <c r="A453" t="s">
        <v>181</v>
      </c>
      <c r="B453" s="26">
        <v>46143</v>
      </c>
      <c r="C453" s="28">
        <v>45359</v>
      </c>
      <c r="D453" s="6" t="str">
        <f t="shared" si="11"/>
        <v>EU</v>
      </c>
    </row>
    <row r="454" spans="1:4">
      <c r="A454" t="s">
        <v>182</v>
      </c>
      <c r="B454" s="26">
        <v>46143</v>
      </c>
      <c r="C454" s="28">
        <v>426482</v>
      </c>
      <c r="D454" s="6" t="str">
        <f t="shared" si="11"/>
        <v>CN</v>
      </c>
    </row>
    <row r="455" spans="1:4">
      <c r="A455" t="s">
        <v>183</v>
      </c>
      <c r="B455" s="26">
        <v>46143</v>
      </c>
      <c r="C455" s="28">
        <v>15407</v>
      </c>
      <c r="D455" s="6" t="str">
        <f t="shared" si="11"/>
        <v>BR</v>
      </c>
    </row>
  </sheetData>
  <mergeCells count="31">
    <mergeCell ref="A17:AE18"/>
    <mergeCell ref="A2:AE3"/>
    <mergeCell ref="A4:A5"/>
    <mergeCell ref="B4:C4"/>
    <mergeCell ref="D4:G4"/>
    <mergeCell ref="H4:I4"/>
    <mergeCell ref="L4:M4"/>
    <mergeCell ref="N4:O4"/>
    <mergeCell ref="P4:Q4"/>
    <mergeCell ref="R4:S4"/>
    <mergeCell ref="T4:U4"/>
    <mergeCell ref="V4:W4"/>
    <mergeCell ref="X4:Y4"/>
    <mergeCell ref="Z4:AA4"/>
    <mergeCell ref="AB4:AC4"/>
    <mergeCell ref="AD4:AE4"/>
    <mergeCell ref="AB19:AC19"/>
    <mergeCell ref="AD19:AE19"/>
    <mergeCell ref="A36:AE37"/>
    <mergeCell ref="P19:Q19"/>
    <mergeCell ref="R19:S19"/>
    <mergeCell ref="T19:U19"/>
    <mergeCell ref="V19:W19"/>
    <mergeCell ref="X19:Y19"/>
    <mergeCell ref="Z19:AA19"/>
    <mergeCell ref="A19:A20"/>
    <mergeCell ref="B19:C19"/>
    <mergeCell ref="D19:G19"/>
    <mergeCell ref="H19:I19"/>
    <mergeCell ref="L19:M19"/>
    <mergeCell ref="N19:O19"/>
  </mergeCells>
  <phoneticPr fontId="8" type="noConversion"/>
  <pageMargins left="0.7" right="0.7" top="0.75" bottom="0.75" header="0.3" footer="0.3"/>
  <pageSetup paperSize="9" orientation="portrait" verticalDpi="0" r:id="rId6"/>
  <drawing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44C9D-5691-47B2-85BD-A1ECD91ECE0E}">
  <sheetPr codeName="Sheet6" filterMode="1"/>
  <dimension ref="A1:S113"/>
  <sheetViews>
    <sheetView showGridLines="0" workbookViewId="0">
      <selection activeCell="Q15" sqref="Q15"/>
    </sheetView>
  </sheetViews>
  <sheetFormatPr defaultRowHeight="14.4"/>
  <cols>
    <col min="1" max="1" width="3.5546875" customWidth="1"/>
    <col min="2" max="2" width="14.109375" customWidth="1"/>
    <col min="3" max="3" width="14.109375" hidden="1" customWidth="1"/>
    <col min="4" max="4" width="14.109375" customWidth="1"/>
    <col min="5" max="5" width="8.5546875" style="6" customWidth="1"/>
    <col min="6" max="6" width="14.109375" hidden="1" customWidth="1"/>
    <col min="7" max="7" width="14.109375" customWidth="1"/>
    <col min="8" max="8" width="8.5546875" customWidth="1"/>
    <col min="9" max="9" width="14.109375" hidden="1" customWidth="1"/>
    <col min="10" max="10" width="14.109375" customWidth="1"/>
    <col min="11" max="11" width="8.5546875" customWidth="1"/>
    <col min="14" max="14" width="40.44140625" customWidth="1"/>
    <col min="15" max="18" width="20.109375" customWidth="1"/>
  </cols>
  <sheetData>
    <row r="1" spans="2:11">
      <c r="B1" s="4" t="s">
        <v>354</v>
      </c>
    </row>
    <row r="2" spans="2:11" ht="5.25" customHeight="1"/>
    <row r="3" spans="2:11">
      <c r="B3" s="57"/>
      <c r="C3" s="116" t="s">
        <v>360</v>
      </c>
      <c r="D3" s="117" t="s">
        <v>361</v>
      </c>
      <c r="E3" s="131" t="s">
        <v>366</v>
      </c>
      <c r="F3" s="118" t="s">
        <v>362</v>
      </c>
      <c r="G3" s="118" t="s">
        <v>363</v>
      </c>
      <c r="H3" s="118" t="s">
        <v>367</v>
      </c>
      <c r="I3" s="119" t="s">
        <v>364</v>
      </c>
      <c r="J3" s="119" t="s">
        <v>365</v>
      </c>
      <c r="K3" s="119" t="s">
        <v>367</v>
      </c>
    </row>
    <row r="4" spans="2:11">
      <c r="B4" s="57" t="s">
        <v>261</v>
      </c>
      <c r="C4" s="114">
        <v>12800</v>
      </c>
      <c r="D4" s="114">
        <v>11650</v>
      </c>
      <c r="E4" s="133">
        <f>D4/C4-1</f>
        <v>-8.984375E-2</v>
      </c>
      <c r="F4" s="114"/>
      <c r="G4" s="114"/>
      <c r="H4" s="124"/>
      <c r="I4" s="114">
        <v>12500</v>
      </c>
      <c r="J4" s="114">
        <v>12000</v>
      </c>
      <c r="K4" s="133">
        <f>J4/I4-1</f>
        <v>-4.0000000000000036E-2</v>
      </c>
    </row>
    <row r="5" spans="2:11">
      <c r="B5" s="57" t="s">
        <v>262</v>
      </c>
      <c r="C5" s="114">
        <v>12400</v>
      </c>
      <c r="D5" s="114">
        <v>11650</v>
      </c>
      <c r="E5" s="133">
        <f t="shared" ref="E5:E11" si="0">D5/C5-1</f>
        <v>-6.0483870967741882E-2</v>
      </c>
      <c r="F5" s="114"/>
      <c r="G5" s="114"/>
      <c r="H5" s="124"/>
      <c r="I5" s="114">
        <v>12500</v>
      </c>
      <c r="J5" s="114">
        <v>12000</v>
      </c>
      <c r="K5" s="133">
        <f t="shared" ref="K5:K6" si="1">J5/I5-1</f>
        <v>-4.0000000000000036E-2</v>
      </c>
    </row>
    <row r="6" spans="2:11">
      <c r="B6" s="57" t="s">
        <v>263</v>
      </c>
      <c r="C6" s="114">
        <v>11900</v>
      </c>
      <c r="D6" s="114">
        <v>10950</v>
      </c>
      <c r="E6" s="133">
        <f t="shared" si="0"/>
        <v>-7.9831932773109293E-2</v>
      </c>
      <c r="F6" s="114"/>
      <c r="G6" s="114"/>
      <c r="H6" s="124"/>
      <c r="I6" s="114">
        <v>12000</v>
      </c>
      <c r="J6" s="114">
        <v>11500</v>
      </c>
      <c r="K6" s="133">
        <f t="shared" si="1"/>
        <v>-4.166666666666663E-2</v>
      </c>
    </row>
    <row r="7" spans="2:11">
      <c r="B7" s="57" t="s">
        <v>355</v>
      </c>
      <c r="C7" s="114">
        <v>14500</v>
      </c>
      <c r="D7" s="114">
        <v>14500</v>
      </c>
      <c r="E7" s="124">
        <f t="shared" si="0"/>
        <v>0</v>
      </c>
      <c r="F7" s="114"/>
      <c r="G7" s="114"/>
      <c r="H7" s="124"/>
      <c r="I7" s="114"/>
      <c r="J7" s="114"/>
      <c r="K7" s="124"/>
    </row>
    <row r="8" spans="2:11">
      <c r="B8" s="57" t="s">
        <v>348</v>
      </c>
      <c r="C8" s="114">
        <v>11600</v>
      </c>
      <c r="D8" s="114">
        <v>11600</v>
      </c>
      <c r="E8" s="124">
        <f t="shared" si="0"/>
        <v>0</v>
      </c>
      <c r="F8" s="114"/>
      <c r="G8" s="114"/>
      <c r="H8" s="124"/>
      <c r="I8" s="114"/>
      <c r="J8" s="114"/>
      <c r="K8" s="124"/>
    </row>
    <row r="9" spans="2:11">
      <c r="B9" s="57" t="s">
        <v>357</v>
      </c>
      <c r="C9" s="114">
        <v>13900</v>
      </c>
      <c r="D9" s="114">
        <v>13900</v>
      </c>
      <c r="E9" s="124">
        <f t="shared" si="0"/>
        <v>0</v>
      </c>
      <c r="F9" s="114"/>
      <c r="G9" s="114"/>
      <c r="H9" s="124"/>
      <c r="I9" s="114"/>
      <c r="J9" s="114"/>
      <c r="K9" s="124"/>
    </row>
    <row r="10" spans="2:11">
      <c r="B10" s="57" t="s">
        <v>349</v>
      </c>
      <c r="C10" s="114">
        <v>12400</v>
      </c>
      <c r="D10" s="114">
        <v>11900</v>
      </c>
      <c r="E10" s="133">
        <f t="shared" si="0"/>
        <v>-4.0322580645161255E-2</v>
      </c>
      <c r="F10" s="114">
        <v>12600</v>
      </c>
      <c r="G10" s="114">
        <v>12000</v>
      </c>
      <c r="H10" s="133">
        <f t="shared" ref="H10:H13" si="2">G10/F10-1</f>
        <v>-4.7619047619047672E-2</v>
      </c>
      <c r="I10" s="114"/>
      <c r="J10" s="114"/>
      <c r="K10" s="124"/>
    </row>
    <row r="11" spans="2:11">
      <c r="B11" s="57" t="s">
        <v>350</v>
      </c>
      <c r="C11" s="114">
        <v>12400</v>
      </c>
      <c r="D11" s="114">
        <v>11900</v>
      </c>
      <c r="E11" s="133">
        <f t="shared" si="0"/>
        <v>-4.0322580645161255E-2</v>
      </c>
      <c r="F11" s="114">
        <v>12600</v>
      </c>
      <c r="G11" s="114">
        <v>12000</v>
      </c>
      <c r="H11" s="133">
        <f t="shared" si="2"/>
        <v>-4.7619047619047672E-2</v>
      </c>
      <c r="I11" s="114"/>
      <c r="J11" s="114"/>
      <c r="K11" s="124"/>
    </row>
    <row r="12" spans="2:11">
      <c r="B12" s="57" t="s">
        <v>356</v>
      </c>
      <c r="C12" s="114"/>
      <c r="D12" s="132" t="s">
        <v>368</v>
      </c>
      <c r="E12" s="125"/>
      <c r="F12" s="114"/>
      <c r="G12" s="114"/>
      <c r="H12" s="125"/>
      <c r="I12" s="114"/>
      <c r="J12" s="114"/>
      <c r="K12" s="125"/>
    </row>
    <row r="13" spans="2:11">
      <c r="B13" s="57" t="s">
        <v>351</v>
      </c>
      <c r="C13" s="114"/>
      <c r="D13" s="114"/>
      <c r="E13" s="125"/>
      <c r="F13" s="114">
        <v>12300</v>
      </c>
      <c r="G13" s="114">
        <v>12300</v>
      </c>
      <c r="H13" s="124">
        <f t="shared" si="2"/>
        <v>0</v>
      </c>
      <c r="I13" s="114"/>
      <c r="J13" s="114"/>
      <c r="K13" s="125"/>
    </row>
    <row r="14" spans="2:11">
      <c r="B14" s="57" t="s">
        <v>358</v>
      </c>
      <c r="C14" s="114"/>
      <c r="D14" s="114"/>
      <c r="E14" s="125"/>
      <c r="F14" s="114"/>
      <c r="G14" s="114"/>
      <c r="H14" s="125"/>
      <c r="I14" s="114">
        <v>9000</v>
      </c>
      <c r="J14" s="114">
        <v>9000</v>
      </c>
      <c r="K14" s="124">
        <f t="shared" ref="K14:K15" si="3">J14/I14-1</f>
        <v>0</v>
      </c>
    </row>
    <row r="15" spans="2:11">
      <c r="B15" s="57" t="s">
        <v>359</v>
      </c>
      <c r="C15" s="114"/>
      <c r="D15" s="114"/>
      <c r="E15" s="125"/>
      <c r="F15" s="114"/>
      <c r="G15" s="114"/>
      <c r="H15" s="125"/>
      <c r="I15" s="114">
        <v>19500</v>
      </c>
      <c r="J15" s="114">
        <v>19500</v>
      </c>
      <c r="K15" s="124">
        <f t="shared" si="3"/>
        <v>0</v>
      </c>
    </row>
    <row r="16" spans="2:11">
      <c r="C16" s="115"/>
      <c r="D16" s="115"/>
      <c r="E16" s="126"/>
      <c r="F16" s="115"/>
    </row>
    <row r="34" spans="1:11" ht="18">
      <c r="A34" s="72" t="s">
        <v>294</v>
      </c>
    </row>
    <row r="35" spans="1:11" ht="20.100000000000001" customHeight="1">
      <c r="G35" s="4" t="s">
        <v>292</v>
      </c>
      <c r="H35" s="4"/>
    </row>
    <row r="36" spans="1:11">
      <c r="C36" s="4" t="s">
        <v>290</v>
      </c>
      <c r="D36" t="e" vm="5">
        <v>#VALUE!</v>
      </c>
      <c r="F36" s="58" cm="1">
        <f t="array" aca="1" ref="F36" ca="1">_FV(D36,"Fechamento anterior",TRUE)</f>
        <v>7.7644000000000002</v>
      </c>
      <c r="G36" s="34">
        <v>8.3000000000000007</v>
      </c>
      <c r="H36" s="34"/>
    </row>
    <row r="38" spans="1:11">
      <c r="D38" s="6" t="s">
        <v>51</v>
      </c>
      <c r="F38" s="6" t="s">
        <v>267</v>
      </c>
      <c r="G38" s="59" t="s">
        <v>293</v>
      </c>
      <c r="H38" s="59"/>
      <c r="I38" t="s">
        <v>291</v>
      </c>
      <c r="J38" s="44" t="s">
        <v>309</v>
      </c>
      <c r="K38" s="44"/>
    </row>
    <row r="39" spans="1:11" ht="17.100000000000001" customHeight="1">
      <c r="A39" t="s">
        <v>58</v>
      </c>
      <c r="B39" s="63" t="s">
        <v>0</v>
      </c>
      <c r="C39" s="64" t="s">
        <v>261</v>
      </c>
      <c r="D39" s="65">
        <v>1760</v>
      </c>
      <c r="E39" s="127"/>
      <c r="F39" s="76">
        <v>12800</v>
      </c>
      <c r="G39" s="66">
        <f>F39/$G$36</f>
        <v>1542.168674698795</v>
      </c>
      <c r="H39" s="120"/>
      <c r="I39" s="37">
        <f>G39/D39-1</f>
        <v>-0.12376779846659369</v>
      </c>
      <c r="J39" s="75">
        <f>1-13600/12800</f>
        <v>-6.25E-2</v>
      </c>
      <c r="K39" s="123"/>
    </row>
    <row r="40" spans="1:11" ht="17.100000000000001" customHeight="1">
      <c r="A40" t="s">
        <v>58</v>
      </c>
      <c r="B40" s="63" t="s">
        <v>0</v>
      </c>
      <c r="C40" s="64" t="s">
        <v>262</v>
      </c>
      <c r="D40" s="65">
        <v>1730</v>
      </c>
      <c r="E40" s="127"/>
      <c r="F40" s="76">
        <v>12400</v>
      </c>
      <c r="G40" s="66">
        <f t="shared" ref="G40:G61" si="4">F40/$G$36</f>
        <v>1493.9759036144576</v>
      </c>
      <c r="H40" s="120"/>
      <c r="I40" s="37">
        <f t="shared" ref="I40:I61" si="5">G40/D40-1</f>
        <v>-0.13643011351765455</v>
      </c>
      <c r="J40" s="75">
        <f>1-13400/12400</f>
        <v>-8.0645161290322509E-2</v>
      </c>
      <c r="K40" s="123"/>
    </row>
    <row r="41" spans="1:11" ht="17.100000000000001" customHeight="1">
      <c r="A41" t="s">
        <v>58</v>
      </c>
      <c r="B41" s="63" t="s">
        <v>0</v>
      </c>
      <c r="C41" s="64" t="s">
        <v>263</v>
      </c>
      <c r="D41" s="65">
        <v>1620</v>
      </c>
      <c r="E41" s="127"/>
      <c r="F41" s="65">
        <v>12500</v>
      </c>
      <c r="G41" s="66">
        <f t="shared" si="4"/>
        <v>1506.024096385542</v>
      </c>
      <c r="H41" s="120"/>
      <c r="I41" s="37">
        <f t="shared" si="5"/>
        <v>-7.0355496058307487E-2</v>
      </c>
    </row>
    <row r="42" spans="1:11" ht="17.100000000000001" customHeight="1">
      <c r="A42" t="s">
        <v>58</v>
      </c>
      <c r="B42" s="63" t="s">
        <v>0</v>
      </c>
      <c r="C42" s="64" t="s">
        <v>264</v>
      </c>
      <c r="D42" s="65">
        <v>1950</v>
      </c>
      <c r="E42" s="127"/>
      <c r="F42" s="65">
        <v>15100</v>
      </c>
      <c r="G42" s="66">
        <f t="shared" si="4"/>
        <v>1819.2771084337348</v>
      </c>
      <c r="H42" s="120"/>
      <c r="I42" s="37">
        <f t="shared" si="5"/>
        <v>-6.7037380290392412E-2</v>
      </c>
    </row>
    <row r="43" spans="1:11" ht="17.100000000000001" customHeight="1">
      <c r="A43" t="s">
        <v>58</v>
      </c>
      <c r="B43" s="57" t="s">
        <v>0</v>
      </c>
      <c r="C43" s="56" t="s">
        <v>258</v>
      </c>
      <c r="D43" s="60">
        <v>1337</v>
      </c>
      <c r="E43" s="128"/>
      <c r="F43" s="60">
        <v>10300</v>
      </c>
      <c r="G43" s="61">
        <f t="shared" si="4"/>
        <v>1240.9638554216867</v>
      </c>
      <c r="H43" s="121"/>
      <c r="I43" s="37">
        <f t="shared" si="5"/>
        <v>-7.1829577096718999E-2</v>
      </c>
    </row>
    <row r="44" spans="1:11" ht="17.100000000000001" customHeight="1">
      <c r="A44" t="s">
        <v>58</v>
      </c>
      <c r="B44" s="63" t="s">
        <v>0</v>
      </c>
      <c r="C44" s="64" t="s">
        <v>265</v>
      </c>
      <c r="D44" s="65">
        <v>1570</v>
      </c>
      <c r="E44" s="127"/>
      <c r="F44" s="65">
        <v>12100</v>
      </c>
      <c r="G44" s="66">
        <f t="shared" si="4"/>
        <v>1457.8313253012047</v>
      </c>
      <c r="H44" s="120"/>
      <c r="I44" s="37">
        <f t="shared" si="5"/>
        <v>-7.1445015731716688E-2</v>
      </c>
    </row>
    <row r="45" spans="1:11" ht="17.100000000000001" customHeight="1">
      <c r="A45" t="s">
        <v>58</v>
      </c>
      <c r="B45" s="57" t="s">
        <v>0</v>
      </c>
      <c r="C45" s="56">
        <v>483</v>
      </c>
      <c r="D45" s="60">
        <v>1600</v>
      </c>
      <c r="E45" s="128"/>
      <c r="F45" s="60">
        <v>12400</v>
      </c>
      <c r="G45" s="61">
        <f t="shared" si="4"/>
        <v>1493.9759036144576</v>
      </c>
      <c r="H45" s="121"/>
      <c r="I45" s="37">
        <f t="shared" si="5"/>
        <v>-6.6265060240964013E-2</v>
      </c>
    </row>
    <row r="46" spans="1:11" ht="17.100000000000001" customHeight="1">
      <c r="A46" t="s">
        <v>58</v>
      </c>
      <c r="B46" s="57" t="s">
        <v>0</v>
      </c>
      <c r="C46" s="56">
        <v>752</v>
      </c>
      <c r="D46" s="60">
        <v>1797</v>
      </c>
      <c r="E46" s="128"/>
      <c r="F46" s="60">
        <v>13900</v>
      </c>
      <c r="G46" s="61">
        <f t="shared" si="4"/>
        <v>1674.6987951807228</v>
      </c>
      <c r="H46" s="121"/>
      <c r="I46" s="37">
        <f t="shared" si="5"/>
        <v>-6.805854469631456E-2</v>
      </c>
    </row>
    <row r="47" spans="1:11" ht="17.100000000000001" customHeight="1">
      <c r="A47" t="s">
        <v>58</v>
      </c>
      <c r="B47" s="67" t="s">
        <v>3</v>
      </c>
      <c r="C47" s="68" t="s">
        <v>276</v>
      </c>
      <c r="D47" s="69">
        <v>1650</v>
      </c>
      <c r="E47" s="129"/>
      <c r="F47" s="70">
        <v>12600</v>
      </c>
      <c r="G47" s="71">
        <f t="shared" si="4"/>
        <v>1518.0722891566263</v>
      </c>
      <c r="H47" s="122"/>
      <c r="I47" s="37">
        <f t="shared" si="5"/>
        <v>-7.9956188389923466E-2</v>
      </c>
    </row>
    <row r="48" spans="1:11" ht="17.100000000000001" customHeight="1">
      <c r="A48" t="s">
        <v>58</v>
      </c>
      <c r="B48" s="67" t="s">
        <v>3</v>
      </c>
      <c r="C48" s="68" t="s">
        <v>277</v>
      </c>
      <c r="D48" s="69">
        <v>1650</v>
      </c>
      <c r="E48" s="129"/>
      <c r="F48" s="70">
        <v>12600</v>
      </c>
      <c r="G48" s="71">
        <f t="shared" si="4"/>
        <v>1518.0722891566263</v>
      </c>
      <c r="H48" s="122"/>
      <c r="I48" s="37">
        <f t="shared" si="5"/>
        <v>-7.9956188389923466E-2</v>
      </c>
    </row>
    <row r="49" spans="1:9" ht="17.100000000000001" customHeight="1">
      <c r="A49" t="s">
        <v>58</v>
      </c>
      <c r="B49" s="57" t="s">
        <v>3</v>
      </c>
      <c r="C49" s="56" t="s">
        <v>275</v>
      </c>
      <c r="D49" s="62">
        <v>1800</v>
      </c>
      <c r="E49" s="130"/>
      <c r="F49" s="60">
        <v>13700</v>
      </c>
      <c r="G49" s="61">
        <f t="shared" si="4"/>
        <v>1650.602409638554</v>
      </c>
      <c r="H49" s="121"/>
      <c r="I49" s="37">
        <f t="shared" si="5"/>
        <v>-8.2998661311914468E-2</v>
      </c>
    </row>
    <row r="50" spans="1:9" ht="17.100000000000001" customHeight="1">
      <c r="A50" t="s">
        <v>58</v>
      </c>
      <c r="B50" s="57" t="s">
        <v>3</v>
      </c>
      <c r="C50" s="56" t="s">
        <v>278</v>
      </c>
      <c r="D50" s="62">
        <v>1600</v>
      </c>
      <c r="E50" s="130"/>
      <c r="F50" s="60">
        <v>12100</v>
      </c>
      <c r="G50" s="61">
        <f t="shared" si="4"/>
        <v>1457.8313253012047</v>
      </c>
      <c r="H50" s="121"/>
      <c r="I50" s="37">
        <f t="shared" si="5"/>
        <v>-8.8855421686746983E-2</v>
      </c>
    </row>
    <row r="51" spans="1:9" ht="17.100000000000001" hidden="1" customHeight="1">
      <c r="B51" s="57" t="s">
        <v>3</v>
      </c>
      <c r="C51" s="56" t="s">
        <v>279</v>
      </c>
      <c r="D51" s="62"/>
      <c r="E51" s="62"/>
      <c r="F51" s="60">
        <v>13800</v>
      </c>
      <c r="G51" s="61">
        <f t="shared" si="4"/>
        <v>1662.6506024096384</v>
      </c>
      <c r="H51" s="121"/>
      <c r="I51" s="37" t="e">
        <f t="shared" si="5"/>
        <v>#DIV/0!</v>
      </c>
    </row>
    <row r="52" spans="1:9" ht="17.100000000000001" hidden="1" customHeight="1">
      <c r="B52" s="57" t="s">
        <v>3</v>
      </c>
      <c r="C52" s="56" t="s">
        <v>280</v>
      </c>
      <c r="D52" s="62"/>
      <c r="E52" s="62"/>
      <c r="F52" s="60">
        <v>13500</v>
      </c>
      <c r="G52" s="61">
        <f t="shared" si="4"/>
        <v>1626.5060240963853</v>
      </c>
      <c r="H52" s="121"/>
      <c r="I52" s="37" t="e">
        <f t="shared" si="5"/>
        <v>#DIV/0!</v>
      </c>
    </row>
    <row r="53" spans="1:9" ht="17.100000000000001" hidden="1" customHeight="1">
      <c r="B53" s="57" t="s">
        <v>3</v>
      </c>
      <c r="C53" s="56" t="s">
        <v>281</v>
      </c>
      <c r="D53" s="62">
        <v>1450</v>
      </c>
      <c r="E53" s="62"/>
      <c r="F53" s="60">
        <v>12300</v>
      </c>
      <c r="G53" s="61">
        <f t="shared" si="4"/>
        <v>1481.9277108433735</v>
      </c>
      <c r="H53" s="121"/>
      <c r="I53" s="37">
        <f t="shared" si="5"/>
        <v>2.2019110926464469E-2</v>
      </c>
    </row>
    <row r="54" spans="1:9" ht="17.100000000000001" customHeight="1">
      <c r="A54" t="s">
        <v>58</v>
      </c>
      <c r="B54" s="57" t="s">
        <v>3</v>
      </c>
      <c r="C54" s="56" t="s">
        <v>282</v>
      </c>
      <c r="D54" s="62">
        <v>1800</v>
      </c>
      <c r="E54" s="130"/>
      <c r="F54" s="60">
        <v>13500</v>
      </c>
      <c r="G54" s="61">
        <f t="shared" si="4"/>
        <v>1626.5060240963853</v>
      </c>
      <c r="H54" s="121"/>
      <c r="I54" s="37">
        <f t="shared" si="5"/>
        <v>-9.6385542168674787E-2</v>
      </c>
    </row>
    <row r="55" spans="1:9" ht="17.100000000000001" customHeight="1">
      <c r="A55" t="s">
        <v>58</v>
      </c>
      <c r="B55" s="57" t="s">
        <v>3</v>
      </c>
      <c r="C55" s="56" t="s">
        <v>283</v>
      </c>
      <c r="D55" s="62"/>
      <c r="E55" s="130"/>
      <c r="F55" s="60">
        <v>13000</v>
      </c>
      <c r="G55" s="61">
        <f t="shared" si="4"/>
        <v>1566.2650602409637</v>
      </c>
      <c r="H55" s="121"/>
      <c r="I55" s="37" t="e">
        <f t="shared" si="5"/>
        <v>#DIV/0!</v>
      </c>
    </row>
    <row r="56" spans="1:9" ht="17.100000000000001" customHeight="1">
      <c r="A56" t="s">
        <v>58</v>
      </c>
      <c r="B56" s="57" t="s">
        <v>3</v>
      </c>
      <c r="C56" s="56" t="s">
        <v>284</v>
      </c>
      <c r="D56" s="62"/>
      <c r="E56" s="130"/>
      <c r="F56" s="60">
        <v>12000</v>
      </c>
      <c r="G56" s="61">
        <f t="shared" si="4"/>
        <v>1445.7831325301204</v>
      </c>
      <c r="H56" s="121"/>
      <c r="I56" s="37" t="e">
        <f t="shared" si="5"/>
        <v>#DIV/0!</v>
      </c>
    </row>
    <row r="57" spans="1:9" ht="17.100000000000001" customHeight="1">
      <c r="A57" t="s">
        <v>58</v>
      </c>
      <c r="B57" s="57" t="s">
        <v>3</v>
      </c>
      <c r="C57" s="56" t="s">
        <v>285</v>
      </c>
      <c r="D57" s="62">
        <v>1800</v>
      </c>
      <c r="E57" s="130"/>
      <c r="F57" s="60">
        <v>13650</v>
      </c>
      <c r="G57" s="61">
        <f t="shared" si="4"/>
        <v>1644.5783132530119</v>
      </c>
      <c r="H57" s="121"/>
      <c r="I57" s="37">
        <f t="shared" si="5"/>
        <v>-8.6345381526104492E-2</v>
      </c>
    </row>
    <row r="58" spans="1:9" ht="17.100000000000001" hidden="1" customHeight="1">
      <c r="B58" s="57" t="s">
        <v>3</v>
      </c>
      <c r="C58" s="56" t="s">
        <v>286</v>
      </c>
      <c r="D58" s="62"/>
      <c r="E58" s="62"/>
      <c r="F58" s="60">
        <v>15000</v>
      </c>
      <c r="G58" s="61">
        <f t="shared" si="4"/>
        <v>1807.2289156626505</v>
      </c>
      <c r="H58" s="121"/>
      <c r="I58" s="37" t="e">
        <f t="shared" si="5"/>
        <v>#DIV/0!</v>
      </c>
    </row>
    <row r="59" spans="1:9" ht="17.100000000000001" customHeight="1">
      <c r="A59" t="s">
        <v>58</v>
      </c>
      <c r="B59" s="57" t="s">
        <v>3</v>
      </c>
      <c r="C59" s="56" t="s">
        <v>287</v>
      </c>
      <c r="D59" s="62">
        <v>1800</v>
      </c>
      <c r="E59" s="130"/>
      <c r="F59" s="60">
        <v>14500</v>
      </c>
      <c r="G59" s="61">
        <f t="shared" si="4"/>
        <v>1746.9879518072287</v>
      </c>
      <c r="H59" s="121"/>
      <c r="I59" s="37">
        <f t="shared" si="5"/>
        <v>-2.9451137884872969E-2</v>
      </c>
    </row>
    <row r="60" spans="1:9" ht="17.100000000000001" customHeight="1">
      <c r="A60" t="s">
        <v>58</v>
      </c>
      <c r="B60" s="67" t="s">
        <v>3</v>
      </c>
      <c r="C60" s="68" t="s">
        <v>288</v>
      </c>
      <c r="D60" s="69">
        <v>1080</v>
      </c>
      <c r="E60" s="129"/>
      <c r="F60" s="70">
        <v>8300</v>
      </c>
      <c r="G60" s="71">
        <f t="shared" si="4"/>
        <v>999.99999999999989</v>
      </c>
      <c r="H60" s="122"/>
      <c r="I60" s="37">
        <f t="shared" si="5"/>
        <v>-7.4074074074074181E-2</v>
      </c>
    </row>
    <row r="61" spans="1:9" ht="17.100000000000001" customHeight="1">
      <c r="A61" t="s">
        <v>58</v>
      </c>
      <c r="B61" s="67" t="s">
        <v>3</v>
      </c>
      <c r="C61" s="68" t="s">
        <v>289</v>
      </c>
      <c r="D61" s="69">
        <v>1080</v>
      </c>
      <c r="E61" s="129"/>
      <c r="F61" s="70">
        <v>8300</v>
      </c>
      <c r="G61" s="71">
        <f t="shared" si="4"/>
        <v>999.99999999999989</v>
      </c>
      <c r="H61" s="122"/>
      <c r="I61" s="37">
        <f t="shared" si="5"/>
        <v>-7.4074074074074181E-2</v>
      </c>
    </row>
    <row r="62" spans="1:9" ht="28.8">
      <c r="A62" t="s">
        <v>58</v>
      </c>
      <c r="B62" s="67" t="s">
        <v>3</v>
      </c>
      <c r="C62" s="68" t="s">
        <v>295</v>
      </c>
      <c r="D62" s="69">
        <v>1530</v>
      </c>
      <c r="E62" s="129"/>
      <c r="F62" s="70">
        <v>12300</v>
      </c>
      <c r="G62" s="71">
        <f t="shared" ref="G62" si="6">F62/$G$36</f>
        <v>1481.9277108433735</v>
      </c>
      <c r="H62" s="122"/>
      <c r="I62" s="73">
        <f t="shared" ref="I62" si="7">G62/D62-1</f>
        <v>-3.1419796834396441E-2</v>
      </c>
    </row>
    <row r="92" spans="14:19">
      <c r="N92" s="250" t="s">
        <v>252</v>
      </c>
      <c r="O92" s="250" t="s">
        <v>253</v>
      </c>
      <c r="P92" s="250" t="s">
        <v>254</v>
      </c>
      <c r="Q92" s="250" t="s">
        <v>255</v>
      </c>
      <c r="R92" s="250" t="s">
        <v>45</v>
      </c>
      <c r="S92" s="251" t="s">
        <v>256</v>
      </c>
    </row>
    <row r="93" spans="14:19">
      <c r="N93" s="250"/>
      <c r="O93" s="250"/>
      <c r="P93" s="250"/>
      <c r="Q93" s="250"/>
      <c r="R93" s="250"/>
      <c r="S93" s="251"/>
    </row>
    <row r="94" spans="14:19" ht="15.6">
      <c r="N94" s="249" t="s">
        <v>257</v>
      </c>
      <c r="O94" s="54" t="s">
        <v>258</v>
      </c>
      <c r="P94" s="54">
        <v>0</v>
      </c>
      <c r="Q94" s="54">
        <v>1337</v>
      </c>
      <c r="R94" s="54" t="s">
        <v>51</v>
      </c>
      <c r="S94" s="55">
        <v>10300</v>
      </c>
    </row>
    <row r="95" spans="14:19" ht="15.6">
      <c r="N95" s="249"/>
      <c r="O95" s="54" t="s">
        <v>259</v>
      </c>
      <c r="P95" s="54">
        <v>1000</v>
      </c>
      <c r="Q95" s="54">
        <v>1570</v>
      </c>
      <c r="R95" s="54" t="s">
        <v>51</v>
      </c>
      <c r="S95" s="55">
        <v>12100</v>
      </c>
    </row>
    <row r="96" spans="14:19" ht="15.6">
      <c r="N96" s="249" t="s">
        <v>260</v>
      </c>
      <c r="O96" s="54" t="s">
        <v>261</v>
      </c>
      <c r="P96" s="54">
        <v>1200</v>
      </c>
      <c r="Q96" s="54">
        <v>1760</v>
      </c>
      <c r="R96" s="54" t="s">
        <v>51</v>
      </c>
      <c r="S96" s="55">
        <v>13600</v>
      </c>
    </row>
    <row r="97" spans="14:19" ht="15.6">
      <c r="N97" s="249"/>
      <c r="O97" s="54" t="s">
        <v>262</v>
      </c>
      <c r="P97" s="54">
        <v>3500</v>
      </c>
      <c r="Q97" s="54">
        <v>1730</v>
      </c>
      <c r="R97" s="54" t="s">
        <v>51</v>
      </c>
      <c r="S97" s="55">
        <v>13400</v>
      </c>
    </row>
    <row r="98" spans="14:19" ht="15.6">
      <c r="N98" s="249"/>
      <c r="O98" s="54" t="s">
        <v>263</v>
      </c>
      <c r="P98" s="54">
        <v>350</v>
      </c>
      <c r="Q98" s="54">
        <v>1620</v>
      </c>
      <c r="R98" s="54" t="s">
        <v>51</v>
      </c>
      <c r="S98" s="55">
        <v>12500</v>
      </c>
    </row>
    <row r="99" spans="14:19" ht="15.6">
      <c r="N99" s="249"/>
      <c r="O99" s="54" t="s">
        <v>264</v>
      </c>
      <c r="P99" s="54">
        <v>250</v>
      </c>
      <c r="Q99" s="54">
        <v>1950</v>
      </c>
      <c r="R99" s="54" t="s">
        <v>51</v>
      </c>
      <c r="S99" s="55">
        <v>15100</v>
      </c>
    </row>
    <row r="100" spans="14:19" ht="15.6">
      <c r="N100" s="249"/>
      <c r="O100" s="54" t="s">
        <v>258</v>
      </c>
      <c r="P100" s="54">
        <v>250</v>
      </c>
      <c r="Q100" s="54">
        <v>1337</v>
      </c>
      <c r="R100" s="54" t="s">
        <v>51</v>
      </c>
      <c r="S100" s="55">
        <v>10300</v>
      </c>
    </row>
    <row r="101" spans="14:19" ht="15.6">
      <c r="N101" s="249"/>
      <c r="O101" s="54" t="s">
        <v>265</v>
      </c>
      <c r="P101" s="54">
        <v>300</v>
      </c>
      <c r="Q101" s="54">
        <v>1570</v>
      </c>
      <c r="R101" s="54" t="s">
        <v>51</v>
      </c>
      <c r="S101" s="55">
        <v>12100</v>
      </c>
    </row>
    <row r="102" spans="14:19" ht="15.6">
      <c r="N102" s="249"/>
      <c r="O102" s="54">
        <v>483</v>
      </c>
      <c r="P102" s="54">
        <v>100</v>
      </c>
      <c r="Q102" s="54">
        <v>1600</v>
      </c>
      <c r="R102" s="54" t="s">
        <v>51</v>
      </c>
      <c r="S102" s="55">
        <v>12400</v>
      </c>
    </row>
    <row r="103" spans="14:19" ht="15.6">
      <c r="N103" s="249"/>
      <c r="O103" s="54">
        <v>752</v>
      </c>
      <c r="P103" s="54">
        <v>150</v>
      </c>
      <c r="Q103" s="54">
        <v>1797</v>
      </c>
      <c r="R103" s="54" t="s">
        <v>51</v>
      </c>
      <c r="S103" s="55">
        <v>13900</v>
      </c>
    </row>
    <row r="104" spans="14:19" ht="15.6">
      <c r="N104" s="249" t="s">
        <v>266</v>
      </c>
      <c r="O104" s="54" t="s">
        <v>261</v>
      </c>
      <c r="P104" s="54">
        <v>500</v>
      </c>
      <c r="Q104" s="54">
        <v>13600</v>
      </c>
      <c r="R104" s="54" t="s">
        <v>267</v>
      </c>
      <c r="S104" s="54">
        <v>13600</v>
      </c>
    </row>
    <row r="105" spans="14:19" ht="31.8">
      <c r="N105" s="249"/>
      <c r="O105" s="54" t="s">
        <v>268</v>
      </c>
      <c r="P105" s="54">
        <v>1200</v>
      </c>
      <c r="Q105" s="54">
        <v>12100</v>
      </c>
      <c r="R105" s="54" t="s">
        <v>267</v>
      </c>
      <c r="S105" s="54">
        <v>12100</v>
      </c>
    </row>
    <row r="106" spans="14:19" ht="31.8">
      <c r="N106" s="249"/>
      <c r="O106" s="54" t="s">
        <v>269</v>
      </c>
      <c r="P106" s="54">
        <v>90</v>
      </c>
      <c r="Q106" s="54">
        <v>14800</v>
      </c>
      <c r="R106" s="54" t="s">
        <v>267</v>
      </c>
      <c r="S106" s="54">
        <v>14800</v>
      </c>
    </row>
    <row r="107" spans="14:19" ht="15.6">
      <c r="N107" s="249"/>
      <c r="O107" s="54" t="s">
        <v>270</v>
      </c>
      <c r="P107" s="54">
        <v>0</v>
      </c>
      <c r="Q107" s="54">
        <v>13800</v>
      </c>
      <c r="R107" s="54" t="s">
        <v>267</v>
      </c>
      <c r="S107" s="54">
        <v>13800</v>
      </c>
    </row>
    <row r="108" spans="14:19" ht="15.6">
      <c r="N108" s="249"/>
      <c r="O108" s="54">
        <v>7558</v>
      </c>
      <c r="P108" s="54">
        <v>300</v>
      </c>
      <c r="Q108" s="54">
        <v>13700</v>
      </c>
      <c r="R108" s="54" t="s">
        <v>267</v>
      </c>
      <c r="S108" s="54">
        <v>13700</v>
      </c>
    </row>
    <row r="109" spans="14:19" ht="15.6">
      <c r="N109" s="249"/>
      <c r="O109" s="54">
        <v>694</v>
      </c>
      <c r="P109" s="54">
        <v>200</v>
      </c>
      <c r="Q109" s="54">
        <v>12500</v>
      </c>
      <c r="R109" s="54" t="s">
        <v>267</v>
      </c>
      <c r="S109" s="54">
        <v>12500</v>
      </c>
    </row>
    <row r="110" spans="14:19" ht="15.6">
      <c r="N110" s="249"/>
      <c r="O110" s="54">
        <v>690</v>
      </c>
      <c r="P110" s="54">
        <v>150</v>
      </c>
      <c r="Q110" s="54">
        <v>13200</v>
      </c>
      <c r="R110" s="54" t="s">
        <v>267</v>
      </c>
      <c r="S110" s="54">
        <v>13200</v>
      </c>
    </row>
    <row r="111" spans="14:19" ht="31.8">
      <c r="N111" s="249"/>
      <c r="O111" s="54" t="s">
        <v>271</v>
      </c>
      <c r="P111" s="54">
        <v>500</v>
      </c>
      <c r="Q111" s="54">
        <v>13700</v>
      </c>
      <c r="R111" s="54" t="s">
        <v>267</v>
      </c>
      <c r="S111" s="54">
        <v>13700</v>
      </c>
    </row>
    <row r="112" spans="14:19" ht="31.8">
      <c r="N112" s="249" t="s">
        <v>272</v>
      </c>
      <c r="O112" s="54" t="s">
        <v>273</v>
      </c>
      <c r="P112" s="54">
        <v>500</v>
      </c>
      <c r="Q112" s="54">
        <v>14200</v>
      </c>
      <c r="R112" s="54" t="s">
        <v>267</v>
      </c>
      <c r="S112" s="54">
        <v>14200</v>
      </c>
    </row>
    <row r="113" spans="14:19" ht="31.8">
      <c r="N113" s="249"/>
      <c r="O113" s="54" t="s">
        <v>274</v>
      </c>
      <c r="P113" s="54">
        <v>750</v>
      </c>
      <c r="Q113" s="54">
        <v>13700</v>
      </c>
      <c r="R113" s="54" t="s">
        <v>267</v>
      </c>
      <c r="S113" s="54">
        <v>13700</v>
      </c>
    </row>
  </sheetData>
  <autoFilter ref="A38:G62" xr:uid="{E4744C9D-5691-47B2-85BD-A1ECD91ECE0E}">
    <filterColumn colId="0">
      <customFilters>
        <customFilter operator="notEqual" val=" "/>
      </customFilters>
    </filterColumn>
  </autoFilter>
  <mergeCells count="10">
    <mergeCell ref="O92:O93"/>
    <mergeCell ref="P92:P93"/>
    <mergeCell ref="Q92:Q93"/>
    <mergeCell ref="R92:R93"/>
    <mergeCell ref="S92:S93"/>
    <mergeCell ref="N94:N95"/>
    <mergeCell ref="N96:N103"/>
    <mergeCell ref="N104:N111"/>
    <mergeCell ref="N112:N113"/>
    <mergeCell ref="N92:N9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85D21F4-5AD7-47C4-AC6C-02FDA95F34E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Planilhas</vt:lpstr>
      </vt:variant>
      <vt:variant>
        <vt:i4>6</vt:i4>
      </vt:variant>
    </vt:vector>
  </HeadingPairs>
  <TitlesOfParts>
    <vt:vector size="6" baseType="lpstr">
      <vt:lpstr>Premissas</vt:lpstr>
      <vt:lpstr>Cockpit</vt:lpstr>
      <vt:lpstr>Preços e Condições</vt:lpstr>
      <vt:lpstr>Impostos e Frete</vt:lpstr>
      <vt:lpstr>PaperBase Dashboard</vt:lpstr>
      <vt:lpstr>CNY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Marcelo Cardoso</dc:creator>
  <cp:lastModifiedBy>Juliano Padilha</cp:lastModifiedBy>
  <dcterms:created xsi:type="dcterms:W3CDTF">2023-06-19T11:40:59Z</dcterms:created>
  <dcterms:modified xsi:type="dcterms:W3CDTF">2026-07-09T14:58:04Z</dcterms:modified>
</cp:coreProperties>
</file>